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Տեխնիկա համայնքներ 2025\4-րդ եռամսյակ\"/>
    </mc:Choice>
  </mc:AlternateContent>
  <xr:revisionPtr revIDLastSave="0" documentId="13_ncr:1_{CC0ADA95-CF66-4EF7-B51B-05CBE6E1D035}" xr6:coauthVersionLast="47" xr6:coauthVersionMax="47" xr10:uidLastSave="{00000000-0000-0000-0000-000000000000}"/>
  <bookViews>
    <workbookView xWindow="-120" yWindow="-120" windowWidth="29040" windowHeight="15720" activeTab="10" xr2:uid="{4AA7133F-112E-4B1B-AA7F-FB3C979FCE98}"/>
  </bookViews>
  <sheets>
    <sheet name="Արագածոտն" sheetId="20" r:id="rId1"/>
    <sheet name="Արարատ" sheetId="21" r:id="rId2"/>
    <sheet name="Արմավիր" sheetId="22" r:id="rId3"/>
    <sheet name="Գեղարքունիք" sheetId="28" r:id="rId4"/>
    <sheet name="Լոռի" sheetId="29" r:id="rId5"/>
    <sheet name="Կոտայք" sheetId="23" r:id="rId6"/>
    <sheet name="Շիրակ" sheetId="24" r:id="rId7"/>
    <sheet name="Սյունիք" sheetId="25" r:id="rId8"/>
    <sheet name="Վայոց ձոր" sheetId="27" r:id="rId9"/>
    <sheet name="Տավուշ" sheetId="26" r:id="rId10"/>
    <sheet name="Ամփոփ" sheetId="9" r:id="rId11"/>
  </sheets>
  <externalReferences>
    <externalReference r:id="rId12"/>
  </externalReferences>
  <definedNames>
    <definedName name="_xlnm._FilterDatabase" localSheetId="10" hidden="1">Ամփոփ!$A$1:$AP$18</definedName>
    <definedName name="_xlnm._FilterDatabase" localSheetId="5" hidden="1">Կոտայք!$A$1:$AP$14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5" i="26" l="1"/>
  <c r="AM39" i="29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Y12" i="9"/>
  <c r="Z12" i="9"/>
  <c r="AA12" i="9"/>
  <c r="AB12" i="9"/>
  <c r="AC12" i="9"/>
  <c r="AD12" i="9"/>
  <c r="AE12" i="9"/>
  <c r="AF12" i="9"/>
  <c r="AG12" i="9"/>
  <c r="AH12" i="9"/>
  <c r="AI12" i="9"/>
  <c r="AJ12" i="9"/>
  <c r="AK12" i="9"/>
  <c r="AL12" i="9"/>
  <c r="AM12" i="9"/>
  <c r="AN12" i="9"/>
  <c r="AP12" i="9"/>
  <c r="C12" i="9"/>
  <c r="D37" i="23"/>
  <c r="E37" i="23"/>
  <c r="F37" i="23"/>
  <c r="G37" i="23"/>
  <c r="H37" i="23"/>
  <c r="I37" i="23"/>
  <c r="J37" i="23"/>
  <c r="K37" i="23"/>
  <c r="L37" i="23"/>
  <c r="M37" i="23"/>
  <c r="N37" i="23"/>
  <c r="O37" i="23"/>
  <c r="P37" i="23"/>
  <c r="Q37" i="23"/>
  <c r="R37" i="23"/>
  <c r="S37" i="23"/>
  <c r="T37" i="23"/>
  <c r="U37" i="23"/>
  <c r="V37" i="23"/>
  <c r="W37" i="23"/>
  <c r="X37" i="23"/>
  <c r="Y37" i="23"/>
  <c r="Z37" i="23"/>
  <c r="AA37" i="23"/>
  <c r="AB37" i="23"/>
  <c r="AC37" i="23"/>
  <c r="AD37" i="23"/>
  <c r="AE37" i="23"/>
  <c r="AF37" i="23"/>
  <c r="AG37" i="23"/>
  <c r="AH37" i="23"/>
  <c r="AI37" i="23"/>
  <c r="AJ37" i="23"/>
  <c r="AK37" i="23"/>
  <c r="AL37" i="23"/>
  <c r="AM37" i="23"/>
  <c r="AN37" i="23"/>
  <c r="AO37" i="23"/>
  <c r="AO12" i="9" s="1"/>
  <c r="AP37" i="23"/>
  <c r="C37" i="23"/>
  <c r="D11" i="23"/>
  <c r="E11" i="23"/>
  <c r="F11" i="23"/>
  <c r="G11" i="23"/>
  <c r="H11" i="23"/>
  <c r="I11" i="23"/>
  <c r="J11" i="23"/>
  <c r="K11" i="23"/>
  <c r="L11" i="23"/>
  <c r="M11" i="23"/>
  <c r="N11" i="23"/>
  <c r="O11" i="23"/>
  <c r="P11" i="23"/>
  <c r="R11" i="23"/>
  <c r="S11" i="23"/>
  <c r="T11" i="23"/>
  <c r="U11" i="23"/>
  <c r="V11" i="23"/>
  <c r="W11" i="23"/>
  <c r="X11" i="23"/>
  <c r="Y11" i="23"/>
  <c r="Z11" i="23"/>
  <c r="AA11" i="23"/>
  <c r="AB11" i="23"/>
  <c r="AC11" i="23"/>
  <c r="AD11" i="23"/>
  <c r="AE11" i="23"/>
  <c r="AF11" i="23"/>
  <c r="AG11" i="23"/>
  <c r="AH11" i="23"/>
  <c r="AI11" i="23"/>
  <c r="AJ11" i="23"/>
  <c r="C11" i="23"/>
  <c r="C14" i="23"/>
  <c r="D8" i="9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S8" i="9"/>
  <c r="T8" i="9"/>
  <c r="U8" i="9"/>
  <c r="V8" i="9"/>
  <c r="W8" i="9"/>
  <c r="X8" i="9"/>
  <c r="Y8" i="9"/>
  <c r="Z8" i="9"/>
  <c r="AB8" i="9"/>
  <c r="AC8" i="9"/>
  <c r="AD8" i="9"/>
  <c r="AE8" i="9"/>
  <c r="AF8" i="9"/>
  <c r="AG8" i="9"/>
  <c r="AH8" i="9"/>
  <c r="AI8" i="9"/>
  <c r="AJ8" i="9"/>
  <c r="AK8" i="9"/>
  <c r="AL8" i="9"/>
  <c r="AM8" i="9"/>
  <c r="AN8" i="9"/>
  <c r="AO8" i="9"/>
  <c r="AP8" i="9"/>
  <c r="C8" i="9"/>
  <c r="C70" i="21"/>
  <c r="E70" i="21"/>
  <c r="I70" i="21"/>
  <c r="K70" i="21"/>
  <c r="M70" i="21"/>
  <c r="N70" i="21"/>
  <c r="O70" i="21"/>
  <c r="P70" i="21"/>
  <c r="Q70" i="21"/>
  <c r="R70" i="21"/>
  <c r="S70" i="21"/>
  <c r="T70" i="21"/>
  <c r="U70" i="21"/>
  <c r="V70" i="21"/>
  <c r="W70" i="21"/>
  <c r="X70" i="21"/>
  <c r="Y70" i="21"/>
  <c r="Z70" i="21"/>
  <c r="AA70" i="21"/>
  <c r="AA8" i="9" s="1"/>
  <c r="AB70" i="21"/>
  <c r="AC70" i="21"/>
  <c r="AD70" i="21"/>
  <c r="AE70" i="21"/>
  <c r="AF70" i="21"/>
  <c r="AG70" i="21"/>
  <c r="AH70" i="21"/>
  <c r="AI70" i="21"/>
  <c r="AJ70" i="21"/>
  <c r="AK70" i="21"/>
  <c r="AL70" i="21"/>
  <c r="AM70" i="21"/>
  <c r="AN70" i="21"/>
  <c r="AO70" i="21"/>
  <c r="AP70" i="21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V17" i="9" s="1"/>
  <c r="W16" i="9"/>
  <c r="X16" i="9"/>
  <c r="Y16" i="9"/>
  <c r="Z16" i="9"/>
  <c r="AA16" i="9"/>
  <c r="AB16" i="9"/>
  <c r="AC16" i="9"/>
  <c r="AD16" i="9"/>
  <c r="AE16" i="9"/>
  <c r="AF16" i="9"/>
  <c r="AG16" i="9"/>
  <c r="AH16" i="9"/>
  <c r="AI16" i="9"/>
  <c r="AJ16" i="9"/>
  <c r="AK16" i="9"/>
  <c r="AL16" i="9"/>
  <c r="AM16" i="9"/>
  <c r="AN16" i="9"/>
  <c r="AO16" i="9"/>
  <c r="AP16" i="9"/>
  <c r="C16" i="9"/>
  <c r="E55" i="26"/>
  <c r="N55" i="26"/>
  <c r="O55" i="26"/>
  <c r="P55" i="26"/>
  <c r="Q55" i="26"/>
  <c r="R55" i="26"/>
  <c r="S55" i="26"/>
  <c r="T55" i="26"/>
  <c r="U55" i="26"/>
  <c r="W55" i="26"/>
  <c r="X55" i="26"/>
  <c r="Y55" i="26"/>
  <c r="Z55" i="26"/>
  <c r="AA55" i="26"/>
  <c r="AB55" i="26"/>
  <c r="AC55" i="26"/>
  <c r="AD55" i="26"/>
  <c r="AE55" i="26"/>
  <c r="AF55" i="26"/>
  <c r="AG55" i="26"/>
  <c r="AH55" i="26"/>
  <c r="AI55" i="26"/>
  <c r="AJ55" i="26"/>
  <c r="AK55" i="26"/>
  <c r="AL55" i="26"/>
  <c r="AM55" i="26"/>
  <c r="AN55" i="26"/>
  <c r="AO55" i="26"/>
  <c r="AP55" i="26"/>
  <c r="C55" i="26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AG15" i="9"/>
  <c r="AH15" i="9"/>
  <c r="AI15" i="9"/>
  <c r="AJ15" i="9"/>
  <c r="AK15" i="9"/>
  <c r="AL15" i="9"/>
  <c r="AM15" i="9"/>
  <c r="AN15" i="9"/>
  <c r="AO15" i="9"/>
  <c r="AP15" i="9"/>
  <c r="C15" i="9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AG14" i="9"/>
  <c r="AH14" i="9"/>
  <c r="AI14" i="9"/>
  <c r="AJ14" i="9"/>
  <c r="AK14" i="9"/>
  <c r="AL14" i="9"/>
  <c r="AM14" i="9"/>
  <c r="AN14" i="9"/>
  <c r="AO14" i="9"/>
  <c r="AP14" i="9"/>
  <c r="C14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AH13" i="9"/>
  <c r="AI13" i="9"/>
  <c r="AJ13" i="9"/>
  <c r="AK13" i="9"/>
  <c r="AL13" i="9"/>
  <c r="AM13" i="9"/>
  <c r="AN13" i="9"/>
  <c r="AO13" i="9"/>
  <c r="AP13" i="9"/>
  <c r="C13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AH11" i="9"/>
  <c r="AI11" i="9"/>
  <c r="AJ11" i="9"/>
  <c r="AK11" i="9"/>
  <c r="AN11" i="9"/>
  <c r="AO11" i="9"/>
  <c r="AP11" i="9"/>
  <c r="C11" i="9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X10" i="9"/>
  <c r="Y10" i="9"/>
  <c r="Z10" i="9"/>
  <c r="AA10" i="9"/>
  <c r="AB10" i="9"/>
  <c r="AC10" i="9"/>
  <c r="AD10" i="9"/>
  <c r="AE10" i="9"/>
  <c r="AF10" i="9"/>
  <c r="AG10" i="9"/>
  <c r="AH10" i="9"/>
  <c r="AI10" i="9"/>
  <c r="AJ10" i="9"/>
  <c r="AK10" i="9"/>
  <c r="AL10" i="9"/>
  <c r="AM10" i="9"/>
  <c r="AN10" i="9"/>
  <c r="AO10" i="9"/>
  <c r="AP10" i="9"/>
  <c r="C10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AH9" i="9"/>
  <c r="AI9" i="9"/>
  <c r="AJ9" i="9"/>
  <c r="AK9" i="9"/>
  <c r="AL9" i="9"/>
  <c r="AM9" i="9"/>
  <c r="AN9" i="9"/>
  <c r="AO9" i="9"/>
  <c r="AP9" i="9"/>
  <c r="C9" i="9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AG7" i="9"/>
  <c r="AH7" i="9"/>
  <c r="AI7" i="9"/>
  <c r="AJ7" i="9"/>
  <c r="AK7" i="9"/>
  <c r="AL7" i="9"/>
  <c r="AM7" i="9"/>
  <c r="AN7" i="9"/>
  <c r="AO7" i="9"/>
  <c r="AP7" i="9"/>
  <c r="C7" i="9"/>
  <c r="AD122" i="29"/>
  <c r="O122" i="29"/>
  <c r="AN120" i="29"/>
  <c r="AJ120" i="29"/>
  <c r="AJ122" i="29" s="1"/>
  <c r="AI120" i="29"/>
  <c r="AH120" i="29"/>
  <c r="AG120" i="29"/>
  <c r="AF120" i="29"/>
  <c r="AE120" i="29"/>
  <c r="AD120" i="29"/>
  <c r="AC120" i="29"/>
  <c r="AB120" i="29"/>
  <c r="AA120" i="29"/>
  <c r="Z120" i="29"/>
  <c r="Y120" i="29"/>
  <c r="X120" i="29"/>
  <c r="W120" i="29"/>
  <c r="V120" i="29"/>
  <c r="V122" i="29" s="1"/>
  <c r="U120" i="29"/>
  <c r="U122" i="29" s="1"/>
  <c r="T120" i="29"/>
  <c r="T122" i="29" s="1"/>
  <c r="T11" i="9" s="1"/>
  <c r="S120" i="29"/>
  <c r="R120" i="29"/>
  <c r="P120" i="29"/>
  <c r="O120" i="29"/>
  <c r="N120" i="29"/>
  <c r="N122" i="29" s="1"/>
  <c r="E120" i="29"/>
  <c r="E122" i="29" s="1"/>
  <c r="C120" i="29"/>
  <c r="C122" i="29" s="1"/>
  <c r="AP119" i="29"/>
  <c r="AO119" i="29"/>
  <c r="AM119" i="29"/>
  <c r="AL119" i="29"/>
  <c r="AK119" i="29"/>
  <c r="Q119" i="29"/>
  <c r="AM118" i="29"/>
  <c r="AO118" i="29" s="1"/>
  <c r="AP118" i="29" s="1"/>
  <c r="AL118" i="29"/>
  <c r="AK118" i="29"/>
  <c r="Q118" i="29"/>
  <c r="AM117" i="29"/>
  <c r="AL117" i="29"/>
  <c r="AL120" i="29" s="1"/>
  <c r="AK117" i="29"/>
  <c r="AO117" i="29" s="1"/>
  <c r="AP117" i="29" s="1"/>
  <c r="Q117" i="29"/>
  <c r="AM116" i="29"/>
  <c r="AL116" i="29"/>
  <c r="AK116" i="29"/>
  <c r="AO116" i="29" s="1"/>
  <c r="Q116" i="29"/>
  <c r="AK115" i="29"/>
  <c r="AJ115" i="29"/>
  <c r="AI115" i="29"/>
  <c r="AH115" i="29"/>
  <c r="AG115" i="29"/>
  <c r="AF115" i="29"/>
  <c r="AE115" i="29"/>
  <c r="AD115" i="29"/>
  <c r="AC115" i="29"/>
  <c r="AB115" i="29"/>
  <c r="AA115" i="29"/>
  <c r="Z115" i="29"/>
  <c r="Y115" i="29"/>
  <c r="X115" i="29"/>
  <c r="W115" i="29"/>
  <c r="V115" i="29"/>
  <c r="U115" i="29"/>
  <c r="T115" i="29"/>
  <c r="S115" i="29"/>
  <c r="R115" i="29"/>
  <c r="P115" i="29"/>
  <c r="O115" i="29"/>
  <c r="N115" i="29"/>
  <c r="C115" i="29"/>
  <c r="AN114" i="29"/>
  <c r="AM114" i="29"/>
  <c r="AO114" i="29" s="1"/>
  <c r="AP114" i="29" s="1"/>
  <c r="AL114" i="29"/>
  <c r="AK114" i="29"/>
  <c r="AO113" i="29"/>
  <c r="Q113" i="29"/>
  <c r="AN112" i="29"/>
  <c r="AN115" i="29" s="1"/>
  <c r="AM112" i="29"/>
  <c r="AL112" i="29"/>
  <c r="AK112" i="29"/>
  <c r="Q112" i="29"/>
  <c r="AO111" i="29"/>
  <c r="AM111" i="29"/>
  <c r="AL111" i="29"/>
  <c r="AL115" i="29" s="1"/>
  <c r="AK111" i="29"/>
  <c r="Q111" i="29"/>
  <c r="AO110" i="29"/>
  <c r="Q110" i="29"/>
  <c r="Q115" i="29" s="1"/>
  <c r="AJ109" i="29"/>
  <c r="AN109" i="29" s="1"/>
  <c r="AI109" i="29"/>
  <c r="AH109" i="29"/>
  <c r="AG109" i="29"/>
  <c r="AK109" i="29" s="1"/>
  <c r="AE109" i="29"/>
  <c r="AD109" i="29"/>
  <c r="AA109" i="29"/>
  <c r="AA122" i="29" s="1"/>
  <c r="Z109" i="29"/>
  <c r="W109" i="29"/>
  <c r="U109" i="29"/>
  <c r="T109" i="29"/>
  <c r="S109" i="29"/>
  <c r="R109" i="29"/>
  <c r="O109" i="29"/>
  <c r="E109" i="29"/>
  <c r="C109" i="29"/>
  <c r="AN108" i="29"/>
  <c r="AM108" i="29"/>
  <c r="AL108" i="29"/>
  <c r="AJ108" i="29"/>
  <c r="AG108" i="29"/>
  <c r="AK108" i="29" s="1"/>
  <c r="AO108" i="29" s="1"/>
  <c r="AP108" i="29" s="1"/>
  <c r="AF108" i="29"/>
  <c r="AC108" i="29"/>
  <c r="AB108" i="29"/>
  <c r="Y108" i="29"/>
  <c r="X108" i="29"/>
  <c r="P108" i="29"/>
  <c r="O108" i="29"/>
  <c r="Q108" i="29" s="1"/>
  <c r="AN107" i="29"/>
  <c r="AO107" i="29" s="1"/>
  <c r="AP107" i="29" s="1"/>
  <c r="AM107" i="29"/>
  <c r="AL107" i="29"/>
  <c r="AJ107" i="29"/>
  <c r="AG107" i="29"/>
  <c r="AK107" i="29" s="1"/>
  <c r="AB107" i="29"/>
  <c r="AF107" i="29" s="1"/>
  <c r="AF109" i="29" s="1"/>
  <c r="AF122" i="29" s="1"/>
  <c r="Y107" i="29"/>
  <c r="Y109" i="29" s="1"/>
  <c r="X107" i="29"/>
  <c r="P107" i="29"/>
  <c r="O107" i="29"/>
  <c r="Q107" i="29" s="1"/>
  <c r="AN106" i="29"/>
  <c r="AM106" i="29"/>
  <c r="AL106" i="29"/>
  <c r="AO106" i="29" s="1"/>
  <c r="AK106" i="29"/>
  <c r="AJ106" i="29"/>
  <c r="AB106" i="29"/>
  <c r="AF106" i="29" s="1"/>
  <c r="X106" i="29"/>
  <c r="P106" i="29"/>
  <c r="P109" i="29" s="1"/>
  <c r="P122" i="29" s="1"/>
  <c r="N106" i="29"/>
  <c r="Q106" i="29" s="1"/>
  <c r="AN105" i="29"/>
  <c r="AM105" i="29"/>
  <c r="AL105" i="29"/>
  <c r="AK105" i="29"/>
  <c r="AO105" i="29" s="1"/>
  <c r="AF105" i="29"/>
  <c r="X105" i="29"/>
  <c r="X109" i="29" s="1"/>
  <c r="X122" i="29" s="1"/>
  <c r="P105" i="29"/>
  <c r="N105" i="29"/>
  <c r="N109" i="29" s="1"/>
  <c r="AN104" i="29"/>
  <c r="AM104" i="29"/>
  <c r="AL104" i="29"/>
  <c r="AJ104" i="29"/>
  <c r="AI104" i="29"/>
  <c r="AH104" i="29"/>
  <c r="AG104" i="29"/>
  <c r="AF104" i="29"/>
  <c r="AE104" i="29"/>
  <c r="AD104" i="29"/>
  <c r="AC104" i="29"/>
  <c r="AB104" i="29"/>
  <c r="AA104" i="29"/>
  <c r="Z104" i="29"/>
  <c r="Y104" i="29"/>
  <c r="X104" i="29"/>
  <c r="W104" i="29"/>
  <c r="V104" i="29"/>
  <c r="U104" i="29"/>
  <c r="T104" i="29"/>
  <c r="S104" i="29"/>
  <c r="R104" i="29"/>
  <c r="Q104" i="29"/>
  <c r="P104" i="29"/>
  <c r="O104" i="29"/>
  <c r="N104" i="29"/>
  <c r="E104" i="29"/>
  <c r="C104" i="29"/>
  <c r="AK103" i="29"/>
  <c r="AK104" i="29" s="1"/>
  <c r="AP102" i="29"/>
  <c r="AN102" i="29"/>
  <c r="AJ102" i="29"/>
  <c r="AI102" i="29"/>
  <c r="AH102" i="29"/>
  <c r="AG102" i="29"/>
  <c r="AF102" i="29"/>
  <c r="AE102" i="29"/>
  <c r="AD102" i="29"/>
  <c r="AC102" i="29"/>
  <c r="AB102" i="29"/>
  <c r="AA102" i="29"/>
  <c r="Z102" i="29"/>
  <c r="Y102" i="29"/>
  <c r="X102" i="29"/>
  <c r="W102" i="29"/>
  <c r="V102" i="29"/>
  <c r="U102" i="29"/>
  <c r="S102" i="29"/>
  <c r="P102" i="29"/>
  <c r="O102" i="29"/>
  <c r="N102" i="29"/>
  <c r="C102" i="29"/>
  <c r="Q101" i="29"/>
  <c r="AM100" i="29"/>
  <c r="AL100" i="29"/>
  <c r="AL102" i="29" s="1"/>
  <c r="AK100" i="29"/>
  <c r="Q100" i="29"/>
  <c r="Q99" i="29"/>
  <c r="Q98" i="29"/>
  <c r="Q97" i="29"/>
  <c r="Q96" i="29"/>
  <c r="Q95" i="29"/>
  <c r="AM94" i="29"/>
  <c r="AM102" i="29" s="1"/>
  <c r="AK94" i="29"/>
  <c r="AK102" i="29" s="1"/>
  <c r="Q94" i="29"/>
  <c r="AO93" i="29"/>
  <c r="AO102" i="29" s="1"/>
  <c r="Q93" i="29"/>
  <c r="Q102" i="29" s="1"/>
  <c r="AO92" i="29"/>
  <c r="Q92" i="29"/>
  <c r="AJ91" i="29"/>
  <c r="AI91" i="29"/>
  <c r="AH91" i="29"/>
  <c r="AG91" i="29"/>
  <c r="AF91" i="29"/>
  <c r="AE91" i="29"/>
  <c r="AD91" i="29"/>
  <c r="AC91" i="29"/>
  <c r="AB91" i="29"/>
  <c r="AA91" i="29"/>
  <c r="Z91" i="29"/>
  <c r="Y91" i="29"/>
  <c r="X91" i="29"/>
  <c r="W91" i="29"/>
  <c r="W122" i="29" s="1"/>
  <c r="V91" i="29"/>
  <c r="U91" i="29"/>
  <c r="T91" i="29"/>
  <c r="S91" i="29"/>
  <c r="R91" i="29"/>
  <c r="P91" i="29"/>
  <c r="O91" i="29"/>
  <c r="N91" i="29"/>
  <c r="E91" i="29"/>
  <c r="C91" i="29"/>
  <c r="AN90" i="29"/>
  <c r="AN91" i="29" s="1"/>
  <c r="AM90" i="29"/>
  <c r="AL90" i="29"/>
  <c r="AK90" i="29"/>
  <c r="Q90" i="29"/>
  <c r="AN89" i="29"/>
  <c r="AM89" i="29"/>
  <c r="AM91" i="29" s="1"/>
  <c r="AL89" i="29"/>
  <c r="AK89" i="29"/>
  <c r="AO89" i="29" s="1"/>
  <c r="AP89" i="29" s="1"/>
  <c r="Q89" i="29"/>
  <c r="AN88" i="29"/>
  <c r="AM88" i="29"/>
  <c r="AL88" i="29"/>
  <c r="AL91" i="29" s="1"/>
  <c r="AK88" i="29"/>
  <c r="AO88" i="29" s="1"/>
  <c r="Q88" i="29"/>
  <c r="Q87" i="29"/>
  <c r="Q86" i="29"/>
  <c r="Q85" i="29"/>
  <c r="Q84" i="29"/>
  <c r="Q83" i="29"/>
  <c r="Q82" i="29"/>
  <c r="Q81" i="29"/>
  <c r="Q80" i="29"/>
  <c r="Q79" i="29"/>
  <c r="Q78" i="29"/>
  <c r="Q77" i="29"/>
  <c r="Q76" i="29"/>
  <c r="Q75" i="29"/>
  <c r="Q74" i="29"/>
  <c r="Q73" i="29"/>
  <c r="Q72" i="29"/>
  <c r="Q71" i="29"/>
  <c r="Q70" i="29"/>
  <c r="Q69" i="29"/>
  <c r="Q68" i="29"/>
  <c r="Q67" i="29"/>
  <c r="Q66" i="29"/>
  <c r="Q65" i="29"/>
  <c r="Q64" i="29"/>
  <c r="Q63" i="29"/>
  <c r="Q62" i="29"/>
  <c r="Q61" i="29"/>
  <c r="Q60" i="29"/>
  <c r="Q59" i="29"/>
  <c r="Q58" i="29"/>
  <c r="Q91" i="29" s="1"/>
  <c r="AJ57" i="29"/>
  <c r="AI57" i="29"/>
  <c r="AH57" i="29"/>
  <c r="AG57" i="29"/>
  <c r="AF57" i="29"/>
  <c r="AE57" i="29"/>
  <c r="AE122" i="29" s="1"/>
  <c r="AD57" i="29"/>
  <c r="AC57" i="29"/>
  <c r="AB57" i="29"/>
  <c r="AA57" i="29"/>
  <c r="Z57" i="29"/>
  <c r="Y57" i="29"/>
  <c r="X57" i="29"/>
  <c r="W57" i="29"/>
  <c r="U57" i="29"/>
  <c r="T57" i="29"/>
  <c r="S57" i="29"/>
  <c r="R57" i="29"/>
  <c r="P57" i="29"/>
  <c r="O57" i="29"/>
  <c r="N57" i="29"/>
  <c r="E57" i="29"/>
  <c r="C57" i="29"/>
  <c r="AN56" i="29"/>
  <c r="AM56" i="29"/>
  <c r="AL56" i="29"/>
  <c r="AK56" i="29"/>
  <c r="AO56" i="29" s="1"/>
  <c r="AP56" i="29" s="1"/>
  <c r="AN55" i="29"/>
  <c r="AM55" i="29"/>
  <c r="AL55" i="29"/>
  <c r="AK55" i="29"/>
  <c r="AN54" i="29"/>
  <c r="AM54" i="29"/>
  <c r="AL54" i="29"/>
  <c r="AK54" i="29"/>
  <c r="AO54" i="29" s="1"/>
  <c r="AP54" i="29" s="1"/>
  <c r="Q54" i="29"/>
  <c r="AN53" i="29"/>
  <c r="AO53" i="29" s="1"/>
  <c r="AP53" i="29" s="1"/>
  <c r="AM53" i="29"/>
  <c r="AL53" i="29"/>
  <c r="AK53" i="29"/>
  <c r="AN52" i="29"/>
  <c r="AM52" i="29"/>
  <c r="AL52" i="29"/>
  <c r="AO52" i="29" s="1"/>
  <c r="AP52" i="29" s="1"/>
  <c r="AK52" i="29"/>
  <c r="Q52" i="29"/>
  <c r="AN51" i="29"/>
  <c r="AO51" i="29" s="1"/>
  <c r="AP51" i="29" s="1"/>
  <c r="AM51" i="29"/>
  <c r="AL51" i="29"/>
  <c r="AK51" i="29"/>
  <c r="Q51" i="29"/>
  <c r="AN50" i="29"/>
  <c r="AM50" i="29"/>
  <c r="AL50" i="29"/>
  <c r="AK50" i="29"/>
  <c r="AO50" i="29" s="1"/>
  <c r="AP50" i="29" s="1"/>
  <c r="Q50" i="29"/>
  <c r="AN49" i="29"/>
  <c r="AM49" i="29"/>
  <c r="AL49" i="29"/>
  <c r="AK49" i="29"/>
  <c r="AO49" i="29" s="1"/>
  <c r="Q49" i="29"/>
  <c r="AP48" i="29"/>
  <c r="AN48" i="29"/>
  <c r="AM48" i="29"/>
  <c r="AL48" i="29"/>
  <c r="AK48" i="29"/>
  <c r="AO48" i="29" s="1"/>
  <c r="Q48" i="29"/>
  <c r="Q57" i="29" s="1"/>
  <c r="AO47" i="29"/>
  <c r="AP47" i="29" s="1"/>
  <c r="AN47" i="29"/>
  <c r="AM47" i="29"/>
  <c r="AL47" i="29"/>
  <c r="AK47" i="29"/>
  <c r="Q47" i="29"/>
  <c r="AN46" i="29"/>
  <c r="AO46" i="29" s="1"/>
  <c r="AP46" i="29" s="1"/>
  <c r="AM46" i="29"/>
  <c r="AL46" i="29"/>
  <c r="AK46" i="29"/>
  <c r="Q46" i="29"/>
  <c r="AN45" i="29"/>
  <c r="AM45" i="29"/>
  <c r="AM57" i="29" s="1"/>
  <c r="AL45" i="29"/>
  <c r="AL57" i="29" s="1"/>
  <c r="AK45" i="29"/>
  <c r="AK57" i="29" s="1"/>
  <c r="Q45" i="29"/>
  <c r="AJ44" i="29"/>
  <c r="AI44" i="29"/>
  <c r="AH44" i="29"/>
  <c r="AG44" i="29"/>
  <c r="AF44" i="29"/>
  <c r="AE44" i="29"/>
  <c r="AD44" i="29"/>
  <c r="AC44" i="29"/>
  <c r="AB44" i="29"/>
  <c r="AA44" i="29"/>
  <c r="Z44" i="29"/>
  <c r="Y44" i="29"/>
  <c r="X44" i="29"/>
  <c r="W44" i="29"/>
  <c r="V44" i="29"/>
  <c r="U44" i="29"/>
  <c r="T44" i="29"/>
  <c r="S44" i="29"/>
  <c r="R44" i="29"/>
  <c r="P44" i="29"/>
  <c r="O44" i="29"/>
  <c r="N44" i="29"/>
  <c r="E44" i="29"/>
  <c r="C44" i="29"/>
  <c r="AO43" i="29"/>
  <c r="AP43" i="29" s="1"/>
  <c r="AN43" i="29"/>
  <c r="AM43" i="29"/>
  <c r="AL43" i="29"/>
  <c r="AK43" i="29"/>
  <c r="Q43" i="29"/>
  <c r="AO42" i="29"/>
  <c r="AP42" i="29" s="1"/>
  <c r="AN42" i="29"/>
  <c r="AN44" i="29" s="1"/>
  <c r="AM42" i="29"/>
  <c r="AL42" i="29"/>
  <c r="AK42" i="29"/>
  <c r="Q42" i="29"/>
  <c r="AO41" i="29"/>
  <c r="AP41" i="29" s="1"/>
  <c r="AN41" i="29"/>
  <c r="AM41" i="29"/>
  <c r="AM44" i="29" s="1"/>
  <c r="AL41" i="29"/>
  <c r="AL44" i="29" s="1"/>
  <c r="AK41" i="29"/>
  <c r="Q41" i="29"/>
  <c r="AO40" i="29"/>
  <c r="AM40" i="29"/>
  <c r="AL40" i="29"/>
  <c r="AK40" i="29"/>
  <c r="Q40" i="29"/>
  <c r="Q44" i="29" s="1"/>
  <c r="AL39" i="29"/>
  <c r="AJ39" i="29"/>
  <c r="AI39" i="29"/>
  <c r="AI122" i="29" s="1"/>
  <c r="AH39" i="29"/>
  <c r="AG39" i="29"/>
  <c r="AF39" i="29"/>
  <c r="AE39" i="29"/>
  <c r="AD39" i="29"/>
  <c r="AC39" i="29"/>
  <c r="AB39" i="29"/>
  <c r="AA39" i="29"/>
  <c r="Z39" i="29"/>
  <c r="Y39" i="29"/>
  <c r="X39" i="29"/>
  <c r="W39" i="29"/>
  <c r="V39" i="29"/>
  <c r="U39" i="29"/>
  <c r="T39" i="29"/>
  <c r="S39" i="29"/>
  <c r="R39" i="29"/>
  <c r="P39" i="29"/>
  <c r="O39" i="29"/>
  <c r="N39" i="29"/>
  <c r="E39" i="29"/>
  <c r="AM38" i="29"/>
  <c r="AL38" i="29"/>
  <c r="AK38" i="29"/>
  <c r="AO38" i="29" s="1"/>
  <c r="AP38" i="29" s="1"/>
  <c r="Q38" i="29"/>
  <c r="AN37" i="29"/>
  <c r="AN39" i="29" s="1"/>
  <c r="AL37" i="29"/>
  <c r="AK37" i="29"/>
  <c r="AO37" i="29" s="1"/>
  <c r="AP37" i="29" s="1"/>
  <c r="AP36" i="29"/>
  <c r="AM36" i="29"/>
  <c r="AL36" i="29"/>
  <c r="AK36" i="29"/>
  <c r="AM35" i="29"/>
  <c r="AL35" i="29"/>
  <c r="AK35" i="29"/>
  <c r="AO35" i="29" s="1"/>
  <c r="AP35" i="29" s="1"/>
  <c r="Q35" i="29"/>
  <c r="AM34" i="29"/>
  <c r="AL34" i="29"/>
  <c r="AK34" i="29"/>
  <c r="AO34" i="29" s="1"/>
  <c r="AP34" i="29" s="1"/>
  <c r="Q34" i="29"/>
  <c r="AO33" i="29"/>
  <c r="AP33" i="29" s="1"/>
  <c r="AM33" i="29"/>
  <c r="AL33" i="29"/>
  <c r="AK33" i="29"/>
  <c r="Q33" i="29"/>
  <c r="AM32" i="29"/>
  <c r="AL32" i="29"/>
  <c r="AO32" i="29" s="1"/>
  <c r="AP32" i="29" s="1"/>
  <c r="AK32" i="29"/>
  <c r="Q32" i="29"/>
  <c r="AM31" i="29"/>
  <c r="AL31" i="29"/>
  <c r="AO31" i="29" s="1"/>
  <c r="AP31" i="29" s="1"/>
  <c r="AK31" i="29"/>
  <c r="Q31" i="29"/>
  <c r="AL30" i="29"/>
  <c r="AK30" i="29"/>
  <c r="Q30" i="29"/>
  <c r="AP30" i="29" s="1"/>
  <c r="AM29" i="29"/>
  <c r="AO29" i="29" s="1"/>
  <c r="AP29" i="29" s="1"/>
  <c r="AL29" i="29"/>
  <c r="AK29" i="29"/>
  <c r="Q29" i="29"/>
  <c r="AM28" i="29"/>
  <c r="AL28" i="29"/>
  <c r="AK28" i="29"/>
  <c r="AO28" i="29" s="1"/>
  <c r="AP28" i="29" s="1"/>
  <c r="Q28" i="29"/>
  <c r="AM27" i="29"/>
  <c r="AL27" i="29"/>
  <c r="AK27" i="29"/>
  <c r="AO27" i="29" s="1"/>
  <c r="Q27" i="29"/>
  <c r="AO26" i="29"/>
  <c r="AP26" i="29" s="1"/>
  <c r="AM26" i="29"/>
  <c r="AL26" i="29"/>
  <c r="AK26" i="29"/>
  <c r="Q26" i="29"/>
  <c r="Q25" i="29"/>
  <c r="AP25" i="29" s="1"/>
  <c r="Q24" i="29"/>
  <c r="AP24" i="29" s="1"/>
  <c r="Q22" i="29"/>
  <c r="AP22" i="29" s="1"/>
  <c r="Q21" i="29"/>
  <c r="AP21" i="29" s="1"/>
  <c r="Q20" i="29"/>
  <c r="AP20" i="29" s="1"/>
  <c r="AP19" i="29"/>
  <c r="Q19" i="29"/>
  <c r="AO18" i="29"/>
  <c r="AP18" i="29" s="1"/>
  <c r="AK18" i="29"/>
  <c r="AK39" i="29" s="1"/>
  <c r="Q18" i="29"/>
  <c r="Q17" i="29"/>
  <c r="AP17" i="29" s="1"/>
  <c r="AO16" i="29"/>
  <c r="AP16" i="29" s="1"/>
  <c r="Q16" i="29"/>
  <c r="Q15" i="29"/>
  <c r="AP15" i="29" s="1"/>
  <c r="AP14" i="29"/>
  <c r="AO14" i="29"/>
  <c r="AO39" i="29" s="1"/>
  <c r="Q14" i="29"/>
  <c r="AN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S122" i="29" s="1"/>
  <c r="R13" i="29"/>
  <c r="P13" i="29"/>
  <c r="O13" i="29"/>
  <c r="N13" i="29"/>
  <c r="E13" i="29"/>
  <c r="C13" i="29"/>
  <c r="AP12" i="29"/>
  <c r="AM12" i="29"/>
  <c r="AL12" i="29"/>
  <c r="AK12" i="29"/>
  <c r="AO12" i="29" s="1"/>
  <c r="Q12" i="29"/>
  <c r="Q11" i="29"/>
  <c r="AO10" i="29"/>
  <c r="AP10" i="29" s="1"/>
  <c r="AM10" i="29"/>
  <c r="AL10" i="29"/>
  <c r="AK10" i="29"/>
  <c r="Q10" i="29"/>
  <c r="AM9" i="29"/>
  <c r="AM13" i="29" s="1"/>
  <c r="AL9" i="29"/>
  <c r="AO9" i="29" s="1"/>
  <c r="AP9" i="29" s="1"/>
  <c r="AK9" i="29"/>
  <c r="Q9" i="29"/>
  <c r="AM8" i="29"/>
  <c r="AL8" i="29"/>
  <c r="AK8" i="29"/>
  <c r="AO8" i="29" s="1"/>
  <c r="Q8" i="29"/>
  <c r="Q13" i="29" s="1"/>
  <c r="AM7" i="29"/>
  <c r="AL7" i="29"/>
  <c r="AK7" i="29"/>
  <c r="AO7" i="29" s="1"/>
  <c r="AP7" i="29" s="1"/>
  <c r="Q7" i="29"/>
  <c r="C53" i="24"/>
  <c r="AJ49" i="28"/>
  <c r="AI49" i="28"/>
  <c r="AH49" i="28"/>
  <c r="AG49" i="28"/>
  <c r="AG51" i="28" s="1"/>
  <c r="AF49" i="28"/>
  <c r="AF51" i="28" s="1"/>
  <c r="AE49" i="28"/>
  <c r="AE51" i="28" s="1"/>
  <c r="AD49" i="28"/>
  <c r="AC49" i="28"/>
  <c r="AB49" i="28"/>
  <c r="AA49" i="28"/>
  <c r="Z49" i="28"/>
  <c r="Y49" i="28"/>
  <c r="Y51" i="28" s="1"/>
  <c r="X49" i="28"/>
  <c r="X51" i="28" s="1"/>
  <c r="W49" i="28"/>
  <c r="W51" i="28" s="1"/>
  <c r="V49" i="28"/>
  <c r="U49" i="28"/>
  <c r="T49" i="28"/>
  <c r="S49" i="28"/>
  <c r="R49" i="28"/>
  <c r="Q49" i="28"/>
  <c r="P49" i="28"/>
  <c r="P51" i="28" s="1"/>
  <c r="O49" i="28"/>
  <c r="O51" i="28" s="1"/>
  <c r="N49" i="28"/>
  <c r="E49" i="28"/>
  <c r="C49" i="28"/>
  <c r="AN48" i="28"/>
  <c r="AM48" i="28"/>
  <c r="AL48" i="28"/>
  <c r="AO48" i="28" s="1"/>
  <c r="AP48" i="28" s="1"/>
  <c r="AK48" i="28"/>
  <c r="Q48" i="28"/>
  <c r="AN47" i="28"/>
  <c r="AM47" i="28"/>
  <c r="AL47" i="28"/>
  <c r="AK47" i="28"/>
  <c r="AO47" i="28" s="1"/>
  <c r="AP47" i="28" s="1"/>
  <c r="AN46" i="28"/>
  <c r="AM46" i="28"/>
  <c r="AL46" i="28"/>
  <c r="AK46" i="28"/>
  <c r="AO46" i="28" s="1"/>
  <c r="AP46" i="28" s="1"/>
  <c r="AO45" i="28"/>
  <c r="AP45" i="28" s="1"/>
  <c r="AN45" i="28"/>
  <c r="AM45" i="28"/>
  <c r="AL45" i="28"/>
  <c r="AK45" i="28"/>
  <c r="AN44" i="28"/>
  <c r="AM44" i="28"/>
  <c r="AO44" i="28" s="1"/>
  <c r="AP44" i="28" s="1"/>
  <c r="AL44" i="28"/>
  <c r="AK44" i="28"/>
  <c r="AN43" i="28"/>
  <c r="AM43" i="28"/>
  <c r="AM49" i="28" s="1"/>
  <c r="AM51" i="28" s="1"/>
  <c r="AL43" i="28"/>
  <c r="AK43" i="28"/>
  <c r="AO43" i="28" s="1"/>
  <c r="AP43" i="28" s="1"/>
  <c r="AN42" i="28"/>
  <c r="AM42" i="28"/>
  <c r="AL42" i="28"/>
  <c r="AK42" i="28"/>
  <c r="AO42" i="28" s="1"/>
  <c r="AP42" i="28" s="1"/>
  <c r="AO41" i="28"/>
  <c r="AP41" i="28" s="1"/>
  <c r="AN41" i="28"/>
  <c r="AM41" i="28"/>
  <c r="AL41" i="28"/>
  <c r="AK41" i="28"/>
  <c r="Q41" i="28"/>
  <c r="AN40" i="28"/>
  <c r="AN49" i="28" s="1"/>
  <c r="AM40" i="28"/>
  <c r="AL40" i="28"/>
  <c r="AL49" i="28" s="1"/>
  <c r="AK40" i="28"/>
  <c r="AK49" i="28" s="1"/>
  <c r="Q40" i="28"/>
  <c r="AO39" i="28"/>
  <c r="AN39" i="28"/>
  <c r="AM39" i="28"/>
  <c r="AL39" i="28"/>
  <c r="AK39" i="28"/>
  <c r="AJ39" i="28"/>
  <c r="AI39" i="28"/>
  <c r="AH39" i="28"/>
  <c r="AG39" i="28"/>
  <c r="AF39" i="28"/>
  <c r="AE39" i="28"/>
  <c r="AD39" i="28"/>
  <c r="AC39" i="28"/>
  <c r="AB39" i="28"/>
  <c r="AA39" i="28"/>
  <c r="Z39" i="28"/>
  <c r="Y39" i="28"/>
  <c r="X39" i="28"/>
  <c r="W39" i="28"/>
  <c r="V39" i="28"/>
  <c r="U39" i="28"/>
  <c r="T39" i="28"/>
  <c r="S39" i="28"/>
  <c r="R39" i="28"/>
  <c r="P39" i="28"/>
  <c r="O39" i="28"/>
  <c r="N39" i="28"/>
  <c r="E39" i="28"/>
  <c r="Q38" i="28"/>
  <c r="AP38" i="28" s="1"/>
  <c r="Q37" i="28"/>
  <c r="AP37" i="28" s="1"/>
  <c r="Q36" i="28"/>
  <c r="AP36" i="28" s="1"/>
  <c r="Q35" i="28"/>
  <c r="AP35" i="28" s="1"/>
  <c r="Q34" i="28"/>
  <c r="AP34" i="28" s="1"/>
  <c r="A34" i="28"/>
  <c r="Q33" i="28"/>
  <c r="AP33" i="28" s="1"/>
  <c r="AP32" i="28"/>
  <c r="Q32" i="28"/>
  <c r="Q31" i="28"/>
  <c r="AP31" i="28" s="1"/>
  <c r="Q30" i="28"/>
  <c r="AP30" i="28" s="1"/>
  <c r="Q29" i="28"/>
  <c r="Q39" i="28" s="1"/>
  <c r="AJ28" i="28"/>
  <c r="AJ51" i="28" s="1"/>
  <c r="AI28" i="28"/>
  <c r="AI51" i="28" s="1"/>
  <c r="AH28" i="28"/>
  <c r="AH51" i="28" s="1"/>
  <c r="AG28" i="28"/>
  <c r="AF28" i="28"/>
  <c r="AE28" i="28"/>
  <c r="AD28" i="28"/>
  <c r="AD51" i="28" s="1"/>
  <c r="AC28" i="28"/>
  <c r="AC51" i="28" s="1"/>
  <c r="AB28" i="28"/>
  <c r="AB51" i="28" s="1"/>
  <c r="AA28" i="28"/>
  <c r="AA51" i="28" s="1"/>
  <c r="Z28" i="28"/>
  <c r="Z51" i="28" s="1"/>
  <c r="Y28" i="28"/>
  <c r="X28" i="28"/>
  <c r="W28" i="28"/>
  <c r="V28" i="28"/>
  <c r="V51" i="28" s="1"/>
  <c r="U28" i="28"/>
  <c r="U51" i="28" s="1"/>
  <c r="T28" i="28"/>
  <c r="T51" i="28" s="1"/>
  <c r="S28" i="28"/>
  <c r="S51" i="28" s="1"/>
  <c r="R28" i="28"/>
  <c r="R51" i="28" s="1"/>
  <c r="P28" i="28"/>
  <c r="O28" i="28"/>
  <c r="N28" i="28"/>
  <c r="N51" i="28" s="1"/>
  <c r="E28" i="28"/>
  <c r="E51" i="28" s="1"/>
  <c r="C28" i="28"/>
  <c r="C51" i="28" s="1"/>
  <c r="Q27" i="28"/>
  <c r="Q26" i="28"/>
  <c r="Q25" i="28"/>
  <c r="Q24" i="28"/>
  <c r="AN23" i="28"/>
  <c r="AM23" i="28"/>
  <c r="AL23" i="28"/>
  <c r="AK23" i="28"/>
  <c r="AO23" i="28" s="1"/>
  <c r="AP23" i="28" s="1"/>
  <c r="Q23" i="28"/>
  <c r="AN22" i="28"/>
  <c r="AN28" i="28" s="1"/>
  <c r="AM22" i="28"/>
  <c r="AM28" i="28" s="1"/>
  <c r="AL22" i="28"/>
  <c r="AL28" i="28" s="1"/>
  <c r="AK22" i="28"/>
  <c r="AO22" i="28" s="1"/>
  <c r="Q22" i="28"/>
  <c r="Q28" i="28" s="1"/>
  <c r="AJ21" i="28"/>
  <c r="AI21" i="28"/>
  <c r="AH21" i="28"/>
  <c r="AG21" i="28"/>
  <c r="AF21" i="28"/>
  <c r="AE21" i="28"/>
  <c r="AD21" i="28"/>
  <c r="AC21" i="28"/>
  <c r="AB21" i="28"/>
  <c r="AA21" i="28"/>
  <c r="Z21" i="28"/>
  <c r="Y21" i="28"/>
  <c r="X21" i="28"/>
  <c r="W21" i="28"/>
  <c r="V21" i="28"/>
  <c r="U21" i="28"/>
  <c r="T21" i="28"/>
  <c r="S21" i="28"/>
  <c r="R21" i="28"/>
  <c r="P21" i="28"/>
  <c r="O21" i="28"/>
  <c r="N21" i="28"/>
  <c r="E21" i="28"/>
  <c r="C21" i="28"/>
  <c r="AN20" i="28"/>
  <c r="AM20" i="28"/>
  <c r="AL20" i="28"/>
  <c r="AK20" i="28"/>
  <c r="AO20" i="28" s="1"/>
  <c r="AP20" i="28" s="1"/>
  <c r="Q20" i="28"/>
  <c r="AO19" i="28"/>
  <c r="AP19" i="28" s="1"/>
  <c r="AN19" i="28"/>
  <c r="AM19" i="28"/>
  <c r="AL19" i="28"/>
  <c r="AK19" i="28"/>
  <c r="Q19" i="28"/>
  <c r="AN18" i="28"/>
  <c r="AO18" i="28" s="1"/>
  <c r="AP18" i="28" s="1"/>
  <c r="AM18" i="28"/>
  <c r="AL18" i="28"/>
  <c r="AK18" i="28"/>
  <c r="Q18" i="28"/>
  <c r="AN17" i="28"/>
  <c r="AM17" i="28"/>
  <c r="AO17" i="28" s="1"/>
  <c r="AP17" i="28" s="1"/>
  <c r="AL17" i="28"/>
  <c r="AK17" i="28"/>
  <c r="Q17" i="28"/>
  <c r="AN16" i="28"/>
  <c r="AM16" i="28"/>
  <c r="AL16" i="28"/>
  <c r="AO16" i="28" s="1"/>
  <c r="AP16" i="28" s="1"/>
  <c r="AK16" i="28"/>
  <c r="Q16" i="28"/>
  <c r="AN15" i="28"/>
  <c r="AM15" i="28"/>
  <c r="AL15" i="28"/>
  <c r="AK15" i="28"/>
  <c r="AO15" i="28" s="1"/>
  <c r="AP15" i="28" s="1"/>
  <c r="Q15" i="28"/>
  <c r="AN14" i="28"/>
  <c r="AM14" i="28"/>
  <c r="AL14" i="28"/>
  <c r="AK14" i="28"/>
  <c r="AO14" i="28" s="1"/>
  <c r="AP14" i="28" s="1"/>
  <c r="Q14" i="28"/>
  <c r="AN13" i="28"/>
  <c r="AN21" i="28" s="1"/>
  <c r="AM13" i="28"/>
  <c r="AM21" i="28" s="1"/>
  <c r="AL13" i="28"/>
  <c r="AL21" i="28" s="1"/>
  <c r="AK13" i="28"/>
  <c r="AO13" i="28" s="1"/>
  <c r="Q13" i="28"/>
  <c r="Q21" i="28" s="1"/>
  <c r="AJ12" i="28"/>
  <c r="AI12" i="28"/>
  <c r="AH12" i="28"/>
  <c r="AG12" i="28"/>
  <c r="AF12" i="28"/>
  <c r="AE12" i="28"/>
  <c r="AD12" i="28"/>
  <c r="AC12" i="28"/>
  <c r="AB12" i="28"/>
  <c r="AA12" i="28"/>
  <c r="Z12" i="28"/>
  <c r="Y12" i="28"/>
  <c r="X12" i="28"/>
  <c r="W12" i="28"/>
  <c r="V12" i="28"/>
  <c r="U12" i="28"/>
  <c r="T12" i="28"/>
  <c r="S12" i="28"/>
  <c r="R12" i="28"/>
  <c r="P12" i="28"/>
  <c r="O12" i="28"/>
  <c r="N12" i="28"/>
  <c r="E12" i="28"/>
  <c r="C12" i="28"/>
  <c r="AO11" i="28"/>
  <c r="AP11" i="28" s="1"/>
  <c r="AN11" i="28"/>
  <c r="AM11" i="28"/>
  <c r="AL11" i="28"/>
  <c r="AK11" i="28"/>
  <c r="Q11" i="28"/>
  <c r="AN10" i="28"/>
  <c r="AO10" i="28" s="1"/>
  <c r="AP10" i="28" s="1"/>
  <c r="AM10" i="28"/>
  <c r="AL10" i="28"/>
  <c r="AK10" i="28"/>
  <c r="Q10" i="28"/>
  <c r="AN9" i="28"/>
  <c r="AM9" i="28"/>
  <c r="AO9" i="28" s="1"/>
  <c r="AP9" i="28" s="1"/>
  <c r="AL9" i="28"/>
  <c r="AK9" i="28"/>
  <c r="Q9" i="28"/>
  <c r="AN8" i="28"/>
  <c r="AM8" i="28"/>
  <c r="AL8" i="28"/>
  <c r="AO8" i="28" s="1"/>
  <c r="AP8" i="28" s="1"/>
  <c r="AK8" i="28"/>
  <c r="Q8" i="28"/>
  <c r="AN7" i="28"/>
  <c r="AM7" i="28"/>
  <c r="AM12" i="28" s="1"/>
  <c r="AL7" i="28"/>
  <c r="AL12" i="28" s="1"/>
  <c r="AK7" i="28"/>
  <c r="Q7" i="28"/>
  <c r="Q12" i="28" s="1"/>
  <c r="AP106" i="29" l="1"/>
  <c r="AO109" i="29"/>
  <c r="AO13" i="29"/>
  <c r="AP8" i="29"/>
  <c r="AP13" i="29" s="1"/>
  <c r="AB122" i="29"/>
  <c r="AO91" i="29"/>
  <c r="AN57" i="29"/>
  <c r="Q39" i="29"/>
  <c r="AP111" i="29"/>
  <c r="AP115" i="29" s="1"/>
  <c r="AK120" i="29"/>
  <c r="AK44" i="29"/>
  <c r="AK91" i="29"/>
  <c r="AO103" i="29"/>
  <c r="AC107" i="29"/>
  <c r="AC109" i="29" s="1"/>
  <c r="AC122" i="29" s="1"/>
  <c r="AP113" i="29"/>
  <c r="AL13" i="29"/>
  <c r="AP49" i="29"/>
  <c r="AP110" i="29"/>
  <c r="AO45" i="29"/>
  <c r="Q120" i="29"/>
  <c r="Q122" i="29" s="1"/>
  <c r="AP27" i="29"/>
  <c r="AP39" i="29" s="1"/>
  <c r="AO44" i="29"/>
  <c r="AO90" i="29"/>
  <c r="AP90" i="29" s="1"/>
  <c r="Y122" i="29"/>
  <c r="AG122" i="29"/>
  <c r="AO120" i="29"/>
  <c r="AP116" i="29"/>
  <c r="AP120" i="29" s="1"/>
  <c r="AP40" i="29"/>
  <c r="AP44" i="29" s="1"/>
  <c r="AO55" i="29"/>
  <c r="AP55" i="29" s="1"/>
  <c r="AP88" i="29"/>
  <c r="AP91" i="29" s="1"/>
  <c r="AL109" i="29"/>
  <c r="AL122" i="29" s="1"/>
  <c r="AL11" i="9" s="1"/>
  <c r="AN122" i="29"/>
  <c r="R122" i="29"/>
  <c r="Z122" i="29"/>
  <c r="AH122" i="29"/>
  <c r="AM109" i="29"/>
  <c r="AB109" i="29"/>
  <c r="AM115" i="29"/>
  <c r="AO112" i="29"/>
  <c r="AP112" i="29" s="1"/>
  <c r="AM120" i="29"/>
  <c r="Q105" i="29"/>
  <c r="Q109" i="29" s="1"/>
  <c r="AO7" i="28"/>
  <c r="AK12" i="28"/>
  <c r="AL51" i="28"/>
  <c r="AO28" i="28"/>
  <c r="AP22" i="28"/>
  <c r="AP28" i="28" s="1"/>
  <c r="AN51" i="28"/>
  <c r="AK51" i="28"/>
  <c r="AP13" i="28"/>
  <c r="AP21" i="28" s="1"/>
  <c r="AO21" i="28"/>
  <c r="AN12" i="28"/>
  <c r="Q51" i="28"/>
  <c r="AK21" i="28"/>
  <c r="AK28" i="28"/>
  <c r="AO40" i="28"/>
  <c r="AP29" i="28"/>
  <c r="AP39" i="28" s="1"/>
  <c r="AP103" i="29" l="1"/>
  <c r="AP104" i="29" s="1"/>
  <c r="AO104" i="29"/>
  <c r="AP45" i="29"/>
  <c r="AP57" i="29" s="1"/>
  <c r="AP122" i="29" s="1"/>
  <c r="AO57" i="29"/>
  <c r="AO122" i="29" s="1"/>
  <c r="AK122" i="29"/>
  <c r="AM122" i="29"/>
  <c r="AM11" i="9" s="1"/>
  <c r="AP105" i="29"/>
  <c r="AP109" i="29" s="1"/>
  <c r="AO115" i="29"/>
  <c r="AO49" i="28"/>
  <c r="AP40" i="28"/>
  <c r="AP49" i="28" s="1"/>
  <c r="AP51" i="28" s="1"/>
  <c r="AO12" i="28"/>
  <c r="AP7" i="28"/>
  <c r="AP12" i="28" s="1"/>
  <c r="AO51" i="28" l="1"/>
  <c r="AA77" i="27" l="1"/>
  <c r="T77" i="27"/>
  <c r="K77" i="27"/>
  <c r="C77" i="27"/>
  <c r="AM75" i="27"/>
  <c r="AL75" i="27"/>
  <c r="AK75" i="27"/>
  <c r="AJ75" i="27"/>
  <c r="AJ77" i="27" s="1"/>
  <c r="AI75" i="27"/>
  <c r="AI77" i="27" s="1"/>
  <c r="AH75" i="27"/>
  <c r="AH77" i="27" s="1"/>
  <c r="AG75" i="27"/>
  <c r="AF75" i="27"/>
  <c r="AE75" i="27"/>
  <c r="AD75" i="27"/>
  <c r="AC75" i="27"/>
  <c r="AC77" i="27" s="1"/>
  <c r="AB75" i="27"/>
  <c r="AB77" i="27" s="1"/>
  <c r="AA75" i="27"/>
  <c r="Z75" i="27"/>
  <c r="Z77" i="27" s="1"/>
  <c r="Y75" i="27"/>
  <c r="X75" i="27"/>
  <c r="V75" i="27"/>
  <c r="U75" i="27"/>
  <c r="T75" i="27"/>
  <c r="S75" i="27"/>
  <c r="S77" i="27" s="1"/>
  <c r="R75" i="27"/>
  <c r="R77" i="27" s="1"/>
  <c r="P75" i="27"/>
  <c r="O75" i="27"/>
  <c r="N75" i="27"/>
  <c r="E75" i="27"/>
  <c r="AN69" i="27"/>
  <c r="AN75" i="27" s="1"/>
  <c r="AM69" i="27"/>
  <c r="AL69" i="27"/>
  <c r="AP68" i="27"/>
  <c r="AP67" i="27"/>
  <c r="AP66" i="27"/>
  <c r="AP65" i="27"/>
  <c r="AO64" i="27"/>
  <c r="AP64" i="27" s="1"/>
  <c r="AN64" i="27"/>
  <c r="AM64" i="27"/>
  <c r="AL64" i="27"/>
  <c r="Q64" i="27"/>
  <c r="Q75" i="27" s="1"/>
  <c r="AJ63" i="27"/>
  <c r="AI63" i="27"/>
  <c r="AH63" i="27"/>
  <c r="AG63" i="27"/>
  <c r="AF63" i="27"/>
  <c r="AE63" i="27"/>
  <c r="AD63" i="27"/>
  <c r="AC63" i="27"/>
  <c r="AB63" i="27"/>
  <c r="AA63" i="27"/>
  <c r="Z63" i="27"/>
  <c r="Y63" i="27"/>
  <c r="X63" i="27"/>
  <c r="W63" i="27"/>
  <c r="V63" i="27"/>
  <c r="U63" i="27"/>
  <c r="T63" i="27"/>
  <c r="S63" i="27"/>
  <c r="R63" i="27"/>
  <c r="P63" i="27"/>
  <c r="P77" i="27" s="1"/>
  <c r="O63" i="27"/>
  <c r="O77" i="27" s="1"/>
  <c r="N63" i="27"/>
  <c r="E63" i="27"/>
  <c r="C63" i="27"/>
  <c r="AN62" i="27"/>
  <c r="AM62" i="27"/>
  <c r="AL62" i="27"/>
  <c r="AK62" i="27"/>
  <c r="Q62" i="27"/>
  <c r="AN61" i="27"/>
  <c r="AM61" i="27"/>
  <c r="AL61" i="27"/>
  <c r="AK61" i="27"/>
  <c r="Q61" i="27"/>
  <c r="AN60" i="27"/>
  <c r="AM60" i="27"/>
  <c r="AL60" i="27"/>
  <c r="AK60" i="27"/>
  <c r="AO60" i="27" s="1"/>
  <c r="Q60" i="27"/>
  <c r="AN59" i="27"/>
  <c r="AM59" i="27"/>
  <c r="AL59" i="27"/>
  <c r="AK59" i="27"/>
  <c r="AO59" i="27" s="1"/>
  <c r="Q59" i="27"/>
  <c r="Q63" i="27" s="1"/>
  <c r="AN58" i="27"/>
  <c r="AM58" i="27"/>
  <c r="AL58" i="27"/>
  <c r="AK58" i="27"/>
  <c r="AO58" i="27" s="1"/>
  <c r="AP58" i="27" s="1"/>
  <c r="Q58" i="27"/>
  <c r="AO57" i="27"/>
  <c r="AP57" i="27" s="1"/>
  <c r="AM57" i="27"/>
  <c r="AL57" i="27"/>
  <c r="AK57" i="27"/>
  <c r="X57" i="27"/>
  <c r="Q57" i="27"/>
  <c r="AN56" i="27"/>
  <c r="AO56" i="27" s="1"/>
  <c r="AP56" i="27" s="1"/>
  <c r="AM56" i="27"/>
  <c r="AL56" i="27"/>
  <c r="AK56" i="27"/>
  <c r="Q56" i="27"/>
  <c r="AO55" i="27"/>
  <c r="AP55" i="27" s="1"/>
  <c r="AN55" i="27"/>
  <c r="AM55" i="27"/>
  <c r="AL55" i="27"/>
  <c r="AK55" i="27"/>
  <c r="Q55" i="27"/>
  <c r="AN54" i="27"/>
  <c r="AN63" i="27" s="1"/>
  <c r="AM54" i="27"/>
  <c r="AM63" i="27" s="1"/>
  <c r="AL54" i="27"/>
  <c r="X54" i="27"/>
  <c r="Q54" i="27"/>
  <c r="AN53" i="27"/>
  <c r="AM53" i="27"/>
  <c r="AK53" i="27"/>
  <c r="AJ53" i="27"/>
  <c r="AI53" i="27"/>
  <c r="AH53" i="27"/>
  <c r="AG53" i="27"/>
  <c r="AF53" i="27"/>
  <c r="AE53" i="27"/>
  <c r="AD53" i="27"/>
  <c r="AC53" i="27"/>
  <c r="AB53" i="27"/>
  <c r="AA53" i="27"/>
  <c r="Z53" i="27"/>
  <c r="Y53" i="27"/>
  <c r="W53" i="27"/>
  <c r="V53" i="27"/>
  <c r="U53" i="27"/>
  <c r="T53" i="27"/>
  <c r="S53" i="27"/>
  <c r="R53" i="27"/>
  <c r="P53" i="27"/>
  <c r="O53" i="27"/>
  <c r="N53" i="27"/>
  <c r="E53" i="27"/>
  <c r="E77" i="27" s="1"/>
  <c r="C53" i="27"/>
  <c r="AO52" i="27"/>
  <c r="AP52" i="27" s="1"/>
  <c r="X52" i="27"/>
  <c r="Q52" i="27"/>
  <c r="H52" i="27"/>
  <c r="AO51" i="27"/>
  <c r="AP51" i="27" s="1"/>
  <c r="X51" i="27"/>
  <c r="Q51" i="27"/>
  <c r="H51" i="27"/>
  <c r="AO50" i="27"/>
  <c r="AP50" i="27" s="1"/>
  <c r="X50" i="27"/>
  <c r="Q50" i="27"/>
  <c r="H50" i="27"/>
  <c r="AO49" i="27"/>
  <c r="AP49" i="27" s="1"/>
  <c r="X49" i="27"/>
  <c r="H49" i="27"/>
  <c r="AO48" i="27"/>
  <c r="AP48" i="27" s="1"/>
  <c r="X48" i="27"/>
  <c r="Q48" i="27"/>
  <c r="H48" i="27"/>
  <c r="AO47" i="27"/>
  <c r="AP47" i="27" s="1"/>
  <c r="X47" i="27"/>
  <c r="Q47" i="27"/>
  <c r="H47" i="27"/>
  <c r="AO46" i="27"/>
  <c r="AP46" i="27" s="1"/>
  <c r="X46" i="27"/>
  <c r="Q46" i="27"/>
  <c r="H46" i="27"/>
  <c r="AO45" i="27"/>
  <c r="X45" i="27"/>
  <c r="Q45" i="27"/>
  <c r="H45" i="27"/>
  <c r="AN44" i="27"/>
  <c r="AM44" i="27"/>
  <c r="AL44" i="27"/>
  <c r="AK44" i="27"/>
  <c r="AO44" i="27" s="1"/>
  <c r="X44" i="27"/>
  <c r="Q44" i="27"/>
  <c r="H44" i="27"/>
  <c r="AN43" i="27"/>
  <c r="AM43" i="27"/>
  <c r="AL43" i="27"/>
  <c r="AL53" i="27" s="1"/>
  <c r="AK43" i="27"/>
  <c r="X43" i="27"/>
  <c r="Q43" i="27"/>
  <c r="H43" i="27"/>
  <c r="AM42" i="27"/>
  <c r="AL42" i="27"/>
  <c r="AK42" i="27"/>
  <c r="AJ42" i="27"/>
  <c r="AI42" i="27"/>
  <c r="AH42" i="27"/>
  <c r="AG42" i="27"/>
  <c r="AF42" i="27"/>
  <c r="AE42" i="27"/>
  <c r="AD42" i="27"/>
  <c r="AC42" i="27"/>
  <c r="AB42" i="27"/>
  <c r="AA42" i="27"/>
  <c r="Z42" i="27"/>
  <c r="Y42" i="27"/>
  <c r="W42" i="27"/>
  <c r="V42" i="27"/>
  <c r="U42" i="27"/>
  <c r="U77" i="27" s="1"/>
  <c r="T42" i="27"/>
  <c r="S42" i="27"/>
  <c r="R42" i="27"/>
  <c r="P42" i="27"/>
  <c r="O42" i="27"/>
  <c r="N42" i="27"/>
  <c r="E42" i="27"/>
  <c r="AK41" i="27"/>
  <c r="AO41" i="27" s="1"/>
  <c r="AP41" i="27" s="1"/>
  <c r="Q41" i="27"/>
  <c r="AK39" i="27"/>
  <c r="AK38" i="27"/>
  <c r="AO37" i="27"/>
  <c r="AP37" i="27" s="1"/>
  <c r="AN37" i="27"/>
  <c r="AK37" i="27"/>
  <c r="Q37" i="27"/>
  <c r="AN36" i="27"/>
  <c r="AK36" i="27"/>
  <c r="Q36" i="27"/>
  <c r="AN35" i="27"/>
  <c r="AK35" i="27"/>
  <c r="AO35" i="27" s="1"/>
  <c r="AP35" i="27" s="1"/>
  <c r="Q35" i="27"/>
  <c r="AP34" i="27"/>
  <c r="AK34" i="27"/>
  <c r="AP33" i="27"/>
  <c r="AN33" i="27"/>
  <c r="AO33" i="27" s="1"/>
  <c r="Q33" i="27"/>
  <c r="AK32" i="27"/>
  <c r="Q32" i="27"/>
  <c r="AP32" i="27" s="1"/>
  <c r="AM31" i="27"/>
  <c r="AL31" i="27"/>
  <c r="AK31" i="27"/>
  <c r="AN30" i="27"/>
  <c r="AM30" i="27"/>
  <c r="AL30" i="27"/>
  <c r="AK30" i="27"/>
  <c r="AO30" i="27" s="1"/>
  <c r="Q30" i="27"/>
  <c r="AN29" i="27"/>
  <c r="AM29" i="27"/>
  <c r="AL29" i="27"/>
  <c r="AK29" i="27"/>
  <c r="Q29" i="27"/>
  <c r="AM28" i="27"/>
  <c r="AL28" i="27"/>
  <c r="AK28" i="27"/>
  <c r="AO28" i="27" s="1"/>
  <c r="Q28" i="27"/>
  <c r="AM27" i="27"/>
  <c r="AL27" i="27"/>
  <c r="AK27" i="27"/>
  <c r="Q27" i="27"/>
  <c r="AN26" i="27"/>
  <c r="AM26" i="27"/>
  <c r="AL26" i="27"/>
  <c r="AK26" i="27"/>
  <c r="Q26" i="27"/>
  <c r="AN25" i="27"/>
  <c r="AL25" i="27"/>
  <c r="AK25" i="27"/>
  <c r="Q25" i="27"/>
  <c r="AN24" i="27"/>
  <c r="AM24" i="27"/>
  <c r="AK24" i="27"/>
  <c r="Q24" i="27"/>
  <c r="Q23" i="27"/>
  <c r="AM22" i="27"/>
  <c r="AL22" i="27"/>
  <c r="AK22" i="27"/>
  <c r="AP21" i="27"/>
  <c r="AL21" i="27"/>
  <c r="AK21" i="27"/>
  <c r="Q21" i="27"/>
  <c r="Q20" i="27"/>
  <c r="AP20" i="27" s="1"/>
  <c r="Q19" i="27"/>
  <c r="AP19" i="27" s="1"/>
  <c r="AP18" i="27"/>
  <c r="Q18" i="27"/>
  <c r="AN17" i="27"/>
  <c r="AL17" i="27"/>
  <c r="AK17" i="27"/>
  <c r="AO17" i="27" s="1"/>
  <c r="Q17" i="27"/>
  <c r="Q16" i="27"/>
  <c r="AP16" i="27" s="1"/>
  <c r="AL15" i="27"/>
  <c r="AK15" i="27"/>
  <c r="AO15" i="27" s="1"/>
  <c r="X15" i="27"/>
  <c r="X42" i="27" s="1"/>
  <c r="Q15" i="27"/>
  <c r="AO14" i="27"/>
  <c r="AM14" i="27"/>
  <c r="AK14" i="27"/>
  <c r="X14" i="27"/>
  <c r="Q14" i="27"/>
  <c r="AN13" i="27"/>
  <c r="AJ13" i="27"/>
  <c r="AI13" i="27"/>
  <c r="AH13" i="27"/>
  <c r="AG13" i="27"/>
  <c r="AF13" i="27"/>
  <c r="AE13" i="27"/>
  <c r="AD13" i="27"/>
  <c r="AC13" i="27"/>
  <c r="AB13" i="27"/>
  <c r="AA13" i="27"/>
  <c r="Z13" i="27"/>
  <c r="Y13" i="27"/>
  <c r="W13" i="27"/>
  <c r="V13" i="27"/>
  <c r="U13" i="27"/>
  <c r="T13" i="27"/>
  <c r="S13" i="27"/>
  <c r="R13" i="27"/>
  <c r="P13" i="27"/>
  <c r="O13" i="27"/>
  <c r="N13" i="27"/>
  <c r="E13" i="27"/>
  <c r="C13" i="27"/>
  <c r="AM12" i="27"/>
  <c r="AM13" i="27" s="1"/>
  <c r="AL12" i="27"/>
  <c r="AK12" i="27"/>
  <c r="Q12" i="27"/>
  <c r="AN11" i="27"/>
  <c r="AM11" i="27"/>
  <c r="AL11" i="27"/>
  <c r="AK11" i="27"/>
  <c r="AO11" i="27" s="1"/>
  <c r="Q11" i="27"/>
  <c r="Q13" i="27" s="1"/>
  <c r="AO10" i="27"/>
  <c r="AP10" i="27" s="1"/>
  <c r="Q10" i="27"/>
  <c r="AO9" i="27"/>
  <c r="Q9" i="27"/>
  <c r="AO8" i="27"/>
  <c r="AP8" i="27" s="1"/>
  <c r="AM8" i="27"/>
  <c r="Q8" i="27"/>
  <c r="AL7" i="27"/>
  <c r="AL13" i="27" s="1"/>
  <c r="AK7" i="27"/>
  <c r="X7" i="27"/>
  <c r="X13" i="27" s="1"/>
  <c r="Q7" i="27"/>
  <c r="AP11" i="27" l="1"/>
  <c r="AP60" i="27"/>
  <c r="AD77" i="27"/>
  <c r="V77" i="27"/>
  <c r="AK63" i="27"/>
  <c r="AK77" i="27" s="1"/>
  <c r="W77" i="27"/>
  <c r="AE77" i="27"/>
  <c r="AM77" i="27"/>
  <c r="AP45" i="27"/>
  <c r="N77" i="27"/>
  <c r="X77" i="27"/>
  <c r="AF77" i="27"/>
  <c r="AO62" i="27"/>
  <c r="AP62" i="27" s="1"/>
  <c r="Y77" i="27"/>
  <c r="AG77" i="27"/>
  <c r="AO69" i="27"/>
  <c r="AP69" i="27" s="1"/>
  <c r="AP75" i="27" s="1"/>
  <c r="AP14" i="27"/>
  <c r="AP17" i="27"/>
  <c r="Q53" i="27"/>
  <c r="AN42" i="27"/>
  <c r="X53" i="27"/>
  <c r="AP44" i="27"/>
  <c r="AP59" i="27"/>
  <c r="AP9" i="27"/>
  <c r="Q42" i="27"/>
  <c r="Q77" i="27" s="1"/>
  <c r="AP15" i="27"/>
  <c r="AO43" i="27"/>
  <c r="AN77" i="27"/>
  <c r="AK13" i="27"/>
  <c r="AO7" i="27"/>
  <c r="AO12" i="27"/>
  <c r="AP12" i="27" s="1"/>
  <c r="AO36" i="27"/>
  <c r="AP36" i="27" s="1"/>
  <c r="AL63" i="27"/>
  <c r="AL77" i="27" s="1"/>
  <c r="AO54" i="27"/>
  <c r="AO61" i="27"/>
  <c r="AP61" i="27" s="1"/>
  <c r="AP42" i="27" l="1"/>
  <c r="AO75" i="27"/>
  <c r="AP54" i="27"/>
  <c r="AP63" i="27" s="1"/>
  <c r="AO63" i="27"/>
  <c r="AO42" i="27"/>
  <c r="AP7" i="27"/>
  <c r="AP13" i="27" s="1"/>
  <c r="AO13" i="27"/>
  <c r="AP43" i="27"/>
  <c r="AP53" i="27" s="1"/>
  <c r="AP77" i="27" s="1"/>
  <c r="AO53" i="27"/>
  <c r="AO77" i="27" l="1"/>
  <c r="AP53" i="26" l="1"/>
  <c r="AK53" i="26"/>
  <c r="AJ53" i="26"/>
  <c r="AI53" i="26"/>
  <c r="AG53" i="26"/>
  <c r="AF53" i="26"/>
  <c r="AE53" i="26"/>
  <c r="AD53" i="26"/>
  <c r="AB53" i="26"/>
  <c r="U53" i="26"/>
  <c r="T53" i="26"/>
  <c r="S53" i="26"/>
  <c r="R53" i="26"/>
  <c r="P53" i="26"/>
  <c r="O53" i="26"/>
  <c r="N53" i="26"/>
  <c r="E53" i="26"/>
  <c r="Q52" i="26"/>
  <c r="Q51" i="26"/>
  <c r="Q50" i="26"/>
  <c r="Q53" i="26" s="1"/>
  <c r="AN49" i="26"/>
  <c r="AN53" i="26" s="1"/>
  <c r="AM49" i="26"/>
  <c r="AM53" i="26" s="1"/>
  <c r="AL49" i="26"/>
  <c r="AO49" i="26" s="1"/>
  <c r="AO53" i="26" s="1"/>
  <c r="AM48" i="26"/>
  <c r="AL48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P48" i="26"/>
  <c r="O48" i="26"/>
  <c r="N48" i="26"/>
  <c r="E48" i="26"/>
  <c r="C48" i="26"/>
  <c r="AO47" i="26"/>
  <c r="Q47" i="26"/>
  <c r="AN46" i="26"/>
  <c r="AO46" i="26" s="1"/>
  <c r="AP46" i="26" s="1"/>
  <c r="Q46" i="26"/>
  <c r="Q45" i="26"/>
  <c r="AN44" i="26"/>
  <c r="AO44" i="26" s="1"/>
  <c r="Q44" i="26"/>
  <c r="AN43" i="26"/>
  <c r="AO43" i="26" s="1"/>
  <c r="Q43" i="26"/>
  <c r="AO42" i="26"/>
  <c r="Q42" i="26"/>
  <c r="AN41" i="26"/>
  <c r="AO41" i="26" s="1"/>
  <c r="AP41" i="26" s="1"/>
  <c r="Q41" i="26"/>
  <c r="AO40" i="26"/>
  <c r="Q40" i="26"/>
  <c r="AN39" i="26"/>
  <c r="AO39" i="26" s="1"/>
  <c r="Q39" i="26"/>
  <c r="AO38" i="26"/>
  <c r="AP38" i="26" s="1"/>
  <c r="Q38" i="26"/>
  <c r="AN37" i="26"/>
  <c r="AO37" i="26" s="1"/>
  <c r="Q37" i="26"/>
  <c r="AO36" i="26"/>
  <c r="Q36" i="26"/>
  <c r="AO35" i="26"/>
  <c r="Q35" i="26"/>
  <c r="A35" i="26"/>
  <c r="A36" i="26" s="1"/>
  <c r="A37" i="26" s="1"/>
  <c r="A38" i="26" s="1"/>
  <c r="A39" i="26" s="1"/>
  <c r="A40" i="26" s="1"/>
  <c r="A41" i="26" s="1"/>
  <c r="A42" i="26" s="1"/>
  <c r="A43" i="26" s="1"/>
  <c r="A44" i="26" s="1"/>
  <c r="AN34" i="26"/>
  <c r="AO34" i="26" s="1"/>
  <c r="AP34" i="26" s="1"/>
  <c r="Q34" i="26"/>
  <c r="A34" i="26"/>
  <c r="AO33" i="26"/>
  <c r="Q33" i="26"/>
  <c r="AD32" i="26"/>
  <c r="AC32" i="26"/>
  <c r="AB32" i="26"/>
  <c r="AA32" i="26"/>
  <c r="O32" i="26"/>
  <c r="E32" i="26"/>
  <c r="Q31" i="26"/>
  <c r="AP31" i="26" s="1"/>
  <c r="Q30" i="26"/>
  <c r="AP30" i="26" s="1"/>
  <c r="AP29" i="26"/>
  <c r="AP28" i="26"/>
  <c r="AP27" i="26"/>
  <c r="AP26" i="26"/>
  <c r="Q25" i="26"/>
  <c r="AP25" i="26" s="1"/>
  <c r="AN24" i="26"/>
  <c r="AM24" i="26"/>
  <c r="AL24" i="26"/>
  <c r="AK24" i="26"/>
  <c r="Q24" i="26"/>
  <c r="Q23" i="26"/>
  <c r="AP23" i="26" s="1"/>
  <c r="P22" i="26"/>
  <c r="Q22" i="26" s="1"/>
  <c r="AP22" i="26" s="1"/>
  <c r="N22" i="26"/>
  <c r="P21" i="26"/>
  <c r="N21" i="26"/>
  <c r="Q21" i="26" s="1"/>
  <c r="AP21" i="26" s="1"/>
  <c r="P20" i="26"/>
  <c r="N20" i="26"/>
  <c r="AN19" i="26"/>
  <c r="AM19" i="26"/>
  <c r="AL19" i="26"/>
  <c r="AK19" i="26"/>
  <c r="N19" i="26"/>
  <c r="Q19" i="26" s="1"/>
  <c r="Q18" i="26"/>
  <c r="AP18" i="26" s="1"/>
  <c r="AM17" i="26"/>
  <c r="Q17" i="26"/>
  <c r="AP17" i="26" s="1"/>
  <c r="AP16" i="26"/>
  <c r="AM16" i="26"/>
  <c r="AN15" i="26"/>
  <c r="AM15" i="26"/>
  <c r="AL15" i="26"/>
  <c r="AK15" i="26"/>
  <c r="AO15" i="26" s="1"/>
  <c r="P15" i="26"/>
  <c r="N15" i="26"/>
  <c r="AN14" i="26"/>
  <c r="AM14" i="26"/>
  <c r="AL14" i="26"/>
  <c r="AK14" i="26"/>
  <c r="P14" i="26"/>
  <c r="N14" i="26"/>
  <c r="Q14" i="26" s="1"/>
  <c r="AN13" i="26"/>
  <c r="AM13" i="26"/>
  <c r="AL13" i="26"/>
  <c r="AK13" i="26"/>
  <c r="Q13" i="26"/>
  <c r="AN12" i="26"/>
  <c r="AM12" i="26"/>
  <c r="AL12" i="26"/>
  <c r="AK12" i="26"/>
  <c r="AO12" i="26" s="1"/>
  <c r="N12" i="26"/>
  <c r="Q12" i="26" s="1"/>
  <c r="AN11" i="26"/>
  <c r="AM11" i="26"/>
  <c r="AL11" i="26"/>
  <c r="AK11" i="26"/>
  <c r="AO11" i="26" s="1"/>
  <c r="Q11" i="26"/>
  <c r="AN10" i="26"/>
  <c r="AM10" i="26"/>
  <c r="AL10" i="26"/>
  <c r="AK10" i="26"/>
  <c r="P10" i="26"/>
  <c r="N10" i="26"/>
  <c r="AO9" i="26"/>
  <c r="AN9" i="26"/>
  <c r="AM9" i="26"/>
  <c r="AL9" i="26"/>
  <c r="AK9" i="26"/>
  <c r="AJ9" i="26"/>
  <c r="AI9" i="26"/>
  <c r="AH9" i="26"/>
  <c r="AG9" i="26"/>
  <c r="AF9" i="26"/>
  <c r="AE9" i="26"/>
  <c r="AD9" i="26"/>
  <c r="AC9" i="26"/>
  <c r="AB9" i="26"/>
  <c r="AA9" i="26"/>
  <c r="Z9" i="26"/>
  <c r="Y9" i="26"/>
  <c r="X9" i="26"/>
  <c r="W9" i="26"/>
  <c r="T9" i="26"/>
  <c r="S9" i="26"/>
  <c r="R9" i="26"/>
  <c r="E9" i="26"/>
  <c r="C9" i="26"/>
  <c r="AN48" i="26" l="1"/>
  <c r="AP12" i="26"/>
  <c r="AP42" i="26"/>
  <c r="Q15" i="26"/>
  <c r="AP35" i="26"/>
  <c r="Q20" i="26"/>
  <c r="AP20" i="26" s="1"/>
  <c r="AP43" i="26"/>
  <c r="AP44" i="26"/>
  <c r="AP11" i="26"/>
  <c r="Q48" i="26"/>
  <c r="AP39" i="26"/>
  <c r="AP47" i="26"/>
  <c r="N32" i="26"/>
  <c r="AO24" i="26"/>
  <c r="AP24" i="26" s="1"/>
  <c r="AP36" i="26"/>
  <c r="P32" i="26"/>
  <c r="AO14" i="26"/>
  <c r="AP14" i="26" s="1"/>
  <c r="AP40" i="26"/>
  <c r="AO13" i="26"/>
  <c r="AP13" i="26" s="1"/>
  <c r="AO19" i="26"/>
  <c r="AP19" i="26" s="1"/>
  <c r="AP37" i="26"/>
  <c r="AP15" i="26"/>
  <c r="AO48" i="26"/>
  <c r="Q10" i="26"/>
  <c r="AP33" i="26"/>
  <c r="AL53" i="26"/>
  <c r="AP48" i="26" l="1"/>
  <c r="AP10" i="26"/>
  <c r="Q32" i="26"/>
  <c r="AP32" i="26" s="1"/>
  <c r="AJ76" i="25" l="1"/>
  <c r="AI76" i="25"/>
  <c r="AC76" i="25"/>
  <c r="AB76" i="25"/>
  <c r="AA76" i="25"/>
  <c r="T76" i="25"/>
  <c r="S76" i="25"/>
  <c r="C76" i="25"/>
  <c r="AO75" i="25"/>
  <c r="AN75" i="25"/>
  <c r="AM75" i="25"/>
  <c r="AL75" i="25"/>
  <c r="AK75" i="25"/>
  <c r="AJ75" i="25"/>
  <c r="AI75" i="25"/>
  <c r="AH75" i="25"/>
  <c r="AG75" i="25"/>
  <c r="AF75" i="25"/>
  <c r="AE75" i="25"/>
  <c r="AD75" i="25"/>
  <c r="AC75" i="25"/>
  <c r="AB75" i="25"/>
  <c r="AA75" i="25"/>
  <c r="Z75" i="25"/>
  <c r="Y75" i="25"/>
  <c r="X75" i="25"/>
  <c r="W75" i="25"/>
  <c r="V75" i="25"/>
  <c r="U75" i="25"/>
  <c r="T75" i="25"/>
  <c r="S75" i="25"/>
  <c r="R75" i="25"/>
  <c r="P75" i="25"/>
  <c r="O75" i="25"/>
  <c r="N75" i="25"/>
  <c r="E75" i="25"/>
  <c r="Q74" i="25"/>
  <c r="AP74" i="25" s="1"/>
  <c r="AP73" i="25"/>
  <c r="Q73" i="25"/>
  <c r="Q72" i="25"/>
  <c r="AP72" i="25" s="1"/>
  <c r="Q71" i="25"/>
  <c r="AP71" i="25" s="1"/>
  <c r="Q70" i="25"/>
  <c r="AP70" i="25" s="1"/>
  <c r="AP69" i="25"/>
  <c r="Q69" i="25"/>
  <c r="Q68" i="25"/>
  <c r="AP68" i="25" s="1"/>
  <c r="Q67" i="25"/>
  <c r="AP67" i="25" s="1"/>
  <c r="Q66" i="25"/>
  <c r="AP66" i="25" s="1"/>
  <c r="AP65" i="25"/>
  <c r="Q65" i="25"/>
  <c r="Q64" i="25"/>
  <c r="AP64" i="25" s="1"/>
  <c r="Q63" i="25"/>
  <c r="AP63" i="25" s="1"/>
  <c r="Q62" i="25"/>
  <c r="Q75" i="25" s="1"/>
  <c r="AO61" i="25"/>
  <c r="AN61" i="25"/>
  <c r="AM61" i="25"/>
  <c r="AL61" i="25"/>
  <c r="AK61" i="25"/>
  <c r="AJ61" i="25"/>
  <c r="AI61" i="25"/>
  <c r="AH61" i="25"/>
  <c r="AG61" i="25"/>
  <c r="AF61" i="25"/>
  <c r="AE61" i="25"/>
  <c r="AD61" i="25"/>
  <c r="AC61" i="25"/>
  <c r="AB61" i="25"/>
  <c r="AA61" i="25"/>
  <c r="Z61" i="25"/>
  <c r="Y61" i="25"/>
  <c r="W61" i="25"/>
  <c r="X61" i="25" s="1"/>
  <c r="V61" i="25"/>
  <c r="U61" i="25"/>
  <c r="T61" i="25"/>
  <c r="S61" i="25"/>
  <c r="R61" i="25"/>
  <c r="Q61" i="25"/>
  <c r="P61" i="25"/>
  <c r="O61" i="25"/>
  <c r="N61" i="25"/>
  <c r="AO60" i="25"/>
  <c r="AP60" i="25" s="1"/>
  <c r="X60" i="25"/>
  <c r="Q60" i="25"/>
  <c r="AP59" i="25"/>
  <c r="AO59" i="25"/>
  <c r="X59" i="25"/>
  <c r="Q59" i="25"/>
  <c r="AO58" i="25"/>
  <c r="AP58" i="25" s="1"/>
  <c r="X58" i="25"/>
  <c r="Q58" i="25"/>
  <c r="AP57" i="25"/>
  <c r="AO57" i="25"/>
  <c r="X57" i="25"/>
  <c r="Q57" i="25"/>
  <c r="AO56" i="25"/>
  <c r="AP56" i="25" s="1"/>
  <c r="X56" i="25"/>
  <c r="Q56" i="25"/>
  <c r="AP55" i="25"/>
  <c r="AO55" i="25"/>
  <c r="X55" i="25"/>
  <c r="Q55" i="25"/>
  <c r="AO54" i="25"/>
  <c r="AP54" i="25" s="1"/>
  <c r="X54" i="25"/>
  <c r="Q54" i="25"/>
  <c r="AP53" i="25"/>
  <c r="AO53" i="25"/>
  <c r="X53" i="25"/>
  <c r="Q53" i="25"/>
  <c r="AO52" i="25"/>
  <c r="AP52" i="25" s="1"/>
  <c r="X52" i="25"/>
  <c r="Q52" i="25"/>
  <c r="AP51" i="25"/>
  <c r="AO51" i="25"/>
  <c r="X51" i="25"/>
  <c r="Q51" i="25"/>
  <c r="AO50" i="25"/>
  <c r="AP50" i="25" s="1"/>
  <c r="X50" i="25"/>
  <c r="Q50" i="25"/>
  <c r="AP49" i="25"/>
  <c r="AO49" i="25"/>
  <c r="X49" i="25"/>
  <c r="Q49" i="25"/>
  <c r="AM48" i="25"/>
  <c r="AL48" i="25"/>
  <c r="AJ48" i="25"/>
  <c r="AI48" i="25"/>
  <c r="AH48" i="25"/>
  <c r="AG48" i="25"/>
  <c r="AF48" i="25"/>
  <c r="AF76" i="25" s="1"/>
  <c r="AE48" i="25"/>
  <c r="AE76" i="25" s="1"/>
  <c r="AD48" i="25"/>
  <c r="AD76" i="25" s="1"/>
  <c r="AC48" i="25"/>
  <c r="AB48" i="25"/>
  <c r="AA48" i="25"/>
  <c r="Z48" i="25"/>
  <c r="Y48" i="25"/>
  <c r="X48" i="25"/>
  <c r="W48" i="25"/>
  <c r="W76" i="25" s="1"/>
  <c r="V48" i="25"/>
  <c r="V76" i="25" s="1"/>
  <c r="U48" i="25"/>
  <c r="T48" i="25"/>
  <c r="S48" i="25"/>
  <c r="R48" i="25"/>
  <c r="P48" i="25"/>
  <c r="O48" i="25"/>
  <c r="N48" i="25"/>
  <c r="E48" i="25"/>
  <c r="AN47" i="25"/>
  <c r="AM47" i="25"/>
  <c r="AL47" i="25"/>
  <c r="AK47" i="25"/>
  <c r="AO47" i="25" s="1"/>
  <c r="AP47" i="25" s="1"/>
  <c r="Q47" i="25"/>
  <c r="AN46" i="25"/>
  <c r="AM46" i="25"/>
  <c r="AL46" i="25"/>
  <c r="AK46" i="25"/>
  <c r="AO46" i="25" s="1"/>
  <c r="AP46" i="25" s="1"/>
  <c r="Q46" i="25"/>
  <c r="AN45" i="25"/>
  <c r="AM45" i="25"/>
  <c r="AL45" i="25"/>
  <c r="AK45" i="25"/>
  <c r="AO45" i="25" s="1"/>
  <c r="AP45" i="25" s="1"/>
  <c r="Q45" i="25"/>
  <c r="AO44" i="25"/>
  <c r="AP44" i="25" s="1"/>
  <c r="AN44" i="25"/>
  <c r="AM44" i="25"/>
  <c r="AL44" i="25"/>
  <c r="AK44" i="25"/>
  <c r="Q44" i="25"/>
  <c r="AN43" i="25"/>
  <c r="AN48" i="25" s="1"/>
  <c r="AM43" i="25"/>
  <c r="AL43" i="25"/>
  <c r="AK43" i="25"/>
  <c r="AK48" i="25" s="1"/>
  <c r="X43" i="25"/>
  <c r="Q43" i="25"/>
  <c r="Q48" i="25" s="1"/>
  <c r="AN42" i="25"/>
  <c r="AJ42" i="25"/>
  <c r="AI42" i="25"/>
  <c r="AH42" i="25"/>
  <c r="AG42" i="25"/>
  <c r="U42" i="25"/>
  <c r="U76" i="25" s="1"/>
  <c r="T42" i="25"/>
  <c r="S42" i="25"/>
  <c r="R42" i="25"/>
  <c r="N42" i="25"/>
  <c r="E42" i="25"/>
  <c r="P41" i="25"/>
  <c r="O41" i="25"/>
  <c r="Q41" i="25" s="1"/>
  <c r="AP41" i="25" s="1"/>
  <c r="O40" i="25"/>
  <c r="Q40" i="25" s="1"/>
  <c r="AP40" i="25" s="1"/>
  <c r="O39" i="25"/>
  <c r="Q39" i="25" s="1"/>
  <c r="AP39" i="25" s="1"/>
  <c r="P38" i="25"/>
  <c r="O38" i="25"/>
  <c r="Q38" i="25" s="1"/>
  <c r="AP38" i="25" s="1"/>
  <c r="P37" i="25"/>
  <c r="Q37" i="25" s="1"/>
  <c r="O37" i="25"/>
  <c r="Q36" i="25"/>
  <c r="Q35" i="25"/>
  <c r="AP33" i="25"/>
  <c r="AP32" i="25"/>
  <c r="P31" i="25"/>
  <c r="P42" i="25" s="1"/>
  <c r="O31" i="25"/>
  <c r="AN30" i="25"/>
  <c r="AM30" i="25"/>
  <c r="AL30" i="25"/>
  <c r="AK30" i="25"/>
  <c r="AO30" i="25" s="1"/>
  <c r="AP30" i="25" s="1"/>
  <c r="Q30" i="25"/>
  <c r="AN29" i="25"/>
  <c r="AM29" i="25"/>
  <c r="AL29" i="25"/>
  <c r="AK29" i="25"/>
  <c r="AO29" i="25" s="1"/>
  <c r="AP29" i="25" s="1"/>
  <c r="Q29" i="25"/>
  <c r="AN28" i="25"/>
  <c r="AM28" i="25"/>
  <c r="AM42" i="25" s="1"/>
  <c r="AL28" i="25"/>
  <c r="AL42" i="25" s="1"/>
  <c r="AK28" i="25"/>
  <c r="AO28" i="25" s="1"/>
  <c r="Q28" i="25"/>
  <c r="AO27" i="25"/>
  <c r="AP27" i="25" s="1"/>
  <c r="X27" i="25"/>
  <c r="Q27" i="25"/>
  <c r="Q26" i="25"/>
  <c r="AP26" i="25" s="1"/>
  <c r="P26" i="25"/>
  <c r="O26" i="25"/>
  <c r="E26" i="25"/>
  <c r="E76" i="25" s="1"/>
  <c r="AP25" i="25"/>
  <c r="AP24" i="25"/>
  <c r="AP23" i="25"/>
  <c r="AP22" i="25"/>
  <c r="AP21" i="25"/>
  <c r="AP20" i="25"/>
  <c r="AP19" i="25"/>
  <c r="AP18" i="25"/>
  <c r="AP17" i="25"/>
  <c r="AP16" i="25"/>
  <c r="AP15" i="25"/>
  <c r="AP14" i="25"/>
  <c r="AP13" i="25"/>
  <c r="AP12" i="25"/>
  <c r="AP11" i="25"/>
  <c r="AJ10" i="25"/>
  <c r="AI10" i="25"/>
  <c r="AH10" i="25"/>
  <c r="AH76" i="25" s="1"/>
  <c r="AG10" i="25"/>
  <c r="AG76" i="25" s="1"/>
  <c r="AF10" i="25"/>
  <c r="AE10" i="25"/>
  <c r="AD10" i="25"/>
  <c r="AC10" i="25"/>
  <c r="AB10" i="25"/>
  <c r="AA10" i="25"/>
  <c r="Z10" i="25"/>
  <c r="Z76" i="25" s="1"/>
  <c r="Y10" i="25"/>
  <c r="Y76" i="25" s="1"/>
  <c r="U10" i="25"/>
  <c r="T10" i="25"/>
  <c r="S10" i="25"/>
  <c r="R10" i="25"/>
  <c r="R76" i="25" s="1"/>
  <c r="P10" i="25"/>
  <c r="O10" i="25"/>
  <c r="N10" i="25"/>
  <c r="N76" i="25" s="1"/>
  <c r="E10" i="25"/>
  <c r="AN8" i="25"/>
  <c r="AM8" i="25"/>
  <c r="AL8" i="25"/>
  <c r="AK8" i="25"/>
  <c r="AO8" i="25" s="1"/>
  <c r="Q8" i="25"/>
  <c r="AN7" i="25"/>
  <c r="AN10" i="25" s="1"/>
  <c r="AM7" i="25"/>
  <c r="AM10" i="25" s="1"/>
  <c r="AM76" i="25" s="1"/>
  <c r="AL7" i="25"/>
  <c r="AL10" i="25" s="1"/>
  <c r="AL76" i="25" s="1"/>
  <c r="AK7" i="25"/>
  <c r="AO7" i="25" s="1"/>
  <c r="X7" i="25"/>
  <c r="Q7" i="25"/>
  <c r="Q10" i="25" s="1"/>
  <c r="AP61" i="25" l="1"/>
  <c r="AN76" i="25"/>
  <c r="AO42" i="25"/>
  <c r="AP28" i="25"/>
  <c r="AP75" i="25"/>
  <c r="AO10" i="25"/>
  <c r="AP7" i="25"/>
  <c r="AP10" i="25" s="1"/>
  <c r="P76" i="25"/>
  <c r="X76" i="25"/>
  <c r="AO43" i="25"/>
  <c r="O42" i="25"/>
  <c r="O76" i="25" s="1"/>
  <c r="Q31" i="25"/>
  <c r="AP31" i="25" s="1"/>
  <c r="AK10" i="25"/>
  <c r="AK76" i="25" s="1"/>
  <c r="AK42" i="25"/>
  <c r="AO48" i="25" l="1"/>
  <c r="AP43" i="25"/>
  <c r="AP48" i="25" s="1"/>
  <c r="Q42" i="25"/>
  <c r="Q76" i="25" s="1"/>
  <c r="AO76" i="25"/>
  <c r="AP42" i="25"/>
  <c r="AP76" i="25" s="1"/>
  <c r="AN53" i="24" l="1"/>
  <c r="AM53" i="24"/>
  <c r="AL53" i="24"/>
  <c r="AK53" i="24"/>
  <c r="AI53" i="24"/>
  <c r="AH53" i="24"/>
  <c r="AG53" i="24"/>
  <c r="AE53" i="24"/>
  <c r="AD53" i="24"/>
  <c r="AC53" i="24"/>
  <c r="AB53" i="24"/>
  <c r="AA53" i="24"/>
  <c r="Z53" i="24"/>
  <c r="Y53" i="24"/>
  <c r="W53" i="24"/>
  <c r="V53" i="24"/>
  <c r="P53" i="24"/>
  <c r="O53" i="24"/>
  <c r="N53" i="24"/>
  <c r="Q53" i="24" s="1"/>
  <c r="E53" i="24"/>
  <c r="AO52" i="24"/>
  <c r="AP52" i="24" s="1"/>
  <c r="X52" i="24"/>
  <c r="Q52" i="24"/>
  <c r="AO51" i="24"/>
  <c r="AP51" i="24" s="1"/>
  <c r="X51" i="24"/>
  <c r="Q51" i="24"/>
  <c r="AO50" i="24"/>
  <c r="AP50" i="24" s="1"/>
  <c r="X50" i="24"/>
  <c r="Q50" i="24"/>
  <c r="AO49" i="24"/>
  <c r="AP49" i="24" s="1"/>
  <c r="X49" i="24"/>
  <c r="Q49" i="24"/>
  <c r="AO48" i="24"/>
  <c r="AP48" i="24" s="1"/>
  <c r="X48" i="24"/>
  <c r="Q48" i="24"/>
  <c r="AO47" i="24"/>
  <c r="AP47" i="24" s="1"/>
  <c r="X47" i="24"/>
  <c r="Q47" i="24"/>
  <c r="AO46" i="24"/>
  <c r="AP46" i="24" s="1"/>
  <c r="X46" i="24"/>
  <c r="Q46" i="24"/>
  <c r="AO45" i="24"/>
  <c r="AP45" i="24" s="1"/>
  <c r="X45" i="24"/>
  <c r="Q45" i="24"/>
  <c r="AO44" i="24"/>
  <c r="AP44" i="24" s="1"/>
  <c r="X44" i="24"/>
  <c r="Q44" i="24"/>
  <c r="AO43" i="24"/>
  <c r="AP43" i="24" s="1"/>
  <c r="X43" i="24"/>
  <c r="Q43" i="24"/>
  <c r="AO42" i="24"/>
  <c r="AP42" i="24" s="1"/>
  <c r="X42" i="24"/>
  <c r="Q42" i="24"/>
  <c r="AO41" i="24"/>
  <c r="AP41" i="24" s="1"/>
  <c r="X41" i="24"/>
  <c r="Q41" i="24"/>
  <c r="AO40" i="24"/>
  <c r="AP40" i="24" s="1"/>
  <c r="X40" i="24"/>
  <c r="Q40" i="24"/>
  <c r="AO39" i="24"/>
  <c r="AP39" i="24" s="1"/>
  <c r="X39" i="24"/>
  <c r="Q39" i="24"/>
  <c r="AO38" i="24"/>
  <c r="AP38" i="24" s="1"/>
  <c r="X38" i="24"/>
  <c r="Q38" i="24"/>
  <c r="AO37" i="24"/>
  <c r="AP37" i="24" s="1"/>
  <c r="X37" i="24"/>
  <c r="Q37" i="24"/>
  <c r="AO36" i="24"/>
  <c r="AP36" i="24" s="1"/>
  <c r="X36" i="24"/>
  <c r="Q36" i="24"/>
  <c r="AO35" i="24"/>
  <c r="AP35" i="24" s="1"/>
  <c r="X35" i="24"/>
  <c r="Q35" i="24"/>
  <c r="AO34" i="24"/>
  <c r="AP34" i="24" s="1"/>
  <c r="X34" i="24"/>
  <c r="Q34" i="24"/>
  <c r="AO33" i="24"/>
  <c r="AP33" i="24" s="1"/>
  <c r="X33" i="24"/>
  <c r="AO32" i="24"/>
  <c r="AP32" i="24" s="1"/>
  <c r="X32" i="24"/>
  <c r="Q32" i="24"/>
  <c r="AO31" i="24"/>
  <c r="AP31" i="24" s="1"/>
  <c r="X31" i="24"/>
  <c r="Q31" i="24"/>
  <c r="AO30" i="24"/>
  <c r="AP30" i="24" s="1"/>
  <c r="X30" i="24"/>
  <c r="Q30" i="24"/>
  <c r="AO29" i="24"/>
  <c r="AP29" i="24" s="1"/>
  <c r="AJ29" i="24"/>
  <c r="AF29" i="24"/>
  <c r="X29" i="24"/>
  <c r="Q29" i="24"/>
  <c r="AO28" i="24"/>
  <c r="AP28" i="24" s="1"/>
  <c r="AF28" i="24"/>
  <c r="AF53" i="24" s="1"/>
  <c r="X28" i="24"/>
  <c r="Q28" i="24"/>
  <c r="AO27" i="24"/>
  <c r="AP27" i="24" s="1"/>
  <c r="X27" i="24"/>
  <c r="Q27" i="24"/>
  <c r="AO26" i="24"/>
  <c r="AP26" i="24" s="1"/>
  <c r="X26" i="24"/>
  <c r="Q26" i="24"/>
  <c r="AO25" i="24"/>
  <c r="AP25" i="24" s="1"/>
  <c r="X25" i="24"/>
  <c r="Q25" i="24"/>
  <c r="AO24" i="24"/>
  <c r="AP24" i="24" s="1"/>
  <c r="X24" i="24"/>
  <c r="Q24" i="24"/>
  <c r="AO23" i="24"/>
  <c r="AP23" i="24" s="1"/>
  <c r="X23" i="24"/>
  <c r="Q23" i="24"/>
  <c r="AO22" i="24"/>
  <c r="AP22" i="24" s="1"/>
  <c r="X22" i="24"/>
  <c r="Q22" i="24"/>
  <c r="AO21" i="24"/>
  <c r="AP21" i="24" s="1"/>
  <c r="X21" i="24"/>
  <c r="Q21" i="24"/>
  <c r="AO20" i="24"/>
  <c r="AP20" i="24" s="1"/>
  <c r="X20" i="24"/>
  <c r="Q20" i="24"/>
  <c r="AO19" i="24"/>
  <c r="AP19" i="24" s="1"/>
  <c r="X19" i="24"/>
  <c r="Q19" i="24"/>
  <c r="AO18" i="24"/>
  <c r="AP18" i="24" s="1"/>
  <c r="X18" i="24"/>
  <c r="Q18" i="24"/>
  <c r="AO17" i="24"/>
  <c r="AP17" i="24" s="1"/>
  <c r="X17" i="24"/>
  <c r="Q17" i="24"/>
  <c r="AO16" i="24"/>
  <c r="AP16" i="24" s="1"/>
  <c r="X16" i="24"/>
  <c r="Q16" i="24"/>
  <c r="AO15" i="24"/>
  <c r="AP15" i="24" s="1"/>
  <c r="X15" i="24"/>
  <c r="Q15" i="24"/>
  <c r="AO14" i="24"/>
  <c r="AP14" i="24" s="1"/>
  <c r="X14" i="24"/>
  <c r="Q14" i="24"/>
  <c r="AO13" i="24"/>
  <c r="AP13" i="24" s="1"/>
  <c r="X13" i="24"/>
  <c r="Q13" i="24"/>
  <c r="AO12" i="24"/>
  <c r="AP12" i="24" s="1"/>
  <c r="X12" i="24"/>
  <c r="Q12" i="24"/>
  <c r="AO11" i="24"/>
  <c r="AP11" i="24" s="1"/>
  <c r="X11" i="24"/>
  <c r="Q11" i="24"/>
  <c r="AO10" i="24"/>
  <c r="AP10" i="24" s="1"/>
  <c r="X10" i="24"/>
  <c r="Q10" i="24"/>
  <c r="AO9" i="24"/>
  <c r="AP9" i="24" s="1"/>
  <c r="X9" i="24"/>
  <c r="Q9" i="24"/>
  <c r="AO8" i="24"/>
  <c r="AP8" i="24" s="1"/>
  <c r="X8" i="24"/>
  <c r="Q8" i="24"/>
  <c r="AO7" i="24"/>
  <c r="AO53" i="24" s="1"/>
  <c r="X7" i="24"/>
  <c r="Q7" i="24"/>
  <c r="AJ28" i="24" l="1"/>
  <c r="AJ53" i="24" s="1"/>
  <c r="AP7" i="24"/>
  <c r="AP53" i="24" s="1"/>
  <c r="AP23" i="23" l="1"/>
  <c r="AO23" i="23"/>
  <c r="AN23" i="23"/>
  <c r="AM23" i="23"/>
  <c r="AL23" i="23"/>
  <c r="AK23" i="23"/>
  <c r="AJ23" i="23"/>
  <c r="AI23" i="23"/>
  <c r="AH23" i="23"/>
  <c r="AG23" i="23"/>
  <c r="AF23" i="23"/>
  <c r="AE23" i="23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E23" i="23"/>
  <c r="C23" i="23"/>
  <c r="AJ19" i="23"/>
  <c r="AI19" i="23"/>
  <c r="AH19" i="23"/>
  <c r="AG19" i="23"/>
  <c r="AF19" i="23"/>
  <c r="AE19" i="23"/>
  <c r="AD19" i="23"/>
  <c r="AC19" i="23"/>
  <c r="AB19" i="23"/>
  <c r="AA19" i="23"/>
  <c r="Z19" i="23"/>
  <c r="Y19" i="23"/>
  <c r="X19" i="23"/>
  <c r="W19" i="23"/>
  <c r="V19" i="23"/>
  <c r="U19" i="23"/>
  <c r="T19" i="23"/>
  <c r="S19" i="23"/>
  <c r="R19" i="23"/>
  <c r="P19" i="23"/>
  <c r="O19" i="23"/>
  <c r="N19" i="23"/>
  <c r="E19" i="23"/>
  <c r="C19" i="23"/>
  <c r="AN18" i="23"/>
  <c r="AM18" i="23"/>
  <c r="AL18" i="23"/>
  <c r="AK18" i="23"/>
  <c r="Q18" i="23"/>
  <c r="AN16" i="23"/>
  <c r="AM16" i="23"/>
  <c r="AL16" i="23"/>
  <c r="AK16" i="23"/>
  <c r="AK19" i="23" s="1"/>
  <c r="Q16" i="23"/>
  <c r="AN15" i="23"/>
  <c r="AM15" i="23"/>
  <c r="AL15" i="23"/>
  <c r="AK15" i="23"/>
  <c r="Q15" i="23"/>
  <c r="Q19" i="23" s="1"/>
  <c r="AP14" i="23"/>
  <c r="AO14" i="23"/>
  <c r="AN14" i="23"/>
  <c r="AM14" i="23"/>
  <c r="AL14" i="23"/>
  <c r="AK14" i="23"/>
  <c r="AJ14" i="23"/>
  <c r="AI14" i="23"/>
  <c r="AH14" i="23"/>
  <c r="AG14" i="23"/>
  <c r="AF14" i="23"/>
  <c r="AE14" i="23"/>
  <c r="AD14" i="23"/>
  <c r="AC14" i="23"/>
  <c r="AB14" i="23"/>
  <c r="AA14" i="23"/>
  <c r="Z14" i="23"/>
  <c r="Y14" i="23"/>
  <c r="X14" i="23"/>
  <c r="W14" i="23"/>
  <c r="U14" i="23"/>
  <c r="T14" i="23"/>
  <c r="S14" i="23"/>
  <c r="R14" i="23"/>
  <c r="P14" i="23"/>
  <c r="O14" i="23"/>
  <c r="N14" i="23"/>
  <c r="E14" i="23"/>
  <c r="Q13" i="23"/>
  <c r="Q12" i="23"/>
  <c r="AN10" i="23"/>
  <c r="AM10" i="23"/>
  <c r="AL10" i="23"/>
  <c r="AK10" i="23"/>
  <c r="Q10" i="23"/>
  <c r="AN9" i="23"/>
  <c r="AM9" i="23"/>
  <c r="AL9" i="23"/>
  <c r="AK9" i="23"/>
  <c r="Q9" i="23"/>
  <c r="AN8" i="23"/>
  <c r="AM8" i="23"/>
  <c r="AL8" i="23"/>
  <c r="AK8" i="23"/>
  <c r="Q8" i="23"/>
  <c r="AN7" i="23"/>
  <c r="AM7" i="23"/>
  <c r="AL7" i="23"/>
  <c r="AK7" i="23"/>
  <c r="Q7" i="23"/>
  <c r="AK11" i="23" l="1"/>
  <c r="Q14" i="23"/>
  <c r="AL11" i="23"/>
  <c r="AM11" i="23"/>
  <c r="AN11" i="23"/>
  <c r="Q11" i="23"/>
  <c r="AO10" i="23"/>
  <c r="AP10" i="23" s="1"/>
  <c r="AO8" i="23"/>
  <c r="AP8" i="23" s="1"/>
  <c r="AO9" i="23"/>
  <c r="AL19" i="23"/>
  <c r="AO16" i="23"/>
  <c r="AP16" i="23" s="1"/>
  <c r="AM19" i="23"/>
  <c r="AO7" i="23"/>
  <c r="AN19" i="23"/>
  <c r="AO18" i="23"/>
  <c r="AP18" i="23" s="1"/>
  <c r="AO15" i="23"/>
  <c r="AP7" i="23" l="1"/>
  <c r="AO11" i="23"/>
  <c r="AP9" i="23"/>
  <c r="AP15" i="23"/>
  <c r="AP19" i="23" s="1"/>
  <c r="AO19" i="23"/>
  <c r="AP11" i="23" l="1"/>
  <c r="AJ49" i="22"/>
  <c r="AI49" i="22"/>
  <c r="AH49" i="22"/>
  <c r="AG49" i="22"/>
  <c r="AF49" i="22"/>
  <c r="AE49" i="22"/>
  <c r="AD49" i="22"/>
  <c r="AC49" i="22"/>
  <c r="AB49" i="22"/>
  <c r="AA49" i="22"/>
  <c r="Z49" i="22"/>
  <c r="Y49" i="22"/>
  <c r="X49" i="22"/>
  <c r="W49" i="22"/>
  <c r="V49" i="22"/>
  <c r="U49" i="22"/>
  <c r="T49" i="22"/>
  <c r="S49" i="22"/>
  <c r="R49" i="22"/>
  <c r="N49" i="22"/>
  <c r="E49" i="22"/>
  <c r="C49" i="22"/>
  <c r="AO48" i="22"/>
  <c r="AP48" i="22" s="1"/>
  <c r="AN48" i="22"/>
  <c r="AM48" i="22"/>
  <c r="AL48" i="22"/>
  <c r="AK48" i="22"/>
  <c r="P48" i="22"/>
  <c r="O48" i="22"/>
  <c r="Q48" i="22" s="1"/>
  <c r="AN47" i="22"/>
  <c r="AM47" i="22"/>
  <c r="AL47" i="22"/>
  <c r="AK47" i="22"/>
  <c r="AO47" i="22" s="1"/>
  <c r="P47" i="22"/>
  <c r="O47" i="22"/>
  <c r="O49" i="22" s="1"/>
  <c r="AN46" i="22"/>
  <c r="AN49" i="22" s="1"/>
  <c r="AM46" i="22"/>
  <c r="AM49" i="22" s="1"/>
  <c r="AL46" i="22"/>
  <c r="AL49" i="22" s="1"/>
  <c r="AK46" i="22"/>
  <c r="AO46" i="22" s="1"/>
  <c r="P46" i="22"/>
  <c r="P49" i="22" s="1"/>
  <c r="O46" i="22"/>
  <c r="AL45" i="22"/>
  <c r="AK45" i="22"/>
  <c r="AJ45" i="22"/>
  <c r="AI45" i="22"/>
  <c r="AH45" i="22"/>
  <c r="AG45" i="22"/>
  <c r="AF45" i="22"/>
  <c r="AE45" i="22"/>
  <c r="AD45" i="22"/>
  <c r="AC45" i="22"/>
  <c r="AB45" i="22"/>
  <c r="AA45" i="22"/>
  <c r="Z45" i="22"/>
  <c r="Y45" i="22"/>
  <c r="X45" i="22"/>
  <c r="W45" i="22"/>
  <c r="V45" i="22"/>
  <c r="U45" i="22"/>
  <c r="T45" i="22"/>
  <c r="S45" i="22"/>
  <c r="R45" i="22"/>
  <c r="P45" i="22"/>
  <c r="O45" i="22"/>
  <c r="N45" i="22"/>
  <c r="E45" i="22"/>
  <c r="C45" i="22"/>
  <c r="AN37" i="22"/>
  <c r="AM37" i="22"/>
  <c r="AL37" i="22"/>
  <c r="AK37" i="22"/>
  <c r="AO37" i="22" s="1"/>
  <c r="AP37" i="22" s="1"/>
  <c r="Q37" i="22"/>
  <c r="Q45" i="22" s="1"/>
  <c r="AO36" i="22"/>
  <c r="AN36" i="22"/>
  <c r="AM36" i="22"/>
  <c r="AL36" i="22"/>
  <c r="AK36" i="22"/>
  <c r="AN35" i="22"/>
  <c r="AN45" i="22" s="1"/>
  <c r="AM35" i="22"/>
  <c r="AM45" i="22" s="1"/>
  <c r="AL35" i="22"/>
  <c r="AK35" i="22"/>
  <c r="AN34" i="22"/>
  <c r="AM34" i="22"/>
  <c r="AL34" i="22"/>
  <c r="AK34" i="22"/>
  <c r="AJ34" i="22"/>
  <c r="AI34" i="22"/>
  <c r="AH34" i="22"/>
  <c r="AG34" i="22"/>
  <c r="AF34" i="22"/>
  <c r="AE34" i="22"/>
  <c r="AD34" i="22"/>
  <c r="AC34" i="22"/>
  <c r="AB34" i="22"/>
  <c r="AA34" i="22"/>
  <c r="Z34" i="22"/>
  <c r="Y34" i="22"/>
  <c r="X34" i="22"/>
  <c r="W34" i="22"/>
  <c r="V34" i="22"/>
  <c r="U34" i="22"/>
  <c r="T34" i="22"/>
  <c r="S34" i="22"/>
  <c r="R34" i="22"/>
  <c r="P34" i="22"/>
  <c r="O34" i="22"/>
  <c r="N34" i="22"/>
  <c r="E34" i="22"/>
  <c r="C34" i="22"/>
  <c r="AN32" i="22"/>
  <c r="AM32" i="22"/>
  <c r="AL32" i="22"/>
  <c r="AK32" i="22"/>
  <c r="AO32" i="22" s="1"/>
  <c r="AP32" i="22" s="1"/>
  <c r="Q32" i="22"/>
  <c r="AN31" i="22"/>
  <c r="AM31" i="22"/>
  <c r="AL31" i="22"/>
  <c r="AK31" i="22"/>
  <c r="AO31" i="22" s="1"/>
  <c r="AP31" i="22" s="1"/>
  <c r="Q31" i="22"/>
  <c r="AN23" i="22"/>
  <c r="AM23" i="22"/>
  <c r="AL23" i="22"/>
  <c r="AK23" i="22"/>
  <c r="AO23" i="22" s="1"/>
  <c r="Q23" i="22"/>
  <c r="Q34" i="22" s="1"/>
  <c r="AJ22" i="22"/>
  <c r="AI22" i="22"/>
  <c r="AH22" i="22"/>
  <c r="AG22" i="22"/>
  <c r="AF22" i="22"/>
  <c r="AE22" i="22"/>
  <c r="AD22" i="22"/>
  <c r="AC22" i="22"/>
  <c r="AB22" i="22"/>
  <c r="AA22" i="22"/>
  <c r="Z22" i="22"/>
  <c r="Y22" i="22"/>
  <c r="X22" i="22"/>
  <c r="W22" i="22"/>
  <c r="V22" i="22"/>
  <c r="U22" i="22"/>
  <c r="T22" i="22"/>
  <c r="S22" i="22"/>
  <c r="R22" i="22"/>
  <c r="P22" i="22"/>
  <c r="O22" i="22"/>
  <c r="N22" i="22"/>
  <c r="E22" i="22"/>
  <c r="AN21" i="22"/>
  <c r="AM21" i="22"/>
  <c r="AO21" i="22" s="1"/>
  <c r="AP21" i="22" s="1"/>
  <c r="AL21" i="22"/>
  <c r="AK21" i="22"/>
  <c r="Q21" i="22"/>
  <c r="AN20" i="22"/>
  <c r="AM20" i="22"/>
  <c r="AL20" i="22"/>
  <c r="AO20" i="22" s="1"/>
  <c r="AP20" i="22" s="1"/>
  <c r="AK20" i="22"/>
  <c r="Q20" i="22"/>
  <c r="AN19" i="22"/>
  <c r="AM19" i="22"/>
  <c r="AL19" i="22"/>
  <c r="AK19" i="22"/>
  <c r="AO19" i="22" s="1"/>
  <c r="AP19" i="22" s="1"/>
  <c r="Q19" i="22"/>
  <c r="AN18" i="22"/>
  <c r="AM18" i="22"/>
  <c r="AL18" i="22"/>
  <c r="AK18" i="22"/>
  <c r="AO18" i="22" s="1"/>
  <c r="AP18" i="22" s="1"/>
  <c r="Q18" i="22"/>
  <c r="Q22" i="22" s="1"/>
  <c r="AN17" i="22"/>
  <c r="AN22" i="22" s="1"/>
  <c r="AM17" i="22"/>
  <c r="AM22" i="22" s="1"/>
  <c r="AL17" i="22"/>
  <c r="AL22" i="22" s="1"/>
  <c r="AK17" i="22"/>
  <c r="AO17" i="22" s="1"/>
  <c r="Q17" i="22"/>
  <c r="AJ16" i="22"/>
  <c r="AI16" i="22"/>
  <c r="AH16" i="22"/>
  <c r="AG16" i="22"/>
  <c r="AF16" i="22"/>
  <c r="AE16" i="22"/>
  <c r="AD16" i="22"/>
  <c r="AC16" i="22"/>
  <c r="AB16" i="22"/>
  <c r="AA16" i="22"/>
  <c r="Z16" i="22"/>
  <c r="Y16" i="22"/>
  <c r="X16" i="22"/>
  <c r="W16" i="22"/>
  <c r="V16" i="22"/>
  <c r="U16" i="22"/>
  <c r="T16" i="22"/>
  <c r="S16" i="22"/>
  <c r="R16" i="22"/>
  <c r="Q16" i="22"/>
  <c r="P16" i="22"/>
  <c r="O16" i="22"/>
  <c r="N16" i="22"/>
  <c r="E16" i="22"/>
  <c r="C16" i="22"/>
  <c r="AO15" i="22"/>
  <c r="AP15" i="22" s="1"/>
  <c r="AN15" i="22"/>
  <c r="AM15" i="22"/>
  <c r="AL15" i="22"/>
  <c r="AK15" i="22"/>
  <c r="AN13" i="22"/>
  <c r="AM13" i="22"/>
  <c r="AO13" i="22" s="1"/>
  <c r="AP13" i="22" s="1"/>
  <c r="AL13" i="22"/>
  <c r="AK13" i="22"/>
  <c r="AN12" i="22"/>
  <c r="AN16" i="22" s="1"/>
  <c r="AM12" i="22"/>
  <c r="AM16" i="22" s="1"/>
  <c r="AL12" i="22"/>
  <c r="AL16" i="22" s="1"/>
  <c r="AK12" i="22"/>
  <c r="AO12" i="22" s="1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P11" i="22"/>
  <c r="O11" i="22"/>
  <c r="N11" i="22"/>
  <c r="C11" i="22"/>
  <c r="AO9" i="22"/>
  <c r="AN9" i="22"/>
  <c r="AK9" i="22"/>
  <c r="Q9" i="22"/>
  <c r="AO8" i="22"/>
  <c r="AP8" i="22" s="1"/>
  <c r="AP11" i="22" s="1"/>
  <c r="AN8" i="22"/>
  <c r="AM8" i="22"/>
  <c r="AL8" i="22"/>
  <c r="AL11" i="22" s="1"/>
  <c r="AK8" i="22"/>
  <c r="AK11" i="22" s="1"/>
  <c r="Q8" i="22"/>
  <c r="AO7" i="22"/>
  <c r="AO11" i="22" s="1"/>
  <c r="AN7" i="22"/>
  <c r="AN11" i="22" s="1"/>
  <c r="AM7" i="22"/>
  <c r="AM11" i="22" s="1"/>
  <c r="AK7" i="22"/>
  <c r="Q7" i="22"/>
  <c r="Q11" i="22" s="1"/>
  <c r="AO49" i="22" l="1"/>
  <c r="AP17" i="22"/>
  <c r="AP22" i="22" s="1"/>
  <c r="AO22" i="22"/>
  <c r="AO34" i="22"/>
  <c r="AP23" i="22"/>
  <c r="AP34" i="22" s="1"/>
  <c r="AO16" i="22"/>
  <c r="AP12" i="22"/>
  <c r="AP16" i="22" s="1"/>
  <c r="Q46" i="22"/>
  <c r="AO35" i="22"/>
  <c r="Q47" i="22"/>
  <c r="AP47" i="22" s="1"/>
  <c r="AK16" i="22"/>
  <c r="AK49" i="22"/>
  <c r="AK22" i="22"/>
  <c r="AO45" i="22" l="1"/>
  <c r="AP35" i="22"/>
  <c r="AP45" i="22" s="1"/>
  <c r="Q49" i="22"/>
  <c r="AP46" i="22"/>
  <c r="AP49" i="22" s="1"/>
  <c r="X19" i="21" l="1"/>
  <c r="Q19" i="21"/>
  <c r="X18" i="21"/>
  <c r="Q18" i="21"/>
  <c r="X17" i="21"/>
  <c r="Q17" i="21"/>
  <c r="X16" i="21"/>
  <c r="Q16" i="21"/>
  <c r="X15" i="21"/>
  <c r="Q15" i="21"/>
  <c r="X14" i="21"/>
  <c r="Q14" i="21"/>
  <c r="X13" i="21"/>
  <c r="Q13" i="21"/>
  <c r="X12" i="21"/>
  <c r="Q12" i="21"/>
  <c r="X11" i="21"/>
  <c r="Q11" i="21"/>
  <c r="X10" i="21"/>
  <c r="Q10" i="21"/>
  <c r="X9" i="21"/>
  <c r="Q9" i="21"/>
  <c r="X8" i="21"/>
  <c r="Q8" i="21"/>
  <c r="U7" i="21"/>
  <c r="T7" i="21"/>
  <c r="S7" i="21"/>
  <c r="R7" i="21"/>
  <c r="AJ42" i="20" l="1"/>
  <c r="AI42" i="20"/>
  <c r="AH42" i="20"/>
  <c r="AG42" i="20"/>
  <c r="AF42" i="20"/>
  <c r="AE42" i="20"/>
  <c r="AD42" i="20"/>
  <c r="AC42" i="20"/>
  <c r="AA42" i="20"/>
  <c r="Z42" i="20"/>
  <c r="Y42" i="20"/>
  <c r="W42" i="20"/>
  <c r="V42" i="20"/>
  <c r="U42" i="20"/>
  <c r="T42" i="20"/>
  <c r="S42" i="20"/>
  <c r="R42" i="20"/>
  <c r="P42" i="20"/>
  <c r="N42" i="20"/>
  <c r="E42" i="20"/>
  <c r="C42" i="20"/>
  <c r="AN40" i="20"/>
  <c r="AM40" i="20"/>
  <c r="AL40" i="20"/>
  <c r="AK40" i="20"/>
  <c r="AO40" i="20" s="1"/>
  <c r="AN39" i="20"/>
  <c r="AM39" i="20"/>
  <c r="AL39" i="20"/>
  <c r="AK39" i="20"/>
  <c r="AO39" i="20" s="1"/>
  <c r="AN35" i="20"/>
  <c r="AM35" i="20"/>
  <c r="AL35" i="20"/>
  <c r="AK35" i="20"/>
  <c r="AO35" i="20" s="1"/>
  <c r="AN34" i="20"/>
  <c r="AO34" i="20" s="1"/>
  <c r="AP34" i="20" s="1"/>
  <c r="AM34" i="20"/>
  <c r="AL34" i="20"/>
  <c r="AK34" i="20"/>
  <c r="Q34" i="20"/>
  <c r="AN33" i="20"/>
  <c r="AM33" i="20"/>
  <c r="AO33" i="20" s="1"/>
  <c r="AP33" i="20" s="1"/>
  <c r="AL33" i="20"/>
  <c r="AK33" i="20"/>
  <c r="Q33" i="20"/>
  <c r="AN32" i="20"/>
  <c r="AM32" i="20"/>
  <c r="AL32" i="20"/>
  <c r="AO32" i="20" s="1"/>
  <c r="AP32" i="20" s="1"/>
  <c r="AK32" i="20"/>
  <c r="Q32" i="20"/>
  <c r="AM31" i="20"/>
  <c r="AL31" i="20"/>
  <c r="AK31" i="20"/>
  <c r="AO31" i="20" s="1"/>
  <c r="AP31" i="20" s="1"/>
  <c r="Q31" i="20"/>
  <c r="AM30" i="20"/>
  <c r="AL30" i="20"/>
  <c r="AK30" i="20"/>
  <c r="AB30" i="20"/>
  <c r="AN30" i="20" s="1"/>
  <c r="Q30" i="20"/>
  <c r="O30" i="20"/>
  <c r="AM29" i="20"/>
  <c r="AL29" i="20"/>
  <c r="AK29" i="20"/>
  <c r="AB29" i="20"/>
  <c r="AN29" i="20" s="1"/>
  <c r="X29" i="20"/>
  <c r="O29" i="20"/>
  <c r="Q29" i="20" s="1"/>
  <c r="AM28" i="20"/>
  <c r="AL28" i="20"/>
  <c r="AK28" i="20"/>
  <c r="X28" i="20"/>
  <c r="O28" i="20"/>
  <c r="AB28" i="20" s="1"/>
  <c r="AN28" i="20" s="1"/>
  <c r="AM27" i="20"/>
  <c r="AL27" i="20"/>
  <c r="AK27" i="20"/>
  <c r="X27" i="20"/>
  <c r="X42" i="20" s="1"/>
  <c r="O27" i="20"/>
  <c r="AB27" i="20" s="1"/>
  <c r="AM26" i="20"/>
  <c r="AL26" i="20"/>
  <c r="AK26" i="20"/>
  <c r="AO26" i="20" s="1"/>
  <c r="AP26" i="20" s="1"/>
  <c r="Q26" i="20"/>
  <c r="AM25" i="20"/>
  <c r="AO25" i="20" s="1"/>
  <c r="AP25" i="20" s="1"/>
  <c r="AL25" i="20"/>
  <c r="AK25" i="20"/>
  <c r="Q25" i="20"/>
  <c r="AN24" i="20"/>
  <c r="AM24" i="20"/>
  <c r="AL24" i="20"/>
  <c r="AO24" i="20" s="1"/>
  <c r="AP24" i="20" s="1"/>
  <c r="AK24" i="20"/>
  <c r="Q24" i="20"/>
  <c r="AM23" i="20"/>
  <c r="AL23" i="20"/>
  <c r="AK23" i="20"/>
  <c r="AO23" i="20" s="1"/>
  <c r="AP23" i="20" s="1"/>
  <c r="Q23" i="20"/>
  <c r="AN22" i="20"/>
  <c r="AM22" i="20"/>
  <c r="AL22" i="20"/>
  <c r="AK22" i="20"/>
  <c r="AO22" i="20" s="1"/>
  <c r="Q22" i="20"/>
  <c r="AO21" i="20"/>
  <c r="AP21" i="20" s="1"/>
  <c r="AN21" i="20"/>
  <c r="AM21" i="20"/>
  <c r="AL21" i="20"/>
  <c r="AK21" i="20"/>
  <c r="Q21" i="20"/>
  <c r="AN20" i="20"/>
  <c r="AO20" i="20" s="1"/>
  <c r="AP20" i="20" s="1"/>
  <c r="AM20" i="20"/>
  <c r="AL20" i="20"/>
  <c r="AK20" i="20"/>
  <c r="Q20" i="20"/>
  <c r="AN19" i="20"/>
  <c r="AL19" i="20"/>
  <c r="AO19" i="20" s="1"/>
  <c r="AP19" i="20" s="1"/>
  <c r="AK19" i="20"/>
  <c r="Q19" i="20"/>
  <c r="AN18" i="20"/>
  <c r="AM18" i="20"/>
  <c r="AL18" i="20"/>
  <c r="AK18" i="20"/>
  <c r="AO18" i="20" s="1"/>
  <c r="Q18" i="20"/>
  <c r="AM17" i="20"/>
  <c r="AL17" i="20"/>
  <c r="AK17" i="20"/>
  <c r="AO17" i="20" s="1"/>
  <c r="Q17" i="20"/>
  <c r="AN16" i="20"/>
  <c r="AO16" i="20" s="1"/>
  <c r="AP16" i="20" s="1"/>
  <c r="AM16" i="20"/>
  <c r="AL16" i="20"/>
  <c r="AK16" i="20"/>
  <c r="Q16" i="20"/>
  <c r="AL15" i="20"/>
  <c r="AK15" i="20"/>
  <c r="Q15" i="20"/>
  <c r="AP15" i="20" s="1"/>
  <c r="AN14" i="20"/>
  <c r="AM14" i="20"/>
  <c r="AL14" i="20"/>
  <c r="AK14" i="20"/>
  <c r="AO14" i="20" s="1"/>
  <c r="AP14" i="20" s="1"/>
  <c r="Q14" i="20"/>
  <c r="AN13" i="20"/>
  <c r="AM13" i="20"/>
  <c r="AL13" i="20"/>
  <c r="AK13" i="20"/>
  <c r="AO13" i="20" s="1"/>
  <c r="AP13" i="20" s="1"/>
  <c r="Q13" i="20"/>
  <c r="AO12" i="20"/>
  <c r="AP12" i="20" s="1"/>
  <c r="AN12" i="20"/>
  <c r="AM12" i="20"/>
  <c r="AL12" i="20"/>
  <c r="AK12" i="20"/>
  <c r="Q12" i="20"/>
  <c r="AN11" i="20"/>
  <c r="AO11" i="20" s="1"/>
  <c r="AP11" i="20" s="1"/>
  <c r="AM11" i="20"/>
  <c r="AM42" i="20" s="1"/>
  <c r="AL11" i="20"/>
  <c r="AK11" i="20"/>
  <c r="Q11" i="20"/>
  <c r="AN10" i="20"/>
  <c r="AL10" i="20"/>
  <c r="AO10" i="20" s="1"/>
  <c r="AP10" i="20" s="1"/>
  <c r="AK10" i="20"/>
  <c r="Q10" i="20"/>
  <c r="AN9" i="20"/>
  <c r="AL9" i="20"/>
  <c r="AK9" i="20"/>
  <c r="AO9" i="20" s="1"/>
  <c r="AP9" i="20" s="1"/>
  <c r="Q9" i="20"/>
  <c r="AN8" i="20"/>
  <c r="AL8" i="20"/>
  <c r="AK8" i="20"/>
  <c r="AO8" i="20" s="1"/>
  <c r="Q8" i="20"/>
  <c r="AP7" i="20"/>
  <c r="AL7" i="20"/>
  <c r="AL42" i="20" s="1"/>
  <c r="AK7" i="20"/>
  <c r="AK42" i="20" s="1"/>
  <c r="Q7" i="20"/>
  <c r="AO42" i="20" l="1"/>
  <c r="AP8" i="20"/>
  <c r="AO30" i="20"/>
  <c r="AP30" i="20" s="1"/>
  <c r="AO29" i="20"/>
  <c r="AP29" i="20" s="1"/>
  <c r="AN27" i="20"/>
  <c r="AO27" i="20" s="1"/>
  <c r="AP27" i="20" s="1"/>
  <c r="AB42" i="20"/>
  <c r="AO28" i="20"/>
  <c r="O42" i="20"/>
  <c r="Q27" i="20"/>
  <c r="Q28" i="20"/>
  <c r="Q42" i="20" s="1"/>
  <c r="AP42" i="20" l="1"/>
  <c r="AN42" i="20"/>
  <c r="AP28" i="20"/>
  <c r="AH17" i="9" l="1"/>
  <c r="C17" i="9"/>
  <c r="AF17" i="9"/>
  <c r="S17" i="9"/>
  <c r="AN17" i="9"/>
  <c r="AG17" i="9"/>
  <c r="AI17" i="9"/>
  <c r="X17" i="9"/>
  <c r="I17" i="9"/>
  <c r="AJ17" i="9"/>
  <c r="Y17" i="9"/>
  <c r="AD17" i="9"/>
  <c r="P17" i="9"/>
  <c r="R17" i="9"/>
  <c r="L17" i="9"/>
  <c r="K17" i="9"/>
  <c r="U17" i="9"/>
  <c r="AM17" i="9"/>
  <c r="AE17" i="9"/>
  <c r="O17" i="9"/>
  <c r="G17" i="9"/>
  <c r="AL17" i="9"/>
  <c r="N17" i="9"/>
  <c r="AK17" i="9"/>
  <c r="AC17" i="9"/>
  <c r="M17" i="9"/>
  <c r="AB17" i="9"/>
  <c r="T17" i="9"/>
  <c r="AA17" i="9"/>
  <c r="Z17" i="9"/>
  <c r="Q17" i="9"/>
  <c r="E17" i="9"/>
  <c r="W17" i="9" l="1"/>
  <c r="AO17" i="9"/>
  <c r="AP17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8D14D021-1FC6-434B-BD11-831DFE932F7F}">
      <text>
        <r>
          <rPr>
            <b/>
            <sz val="9"/>
            <color indexed="81"/>
            <rFont val="Tahoma"/>
            <family val="2"/>
          </rPr>
          <t xml:space="preserve">Yeghiazar Davt
Նշել համայնքի անվանումը և համապատասխան եռամսյակը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A70DDD06-5F08-415E-87F4-E8A148C39911}">
      <text>
        <r>
          <rPr>
            <b/>
            <sz val="9"/>
            <color indexed="81"/>
            <rFont val="Tahoma"/>
            <family val="2"/>
          </rPr>
          <t xml:space="preserve">Yeghiazar Davt
Նշել համայնքի անվանումը և համապատասխան եռամսյակը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B49F7171-4A9E-4039-8ADE-8DEA2213677F}">
      <text>
        <r>
          <rPr>
            <b/>
            <sz val="9"/>
            <color indexed="81"/>
            <rFont val="Tahoma"/>
            <family val="2"/>
          </rPr>
          <t xml:space="preserve">Yeghiazar Davt
Նշել համայնքի անվանումը և համապատասխան եռամսյակը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1" authorId="0" shapeId="0" xr:uid="{3C96D934-2CC1-4733-90AD-C01808EE2D74}">
      <text>
        <r>
          <rPr>
            <b/>
            <sz val="9"/>
            <color indexed="81"/>
            <rFont val="Tahoma"/>
            <family val="2"/>
          </rPr>
          <t xml:space="preserve">Yeghiazar Davt
Նշել համայնքի անվանումը և համապատասխան եռամսյակը </t>
        </r>
      </text>
    </comment>
    <comment ref="D31" authorId="0" shapeId="0" xr:uid="{C1584DFF-6978-4ED0-AD5E-DEF07A29DB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 հատ
5121,5122,5123</t>
        </r>
      </text>
    </comment>
    <comment ref="D38" authorId="0" shapeId="0" xr:uid="{718F5AEF-3374-44C2-A050-C04212A76E4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 հատ
2271,2272, էՕ26, 2538</t>
        </r>
      </text>
    </comment>
    <comment ref="D39" authorId="0" shapeId="0" xr:uid="{DBCBECA5-12AF-4778-8E31-517A04DBB6E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 հատ
429,430,417,902</t>
        </r>
      </text>
    </comment>
    <comment ref="D40" authorId="0" shapeId="0" xr:uid="{A50D9042-D3B0-437D-80C1-3B7A180C7F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աՎԼՈՂ, ՀԱՐԹ, և ՋՐ
901LL70</t>
        </r>
      </text>
    </comment>
    <comment ref="D41" authorId="0" shapeId="0" xr:uid="{4378B0A8-4485-43BC-A744-2EF604FB30F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 մեք
,579,897,899,514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6D725EBE-58BC-41E7-8C2E-F96BF90EEBA3}">
      <text>
        <r>
          <rPr>
            <b/>
            <sz val="9"/>
            <color indexed="81"/>
            <rFont val="Tahoma"/>
            <family val="2"/>
          </rPr>
          <t xml:space="preserve">Yeghiazar Davt
Նշել համայնքի անվանումը և համապատասխան եռամսյակը </t>
        </r>
      </text>
    </comment>
  </commentList>
</comments>
</file>

<file path=xl/sharedStrings.xml><?xml version="1.0" encoding="utf-8"?>
<sst xmlns="http://schemas.openxmlformats.org/spreadsheetml/2006/main" count="3962" uniqueCount="1369">
  <si>
    <t>N/N</t>
  </si>
  <si>
    <t>Համայնքի անվանումը</t>
  </si>
  <si>
    <t>Համայնքների   (Բնակավայրերի)  թիվը</t>
  </si>
  <si>
    <t xml:space="preserve">Տեղեկատվություն ստացված տեխնիկայի վերաբերյալ 
</t>
  </si>
  <si>
    <t>Տեղեկատվություն օգտագործման ձևի վերաբերյալ</t>
  </si>
  <si>
    <t>Ստացման պահից որքան գումար է ծախսվել տեխնիկան շահագործելու համար</t>
  </si>
  <si>
    <t xml:space="preserve">Համայնքի ավագանու որոշմամբ  հաստատված դրույքաչափեր՝  տեղեկատվություն մատուցվող
ծառայությունների դրույքաչափերը </t>
  </si>
  <si>
    <t>Տեխնիկայի օգտագործումից ստացված օգուտները</t>
  </si>
  <si>
    <t xml:space="preserve">Տեխնիկայով համայնքներում կատարած աշատանքների տեսակը և ծավալը </t>
  </si>
  <si>
    <t>Տեխնիկայի օգտագործումից ստացված եկամուտը</t>
  </si>
  <si>
    <t>Ստացված ամբողջ տեխնիկան  (ամբողջական անվանումը`թրթուրավոր 
տրակտոր, Էքսկավատոր, գրեյդեր և այլն)</t>
  </si>
  <si>
    <t>Քանակը</t>
  </si>
  <si>
    <t>Ստացման ամսաթիվ</t>
  </si>
  <si>
    <t>Մակնիշ (ամբողջական անվանումը)</t>
  </si>
  <si>
    <t>Վարձակալության պայմանագիր</t>
  </si>
  <si>
    <t>Անհատույց օգտագործման պայմանագիր</t>
  </si>
  <si>
    <t>Համայնքի ղեկավարի որոշմամբ</t>
  </si>
  <si>
    <t xml:space="preserve">Ավագանու որոշմամբ </t>
  </si>
  <si>
    <t>այլ</t>
  </si>
  <si>
    <t>Շահագործման ծախս</t>
  </si>
  <si>
    <t>Վառելիք</t>
  </si>
  <si>
    <t>Տեխնիկայի սպասարկում</t>
  </si>
  <si>
    <t>Ընդամենը</t>
  </si>
  <si>
    <t>Համայնքի բնակչության քանի %-ին է ծառայել տեխնիկան</t>
  </si>
  <si>
    <t xml:space="preserve">Այդ թվում տեխնիկայով բնակիչներին մատուցվող
ծառայություններ (ըստ տեսակի)             </t>
  </si>
  <si>
    <t xml:space="preserve">Այդ թվում տեխնիկայով բնակիչներին մատուցվող ծառայություններից համայնքային
բյուջե մուտքերը՝ ըստ աշխատանքների </t>
  </si>
  <si>
    <t xml:space="preserve">Տեխնիկայի օգտագործումից ստացված եկամուտը՝ ըստ աշխատանքների </t>
  </si>
  <si>
    <t xml:space="preserve">Զուտ եկամուտը՝ տեխնիկայի շահագործման համար ծախսերը հանած  </t>
  </si>
  <si>
    <t xml:space="preserve"> 1 հա վարել</t>
  </si>
  <si>
    <t xml:space="preserve"> խ/մ փորել </t>
  </si>
  <si>
    <t xml:space="preserve">1 կմ ճանապարհ </t>
  </si>
  <si>
    <t xml:space="preserve">այլ </t>
  </si>
  <si>
    <t xml:space="preserve">Համայնքի բնակչության թիվը </t>
  </si>
  <si>
    <t>Տեխնիկայից օգտված բնակիչների թիվը</t>
  </si>
  <si>
    <t>%</t>
  </si>
  <si>
    <t>վարել</t>
  </si>
  <si>
    <t xml:space="preserve">փորել </t>
  </si>
  <si>
    <t xml:space="preserve">Ճանապարհ </t>
  </si>
  <si>
    <t>թիվ</t>
  </si>
  <si>
    <t>ՀՀ դրամ</t>
  </si>
  <si>
    <t xml:space="preserve">ՀՀ դրամ </t>
  </si>
  <si>
    <t xml:space="preserve">թիվ </t>
  </si>
  <si>
    <t>հա</t>
  </si>
  <si>
    <t>խ/մ</t>
  </si>
  <si>
    <t>կմ</t>
  </si>
  <si>
    <t>Ապարան</t>
  </si>
  <si>
    <t>Բոբկադ</t>
  </si>
  <si>
    <t>АNТ-750</t>
  </si>
  <si>
    <t>Էքսկավատոր</t>
  </si>
  <si>
    <t>JCB-3SX</t>
  </si>
  <si>
    <t>Գրեյդեր</t>
  </si>
  <si>
    <t>ГС-10.07</t>
  </si>
  <si>
    <t>MAЗ</t>
  </si>
  <si>
    <t>МАЗ 490103390</t>
  </si>
  <si>
    <t>ГАЗ</t>
  </si>
  <si>
    <t>ГАЗ 33086</t>
  </si>
  <si>
    <t>УАЗ 23632</t>
  </si>
  <si>
    <t>Ծաղկահովիտ</t>
  </si>
  <si>
    <t>Բեռնաուղևորատար</t>
  </si>
  <si>
    <t>UAZ-390946-550</t>
  </si>
  <si>
    <t>ՀՏԶՀ</t>
  </si>
  <si>
    <t>Միկրոավտոբուս</t>
  </si>
  <si>
    <t>GAZ 32273-753</t>
  </si>
  <si>
    <t>Ասինիզացիոն</t>
  </si>
  <si>
    <t>06․11․2019</t>
  </si>
  <si>
    <t>GAZ KO-503 B GAZ-53</t>
  </si>
  <si>
    <t>25․12․2019</t>
  </si>
  <si>
    <t>KAMAZ KO-456-12 (KAMAZ-43253-15)</t>
  </si>
  <si>
    <t>12․12․2019</t>
  </si>
  <si>
    <t>KAMAZ 55111-15</t>
  </si>
  <si>
    <t>07․10․2019</t>
  </si>
  <si>
    <t>GS-10.07</t>
  </si>
  <si>
    <t>11․12․2019</t>
  </si>
  <si>
    <t>CAT 426F2</t>
  </si>
  <si>
    <t>12000 դրամի վառելիքը   տրամադրվել  է  համայնքի ջրամատակարարման  համակարկի  սպասարկման աշխատանքներ կատարելու   նպատակով։</t>
  </si>
  <si>
    <t>189000 դրամի վառելիքը  տրամադրվել  է համայնքի  բազմաբնակարան  շենքերի  կոյուղու և դիտահորերի մաքրման  համար։Տեխնիկա  վարձակալելու  դեպքում  համայնքի  բյուջեի  ծախսը  կկազմի 1500000 դրամ։</t>
  </si>
  <si>
    <t>Աղբատար</t>
  </si>
  <si>
    <t>177000 դրամի վառելիքը  ծախսվել  է բնակավայրերում  աղբահանություն  իրականացնելու համար։</t>
  </si>
  <si>
    <t>Բեռնատար Ինքնա          թափ</t>
  </si>
  <si>
    <t>Վառելիքը տրամադրվել  է ներհամայնքային /ներառյալ բոլոր 10 բնակավայրերը /  ճանապարհների հարթեցման և բարեկարգման համար։ Տեխնիկա վարձակալելու  դեպքում  համայնքի  բյուջեի ծախսը  կկազմի 2500000 դրամ։</t>
  </si>
  <si>
    <t>366000 դրամը ծախսվել է բնակավայրերի ջրագծերի  և ջրատարների նորոգման    համար, 50000 դրամի  ձեռք է  բերվել շարժիչի  յուղ և  քսայուղ։Տեխնիկա  վարձակալելու  դեպքում համայնքի  բյուջեի  ծախսը կկազմի մինչև  2000000 դրամ։</t>
  </si>
  <si>
    <t>YA3</t>
  </si>
  <si>
    <t>Թալին</t>
  </si>
  <si>
    <t>ՀՏԶՀUSAID</t>
  </si>
  <si>
    <t xml:space="preserve">28,04,2020թ N19 </t>
  </si>
  <si>
    <t>Գրեյդեր Ա</t>
  </si>
  <si>
    <t>19․11․2019թ․</t>
  </si>
  <si>
    <t>Գրեյդեր ԳՍ 10․07</t>
  </si>
  <si>
    <t>Ինքնաթափ  ՄԱԶ--555102-220</t>
  </si>
  <si>
    <t>20,12,2019թ</t>
  </si>
  <si>
    <t>Ինքնաթափ   ՄԱԶ--555102-220</t>
  </si>
  <si>
    <t xml:space="preserve"> ՄԱԶ-KO-456-10 Աղբատար</t>
  </si>
  <si>
    <t xml:space="preserve"> ՄԱԶ-KO-449-17 Աղբատար</t>
  </si>
  <si>
    <t>ՈՒԱԶ390945-552</t>
  </si>
  <si>
    <t>ՈՒԱԶ390945</t>
  </si>
  <si>
    <t>SOLD BL385 էքսկավատոր</t>
  </si>
  <si>
    <t xml:space="preserve">Տրակտոր Բելառուս 1523
</t>
  </si>
  <si>
    <t>HONGYAN 6X4 CQ3346HV35</t>
  </si>
  <si>
    <t>JCB,3 CX plus էքսկավատոր</t>
  </si>
  <si>
    <t>Աշտարակ</t>
  </si>
  <si>
    <t>Էքսկավատոր ամբարձիչ ELAZ-BL880</t>
  </si>
  <si>
    <t>11.10.22 152-Ա</t>
  </si>
  <si>
    <t>20․10․23թ</t>
  </si>
  <si>
    <t>Էքսկավատոր բեռնիչ JCB 3CXD</t>
  </si>
  <si>
    <t>12․09․23թ 124-Ա</t>
  </si>
  <si>
    <t>բազմաֆունկցիոնալ մինիամբարձիչ</t>
  </si>
  <si>
    <t>SWL3220 բոբկատ</t>
  </si>
  <si>
    <t>11․10․2023թ․ 141-Ա</t>
  </si>
  <si>
    <t>Բելառուս</t>
  </si>
  <si>
    <t>տրված է վարձակալությամբ տարեկան 600000 ՀՀ դրամ</t>
  </si>
  <si>
    <t>Մամլիչ</t>
  </si>
  <si>
    <t>ТУКАН-1600</t>
  </si>
  <si>
    <t>Եռախոփ գութան</t>
  </si>
  <si>
    <t>Եռախոփ գութան ՊՆՎ 3-35</t>
  </si>
  <si>
    <t>Այգեգործական սրսկիչ</t>
  </si>
  <si>
    <t xml:space="preserve">Ընդամենը </t>
  </si>
  <si>
    <t xml:space="preserve">* Ծրագրի անվանման սյունակում լրացնել  ՀՏԶՀ-USAID, ՀՏԶՀ-SDC, ՀԲ ֆինանսավորմամբ
</t>
  </si>
  <si>
    <r>
      <rPr>
        <sz val="12"/>
        <color theme="1"/>
        <rFont val="GHEA Grapalat"/>
        <family val="3"/>
      </rPr>
      <t>*</t>
    </r>
    <r>
      <rPr>
        <b/>
        <sz val="9"/>
        <color theme="1"/>
        <rFont val="GHEA Grapalat"/>
        <family val="3"/>
      </rPr>
      <t xml:space="preserve">Որ ծրագրի շրջանաում 
է տրամադրվել </t>
    </r>
  </si>
  <si>
    <t xml:space="preserve">Ընդամենը տեխնիկայով համայնքներում կատարած աշատանքների ծավալը  (ըստ տեսակի) </t>
  </si>
  <si>
    <t xml:space="preserve">Համայնքի նակչության թիվը </t>
  </si>
  <si>
    <t>Արտաշատ</t>
  </si>
  <si>
    <t>Արարատ</t>
  </si>
  <si>
    <t>Մասիս</t>
  </si>
  <si>
    <r>
      <rPr>
        <sz val="10"/>
        <color theme="1"/>
        <rFont val="GHEA Grapalat"/>
        <family val="3"/>
      </rPr>
      <t>*</t>
    </r>
    <r>
      <rPr>
        <b/>
        <sz val="10"/>
        <color theme="1"/>
        <rFont val="GHEA Grapalat"/>
        <family val="3"/>
      </rPr>
      <t xml:space="preserve">Որ ծրագրի շրջանաում 
է տրամադրվել </t>
    </r>
  </si>
  <si>
    <t>2019թ</t>
  </si>
  <si>
    <t>Արմավիր</t>
  </si>
  <si>
    <t>Ավտոգրեյդեր</t>
  </si>
  <si>
    <t>ՀՏԶՀ-USAID</t>
  </si>
  <si>
    <t>V</t>
  </si>
  <si>
    <t xml:space="preserve">Աղբատար մեքենա </t>
  </si>
  <si>
    <t>+</t>
  </si>
  <si>
    <t>Աղբատար մեքենա</t>
  </si>
  <si>
    <t xml:space="preserve"> </t>
  </si>
  <si>
    <t>Վաղարշապատ</t>
  </si>
  <si>
    <t>v</t>
  </si>
  <si>
    <t>CASE 570 ST</t>
  </si>
  <si>
    <t>ՀՏԶՀ-SDC</t>
  </si>
  <si>
    <t>Մեծամոր</t>
  </si>
  <si>
    <t>Ինքնաթափ</t>
  </si>
  <si>
    <t>Փարաքար</t>
  </si>
  <si>
    <t>Ճամբարակ</t>
  </si>
  <si>
    <t>JCB 3CX</t>
  </si>
  <si>
    <t>ՀՏԶՀ-USAID, ՀՏԶՀ-SDC, ՀԲ ֆինանսավորմամբ</t>
  </si>
  <si>
    <t>Վարդենիս</t>
  </si>
  <si>
    <t>Սևան</t>
  </si>
  <si>
    <t>Բազմաֆունկցիոնալ Էքսկավատոր</t>
  </si>
  <si>
    <t xml:space="preserve">Գրեյդեր </t>
  </si>
  <si>
    <t>Մարզի անվանումը</t>
  </si>
  <si>
    <t>Քանակըթիվ</t>
  </si>
  <si>
    <t>Հրազդան</t>
  </si>
  <si>
    <t>Էքսկավատոր ամբարձիչ New Holland B115B, համալրված արագ հանվող մաս NH LB110/115</t>
  </si>
  <si>
    <t>2022թ.</t>
  </si>
  <si>
    <t>Անիվավոր տրակտոր 1,4-րդ քարշակ դասի</t>
  </si>
  <si>
    <t>Բազմաֆունկցիոնալ անիվավոր էքսկավատոր պտտվող պլատֆորմով</t>
  </si>
  <si>
    <t>LuiGong 4215D-AWD ավտոգրեյդեր</t>
  </si>
  <si>
    <t>Թրթուրավոր</t>
  </si>
  <si>
    <t>30․11․2020թ․</t>
  </si>
  <si>
    <t>Б 10М6100-ЕН</t>
  </si>
  <si>
    <t>Անվավոր</t>
  </si>
  <si>
    <t>18․12․2020թ․</t>
  </si>
  <si>
    <t>XC F 1504, JM-1104</t>
  </si>
  <si>
    <t>Ակունք</t>
  </si>
  <si>
    <t>Էքսկավատոր/Մոդել՝ELAZ-BL 880/`հիդրավլիկ մուրճով և փոքր շերեփով/մոդել՝FD-5X</t>
  </si>
  <si>
    <t>13.01.2021թ</t>
  </si>
  <si>
    <t>ELAZBL880A20P0519</t>
  </si>
  <si>
    <t>չկա</t>
  </si>
  <si>
    <t>Բեռնատար ինքնաթափ</t>
  </si>
  <si>
    <t>16.12.2020թ</t>
  </si>
  <si>
    <t>ԿԱՄԱԶ-53605-6010-48</t>
  </si>
  <si>
    <t>Ձյուն մաքրող ռոտոր</t>
  </si>
  <si>
    <t>16.11.2020թ</t>
  </si>
  <si>
    <t>CY-2.1</t>
  </si>
  <si>
    <t>Արտաճանապարհային և տեխնիկական սպասարկման մեքենա համալրող սարքերով/պլաստիկ զոդիչ,էլեկտագեներատոր</t>
  </si>
  <si>
    <t>09.09.2021թ</t>
  </si>
  <si>
    <t>ՈԻԱԶ 236324-101</t>
  </si>
  <si>
    <t>Տրակտոր 1,4-րդ քարշակ դասի,կցասայլով</t>
  </si>
  <si>
    <t>13.10.2020թ</t>
  </si>
  <si>
    <t>Բելառուս 82.1,2ՊՏՍ-4,5</t>
  </si>
  <si>
    <t>Սրսկիչ</t>
  </si>
  <si>
    <t>10.12.2020թ</t>
  </si>
  <si>
    <t>MA600                                ՀՏԶՀ-USAID</t>
  </si>
  <si>
    <t>Կարտոֆիլահանիչ</t>
  </si>
  <si>
    <t>14.12.2020թ</t>
  </si>
  <si>
    <t>ԿՏՆ-2Վ/ԱՏԳ ծածկագիր843242000</t>
  </si>
  <si>
    <t>11.09.2020թ</t>
  </si>
  <si>
    <t>ԿՍՄ ԿՏՆ-24/ԱՏԳ              ՀՏԶՀ-</t>
  </si>
  <si>
    <t>Կարտոֆիլի կուլտիվատոր</t>
  </si>
  <si>
    <t>10.12.</t>
  </si>
  <si>
    <t>Գառնի</t>
  </si>
  <si>
    <t>Կամազ</t>
  </si>
  <si>
    <t>ԿԱՄԱԶ5360548(A5)</t>
  </si>
  <si>
    <t>Չի տրամադրվել</t>
  </si>
  <si>
    <t>Չի կնքվել</t>
  </si>
  <si>
    <t>-</t>
  </si>
  <si>
    <t>Համայնքի կարիքների համար</t>
  </si>
  <si>
    <t>Բազմաֆունկցիոնալ էքսկավատոր</t>
  </si>
  <si>
    <t>JCB 3CXD14M2NM</t>
  </si>
  <si>
    <t>չի կնքվել</t>
  </si>
  <si>
    <t>ՈՒԱԶպիկապ</t>
  </si>
  <si>
    <t>ՈւԱԶպիկապ 23632</t>
  </si>
  <si>
    <t>Ջրվեժ</t>
  </si>
  <si>
    <t>25.05.2021թ</t>
  </si>
  <si>
    <t>բազմաֆունկցիոնալ էքսկավատոր հիդրավլիկ մուրճով</t>
  </si>
  <si>
    <t>առկա է</t>
  </si>
  <si>
    <t>աղբատար մեքենա КО-456-12 ամրաշրջանակ ԿԱՄԱԶ 43253-3010-69</t>
  </si>
  <si>
    <t>Գորիս</t>
  </si>
  <si>
    <t>11.05.2018, 17.07.2018, 29.09.2017</t>
  </si>
  <si>
    <t xml:space="preserve">  MAZ, MAZ, GAZ </t>
  </si>
  <si>
    <t>Կապան</t>
  </si>
  <si>
    <t>Հատուկ աղբատար մեքենա</t>
  </si>
  <si>
    <t>2018թ</t>
  </si>
  <si>
    <t>ՄԱԶ ԿՈ- 427 /411AS61/</t>
  </si>
  <si>
    <t>ԿԱՄԱԶ-ԿՈ-456 /701AP61/</t>
  </si>
  <si>
    <t>Աղցան և ջրցան հատուկ մեքենա</t>
  </si>
  <si>
    <t>ՄԱԶ-ԿՈ-806 /965AR61/</t>
  </si>
  <si>
    <t xml:space="preserve">2020թ </t>
  </si>
  <si>
    <t>ՄԱԶ-5904 C/ 302AU61/</t>
  </si>
  <si>
    <t>ՊՏԱԾ</t>
  </si>
  <si>
    <t>ՄԱԶ -ԿՈ-449 /1/057AV61/</t>
  </si>
  <si>
    <t>ՄԱԶ -ԿՈ-449/1/058AV61/</t>
  </si>
  <si>
    <t>Բեռնատար</t>
  </si>
  <si>
    <t>ՄԱԶ-551626-580/ 931LL70/</t>
  </si>
  <si>
    <t>ՏԶՀ</t>
  </si>
  <si>
    <t>CASE -570  /2623LL/</t>
  </si>
  <si>
    <t>Մինի բարձիչ</t>
  </si>
  <si>
    <t>CAT-246 /2591LL/</t>
  </si>
  <si>
    <t xml:space="preserve">Անվավոր բեռնիչ </t>
  </si>
  <si>
    <t>2019թ․</t>
  </si>
  <si>
    <t xml:space="preserve">JGB 155 </t>
  </si>
  <si>
    <t>Ֆոր Դիրեքշնս Մոթորս</t>
  </si>
  <si>
    <t>Գրեյդեր/ SHANTUI/</t>
  </si>
  <si>
    <t>SG18-3 /2535 LL/</t>
  </si>
  <si>
    <t>Մարդատար ավտոմեքենա</t>
  </si>
  <si>
    <t>2021թ</t>
  </si>
  <si>
    <t>ՈւԱԶ-374195-552-05 /727SM61/</t>
  </si>
  <si>
    <t xml:space="preserve">ՀՀ Սյունիքի մարզի զարգացման և ներդրման հիմնադրամ </t>
  </si>
  <si>
    <t>Հացահատիկային կոմբայն</t>
  </si>
  <si>
    <t>2022թ</t>
  </si>
  <si>
    <t>Ս300 ՆՈՎԱ -340 ՍՏԳ /4167LS/</t>
  </si>
  <si>
    <t>ՈւԱԶ--220695-550-04 /627СС61/</t>
  </si>
  <si>
    <t>Բեռնատար ինքնաթափ մեքենա</t>
  </si>
  <si>
    <t>2018թ․</t>
  </si>
  <si>
    <t>ՄԱԶ 631LL70</t>
  </si>
  <si>
    <t>ԵՎՐԱՄԻՈՒԹՅՈՒՆ</t>
  </si>
  <si>
    <t>Ավագանու որոշմամբ</t>
  </si>
  <si>
    <t>Սիսիան</t>
  </si>
  <si>
    <t xml:space="preserve">Կոշ </t>
  </si>
  <si>
    <t>03.09.2019թ.</t>
  </si>
  <si>
    <t>HO-79-1.01</t>
  </si>
  <si>
    <t>Սուբվենցիա, Համայնքի և պետական բյուջեի միջոցներով</t>
  </si>
  <si>
    <t>24.02.2020թ. թիվ252-Ա</t>
  </si>
  <si>
    <t>24.01.2020թ. թիվ 05-Ա</t>
  </si>
  <si>
    <t xml:space="preserve">Խոզանակ </t>
  </si>
  <si>
    <t>HO-86</t>
  </si>
  <si>
    <t>Շարքացան</t>
  </si>
  <si>
    <t>ՍԶՖ-3600</t>
  </si>
  <si>
    <t>Տրակտոր Բելառուս 82.1</t>
  </si>
  <si>
    <t>26.07.2019թ</t>
  </si>
  <si>
    <t>Խոտամամլիչ</t>
  </si>
  <si>
    <t>12.09.2019թ</t>
  </si>
  <si>
    <t>Կցորդ</t>
  </si>
  <si>
    <t>09.10.2019թ</t>
  </si>
  <si>
    <t>Խոտհավաք 5 անիվային</t>
  </si>
  <si>
    <t>12.10.2019թ</t>
  </si>
  <si>
    <t>Հնձիչ</t>
  </si>
  <si>
    <t>ԳՍ 10.07</t>
  </si>
  <si>
    <t xml:space="preserve">Հայաստանի տարածքային զարգացման հիմնադրամ </t>
  </si>
  <si>
    <t xml:space="preserve">ՈՒԱԶ </t>
  </si>
  <si>
    <t>390945-552</t>
  </si>
  <si>
    <t>Հայաստանի տարածքային զարգացման հիմնադրամ</t>
  </si>
  <si>
    <t>CASE-570ST</t>
  </si>
  <si>
    <t>25.06.2020թ. Թիվ 513-Ա</t>
  </si>
  <si>
    <t>25.06.2020թ. Թիվ 52-Ա</t>
  </si>
  <si>
    <t>ՄԱԶ-551626-580-050</t>
  </si>
  <si>
    <t>24.08.2020թ. Թիվ 713-Ա</t>
  </si>
  <si>
    <t>19.08.2020թ. Թիվ 72-Ա</t>
  </si>
  <si>
    <t>Հատուկ համակցված</t>
  </si>
  <si>
    <t>ՄԱԶ-5340C2-585-000</t>
  </si>
  <si>
    <t>ՄԱԶ-4381CO-540001</t>
  </si>
  <si>
    <t>JCB էքսկավատոր</t>
  </si>
  <si>
    <t>2016թ.</t>
  </si>
  <si>
    <t>ԷՔՍԿԱՎԱՏՈՐ JCB Բ N019079</t>
  </si>
  <si>
    <t>КАМАЗ ինքնաթափ բեռնատար</t>
  </si>
  <si>
    <t>ԿԱՄԱԶ- Ինքնաթափ</t>
  </si>
  <si>
    <t>КАМАЗ աղբատար</t>
  </si>
  <si>
    <t>ԿԱՄԱԶ- Աղբատար</t>
  </si>
  <si>
    <t>2017թ.</t>
  </si>
  <si>
    <t>Ավտգրեյդեր Բ N019080</t>
  </si>
  <si>
    <t>Հացահատկային կոմբայն</t>
  </si>
  <si>
    <t>1.Հաց-կոմբայն ՆԻՎԱ-ԷՖԵԿՏ Բ N019081,2.Հաց-կոմբայն ՆԻՎԱ-ԷՖԵԿՏ Բ N019081</t>
  </si>
  <si>
    <t>Տեղ</t>
  </si>
  <si>
    <t>Ինքնագնաց խոտհնձիչ</t>
  </si>
  <si>
    <t>Е-403  МАШЕРА</t>
  </si>
  <si>
    <t>_</t>
  </si>
  <si>
    <t>JCB-3cx</t>
  </si>
  <si>
    <t>ГС-10-07</t>
  </si>
  <si>
    <t>S300NOVA-340</t>
  </si>
  <si>
    <t>Անիվավոր տրակտոր</t>
  </si>
  <si>
    <t>Беларус T82.1</t>
  </si>
  <si>
    <t>Խոտի հակավորիչ</t>
  </si>
  <si>
    <t>ППТ-042 TUKAN HP</t>
  </si>
  <si>
    <t>Խոտհնձիչ</t>
  </si>
  <si>
    <t>КСП-2.1</t>
  </si>
  <si>
    <t>SMMSDD-31NF</t>
  </si>
  <si>
    <t>Դաշտային սրսկիչ</t>
  </si>
  <si>
    <t>TS2000</t>
  </si>
  <si>
    <t>Беларус2022.3</t>
  </si>
  <si>
    <t>Ազոտային գութան</t>
  </si>
  <si>
    <t>ПГП-4-40-3</t>
  </si>
  <si>
    <t>Քարահավաք</t>
  </si>
  <si>
    <t>SMSP200</t>
  </si>
  <si>
    <t>Քաջարան</t>
  </si>
  <si>
    <t xml:space="preserve">Ինքնաթափ բեռնատար </t>
  </si>
  <si>
    <t>SHACMAN L3000SX31858F401 VIN-LZGJD8F10NX009649</t>
  </si>
  <si>
    <t xml:space="preserve">XCMG XZJ518ZYSD5 VIN-LZZ5BBMF5MN767524 NOWO շասսիով </t>
  </si>
  <si>
    <t>XCMG XZJ5120ZYSD5 VIN-LEZAD1CC0MF004142 SINOTRUK շասսիով</t>
  </si>
  <si>
    <t xml:space="preserve">Տրակտոր </t>
  </si>
  <si>
    <t>TT804</t>
  </si>
  <si>
    <t>Ամբարձիչ</t>
  </si>
  <si>
    <t>YX0-20</t>
  </si>
  <si>
    <t>Ջրցան</t>
  </si>
  <si>
    <t>SHACHMAN</t>
  </si>
  <si>
    <t>ZILKO-829AD</t>
  </si>
  <si>
    <t>Ավտոաշտարակ</t>
  </si>
  <si>
    <t>ISUZU ELF 250</t>
  </si>
  <si>
    <t>Ջրատար-ջրցան</t>
  </si>
  <si>
    <t>SHAANXI SHACHMAN X3000</t>
  </si>
  <si>
    <t>Belorus 82,1</t>
  </si>
  <si>
    <t>XCMG XG5S5041JGKQ6</t>
  </si>
  <si>
    <t xml:space="preserve">XCMG </t>
  </si>
  <si>
    <t>ԸՆԴԱՄԵՆԸ</t>
  </si>
  <si>
    <t>Վայք</t>
  </si>
  <si>
    <t>Անվավոր էքսկավատոր</t>
  </si>
  <si>
    <t>18.10.2017թ</t>
  </si>
  <si>
    <t>TEREX- TLB
 825-Մ8</t>
  </si>
  <si>
    <t>—</t>
  </si>
  <si>
    <t>«Վայքի բարեկարգում» ՀՈԱԿ</t>
  </si>
  <si>
    <t>Կամազ
43253
աղբատար</t>
  </si>
  <si>
    <t>18.05.2017թ.</t>
  </si>
  <si>
    <t>KO-440- K1</t>
  </si>
  <si>
    <t>236324 ամենագնաց կիսաբեռնատար տեխօգնության մեքենա</t>
  </si>
  <si>
    <t>23.07.2020թ.</t>
  </si>
  <si>
    <t>ՈՒԱԶ պրոֆի</t>
  </si>
  <si>
    <t>Մազ  
ինքնաթափ</t>
  </si>
  <si>
    <t>20.10.2019թ.</t>
  </si>
  <si>
    <t>MAZ 551605</t>
  </si>
  <si>
    <t>Մազ  
աղբատար</t>
  </si>
  <si>
    <t>15.03.2024թ.</t>
  </si>
  <si>
    <t>MAZ KO-449-41</t>
  </si>
  <si>
    <t xml:space="preserve">ZIL  աղբատար </t>
  </si>
  <si>
    <t>01.03.2022թ</t>
  </si>
  <si>
    <t>ZIL 431412      KO424</t>
  </si>
  <si>
    <t xml:space="preserve"> Համայնքի բյուջեով</t>
  </si>
  <si>
    <t>01.01.2017թ.</t>
  </si>
  <si>
    <t>ZIL 433362-KO44910</t>
  </si>
  <si>
    <t>Մազ  
ավտոկռունկ</t>
  </si>
  <si>
    <t>KC55727</t>
  </si>
  <si>
    <t>Վայքի համայնքապետարան</t>
  </si>
  <si>
    <t>Կամազ
53605
համակցված</t>
  </si>
  <si>
    <t>KO-829D1</t>
  </si>
  <si>
    <t>Վայքի գյուղատնտեսություն ՀՈԱԿ</t>
  </si>
  <si>
    <t>JAC</t>
  </si>
  <si>
    <t>01.02.2021թ.</t>
  </si>
  <si>
    <t>միկրոավտոբուս</t>
  </si>
  <si>
    <t>Անվավոր տրակտոր</t>
  </si>
  <si>
    <t>27.12.2019թ.</t>
  </si>
  <si>
    <t>Բելառուս                  1221.2</t>
  </si>
  <si>
    <t>Բելառուս                   82.1</t>
  </si>
  <si>
    <t>Հացահատիկահավաք կոմբայի</t>
  </si>
  <si>
    <t>20.02.2018թ</t>
  </si>
  <si>
    <t>Նիվա էֆեկտ-              ՍԿ-5ՄԷ-1</t>
  </si>
  <si>
    <t>Տարածքային զարգացման հիմնադրամի և Շվեցարյայի  զարգացման հիմնադրամի համատեղ ծրագրով</t>
  </si>
  <si>
    <t>Բելառուս                 422,1</t>
  </si>
  <si>
    <t>~</t>
  </si>
  <si>
    <t>Բելառուս                  422,1</t>
  </si>
  <si>
    <t>Բելառուս                 320,4 Մ</t>
  </si>
  <si>
    <t>Բելառուս                320,4 Մ</t>
  </si>
  <si>
    <t>Բելառուս                   82,1</t>
  </si>
  <si>
    <t>Բելառուս                  82,1</t>
  </si>
  <si>
    <t>Ազոտական գութան</t>
  </si>
  <si>
    <t>ՊԳՊ-4-40-3</t>
  </si>
  <si>
    <t xml:space="preserve">Կցորդ խոտի </t>
  </si>
  <si>
    <t>ՊՊՏ-041</t>
  </si>
  <si>
    <t>Միկրո-ավտոբուս</t>
  </si>
  <si>
    <t>ГАЗ 322173</t>
  </si>
  <si>
    <t>Տրակտրային կախովի փոցխ</t>
  </si>
  <si>
    <t>ԳՊԳ-4Մ</t>
  </si>
  <si>
    <t>Էքսկավատոր ամբարձիչ</t>
  </si>
  <si>
    <t>JSB3CX</t>
  </si>
  <si>
    <t>Հատուկ մեքենա</t>
  </si>
  <si>
    <t>LAND ROVER -606 AO 61</t>
  </si>
  <si>
    <t xml:space="preserve">Նվիրատվություն </t>
  </si>
  <si>
    <t>Ավտոբուս</t>
  </si>
  <si>
    <t>14.01.2020թ</t>
  </si>
  <si>
    <t>ՊԱԶ 32053</t>
  </si>
  <si>
    <t xml:space="preserve">Կցորդ խոտի մամլիչ հակավորիչ  </t>
  </si>
  <si>
    <t>13.05,2019թ</t>
  </si>
  <si>
    <t>Ջերմուկ</t>
  </si>
  <si>
    <t>01.12.2017թ.</t>
  </si>
  <si>
    <t>Բելառուս              1221-02</t>
  </si>
  <si>
    <t>ՋՀԿ սպասարկում և բարեկարգում ՀՈԱԿ-ին</t>
  </si>
  <si>
    <t>10.12.2017թ.</t>
  </si>
  <si>
    <t>Բելառուս             1221-01</t>
  </si>
  <si>
    <t xml:space="preserve">Բեռնատար </t>
  </si>
  <si>
    <t>Կամազ               496LL70</t>
  </si>
  <si>
    <t xml:space="preserve">Հատուկ աղբատար </t>
  </si>
  <si>
    <t>02.02.2018թ.</t>
  </si>
  <si>
    <t xml:space="preserve"> Կամազ                  525ԼԼ70</t>
  </si>
  <si>
    <t>Հատուկ բեռնատար</t>
  </si>
  <si>
    <t>01.06.2018թ.</t>
  </si>
  <si>
    <t>Գազ 532LL70</t>
  </si>
  <si>
    <t>Թրթիրավոր տրակտոր</t>
  </si>
  <si>
    <t>Ագրոմաշ        90-1</t>
  </si>
  <si>
    <t>էքսկավատոր</t>
  </si>
  <si>
    <t>30.04.2018թ.</t>
  </si>
  <si>
    <t>JCB</t>
  </si>
  <si>
    <t>31.01.2018թ.</t>
  </si>
  <si>
    <t>01.12.2018թ.</t>
  </si>
  <si>
    <t xml:space="preserve">Միկրոավտո-բուս </t>
  </si>
  <si>
    <t>31.03.2019թ.</t>
  </si>
  <si>
    <t xml:space="preserve">
12 տեղանոց              JAC SUNRAY </t>
  </si>
  <si>
    <t>Արենի</t>
  </si>
  <si>
    <t>14.02.2019թ.</t>
  </si>
  <si>
    <t>Բելառուս                  МТЗ-82.1</t>
  </si>
  <si>
    <t>Արենի համայնքի Արենի  գյուղի տարածքի վայրի  կենդանիների ապրելա-վայրի 2017-2027 թթ.         պահպանության պլանի  իրականացում  Վայոց ձորի մարզում</t>
  </si>
  <si>
    <t>Արենի ՀՈԱԿ-ին 30 հուլիսի 2019 թվականի N 85</t>
  </si>
  <si>
    <t>15.02.2019թ.</t>
  </si>
  <si>
    <t>Բելառուս                  МТЗ-921</t>
  </si>
  <si>
    <t>Արենի ՀՈԱԿ-ին 31 հուլիսի 2019 թվականի N 85</t>
  </si>
  <si>
    <t>17,12,2019թ.</t>
  </si>
  <si>
    <t>Գրեյդեր                           гс - 10.07</t>
  </si>
  <si>
    <t>Սոցիալական ներդրումների և տարածքային զարգացման ծրագիր</t>
  </si>
  <si>
    <t>Արենի ՀՈԱԿ-ին 24 դեկտեմբերի 2019 թվականի N 136</t>
  </si>
  <si>
    <t>15.12.2019թ.</t>
  </si>
  <si>
    <t>FORD Transit bus 460 LWB EF</t>
  </si>
  <si>
    <t xml:space="preserve">
Արենի ՀՈԱԿ-ին 24 դեկտեմբերի 2019 թվականի N 137</t>
  </si>
  <si>
    <t>УАЗ Ամենագնաց</t>
  </si>
  <si>
    <t>19.12.2019թ.</t>
  </si>
  <si>
    <t>УАЗ 390945</t>
  </si>
  <si>
    <t>Համայնքապետարանին</t>
  </si>
  <si>
    <t>02.06.2020թ.</t>
  </si>
  <si>
    <t>Արենի ՀՈԱԿ-ին 04 հունիսի 2020 թվականի N 66</t>
  </si>
  <si>
    <t>Մազ վակուումային մեքենա</t>
  </si>
  <si>
    <t>Վակուումային</t>
  </si>
  <si>
    <t>Արենի ՀՈԱԿ-ին 18 սեպտեմբերի 2020 թվականի N 101</t>
  </si>
  <si>
    <t>Կամազ մակնիշի բեռնատար մեքենա</t>
  </si>
  <si>
    <t>Մազ աղբատար</t>
  </si>
  <si>
    <t>Արենի ՀՈԱԿ-ին 20 օգոստոսի 2020 թվականի N 94</t>
  </si>
  <si>
    <t>Եղեգնաձոր</t>
  </si>
  <si>
    <t>Ավտոբուս /թափքի տեսակը՝ վագոն/</t>
  </si>
  <si>
    <t>GAZ A64R45-50</t>
  </si>
  <si>
    <t>«Եղեգնաձորի համայնքային տնտեսություն» ՀՈԱԿ-ին՝ համայնքի ավագանու 2022 թվականի ապրիլի 12-ի թիվ 34-Ա որոշում</t>
  </si>
  <si>
    <t>Բեռնաուղևորատար /թափքի տեսակը՝ կողավոր/</t>
  </si>
  <si>
    <t>UAZ 390945-552</t>
  </si>
  <si>
    <t>Բեռնատար /թափքի տեսակը՝ աղբատար/</t>
  </si>
  <si>
    <t>GAZ KO-440N(GAZ-C41R13)</t>
  </si>
  <si>
    <t>Անվավոր էքսկավատոր և հիդրոմուրճ</t>
  </si>
  <si>
    <t>ELAZ-BL880 /հիդրոմուրճ՝ FD-5X/</t>
  </si>
  <si>
    <t>Քաղաքային կոմունալ վակումային հատուկ մեքենա /թափքի տեսակը՝ փոշեկուլ/</t>
  </si>
  <si>
    <t xml:space="preserve">KAMAZ KO-318D </t>
  </si>
  <si>
    <t>«Եղեգնաձորի համայնքային տնտեսություն» ՀՈԱԿ-ին՝ համայնքի ավագանու 2024 թվականի մարտի 18-ի թիվ 30-Ա որոշում</t>
  </si>
  <si>
    <t>Բեռնաուղևորատար/թափքի տեսակը՝ պիկապ/</t>
  </si>
  <si>
    <t>UAZ 23632-159-01</t>
  </si>
  <si>
    <t>«Եղեգնաձորի համայնքային տնտեսություն» ՀՈԱԿ-ին՝ համայնքի ավագանու 2024 թվականի ապրիլի 12-ի թիվ 38-Ա որոշում</t>
  </si>
  <si>
    <t>Եղեգիս</t>
  </si>
  <si>
    <t xml:space="preserve"> Տեխնիկան գտնվում է համայնքապետարանի տնօրինու թյան տակ</t>
  </si>
  <si>
    <t xml:space="preserve">Միկրոավտոբուս </t>
  </si>
  <si>
    <t>ԳԱԶ 322173</t>
  </si>
  <si>
    <t>ինքնաթափ &lt;&lt;ԿԱՄԱԶ&gt;&gt;</t>
  </si>
  <si>
    <t xml:space="preserve"> Ազոտային գութան</t>
  </si>
  <si>
    <t xml:space="preserve">քառախոփ ПГП-4-40-3 </t>
  </si>
  <si>
    <t>ВОЛТРА 90ТГ1-А1Х</t>
  </si>
  <si>
    <t>JM 1304</t>
  </si>
  <si>
    <t>ELAZ-BL 880</t>
  </si>
  <si>
    <t>Իջևան</t>
  </si>
  <si>
    <t xml:space="preserve">1․ 4 հատ JAC ավտոբուս 
2․ 2 հատ էքսկավատոր բեռնիչ JCB 
3. 1 հատ ՄԱԶ
  բեռնատար ինքնաթափ
4. 2 հատ աղբատար Kamaz </t>
  </si>
  <si>
    <t>ապրիլ 2022թ․</t>
  </si>
  <si>
    <t>4 հատ ավտոբուս՝ HFC6601KHV
2 հատ էքսկավատոր JCB3CX
1 հատ ՄԱԶ 551626-580-050</t>
  </si>
  <si>
    <t>«Հայաստանի տարածքային 
զարգացման հիմնադրամ»</t>
  </si>
  <si>
    <t xml:space="preserve">JCB Տրակտորի 1 աշխ․ ժամ․ 25․000 դր․ 
</t>
  </si>
  <si>
    <t>Ճանապարհների խճապատում</t>
  </si>
  <si>
    <t>1․մոտոկուլտիվատոր հողաֆրեզներով և ռոտացիոն հնձիչներով</t>
  </si>
  <si>
    <t>5 դեկտեմբեր 2022թ․</t>
  </si>
  <si>
    <t>ԿԱՄԱ 1350E</t>
  </si>
  <si>
    <t>ՄԱԿ-ի պարենի և գյուղատնտեսության կազմակերպություն</t>
  </si>
  <si>
    <t>Բերդ</t>
  </si>
  <si>
    <t>Անիվավոր տր.</t>
  </si>
  <si>
    <t>09.19</t>
  </si>
  <si>
    <t>ԲՏԶ246-Կ20</t>
  </si>
  <si>
    <t>ՄԱԿ</t>
  </si>
  <si>
    <t>0919</t>
  </si>
  <si>
    <t>ԴՄ-14</t>
  </si>
  <si>
    <t>Ավագանու որոշմամբ  N 130-Ն  26.12.2019</t>
  </si>
  <si>
    <t>10.19</t>
  </si>
  <si>
    <t>ՄԱԶ551605-280-050</t>
  </si>
  <si>
    <t>ՔԱԹ626Ֆ2</t>
  </si>
  <si>
    <t>Դիլիջան</t>
  </si>
  <si>
    <t>Ինքնաթափ մեքենա</t>
  </si>
  <si>
    <t>Ինքնաթափ մեքենա /320LL70, 319LL70/</t>
  </si>
  <si>
    <t>N 2</t>
  </si>
  <si>
    <t>Ինքնաթափ մեքենա MAZ-551605-273-1</t>
  </si>
  <si>
    <t>Ինքնաթափ մեքենա MAZ-551605-273-1 /322LL70/</t>
  </si>
  <si>
    <t>Բազմաֆունկցիոնալ էքսկավատոր /24-28LS, 24-27LS/</t>
  </si>
  <si>
    <t>Ավտոգրեյդեր Terex Motor Grander GS-10,07</t>
  </si>
  <si>
    <t>Ավտոգրեյդեր Terex Motor Grander GS-10,07/1238LL/</t>
  </si>
  <si>
    <t>Աղբատար մեքենա 18,5 խմ KO-449-05</t>
  </si>
  <si>
    <t>Աղբատար մեքենա 18,5 խմ KO-449-05 /334LL70,335LL70/</t>
  </si>
  <si>
    <t>Քաղաքային կոմունալ վակուումային փոշեկուլ Կամազ KO-</t>
  </si>
  <si>
    <t>Քաղաքային կոմունալ վակուումային փոշեկուլ Կամազ KO- /339LL70/</t>
  </si>
  <si>
    <t>Թրթուրավոր տրակտոր Ագրոմաշ 90ՏԳ 2040Ա</t>
  </si>
  <si>
    <t>Մեքենա աշտարակ ВИПО</t>
  </si>
  <si>
    <t>N 3</t>
  </si>
  <si>
    <t>Անիվավոր տրակտոր Բելոռուս</t>
  </si>
  <si>
    <t>Բազմաֆունկցիոնալ կոմունալ քաղաքային մեքենա</t>
  </si>
  <si>
    <t>Բազմաֆունկցիոնալ կոմունալ քաղաքային մեքենա, KAMAZ-536 /712LL70/</t>
  </si>
  <si>
    <t>ՈՒԱԶ 236324-101</t>
  </si>
  <si>
    <t>ՈՒԱԶ 236324-101 ամենագնաց կիսաբեռնատար տեխօգնության մեքենա</t>
  </si>
  <si>
    <t>MERCEDES-BENZ SPRINTER 516 CDI</t>
  </si>
  <si>
    <t>EU</t>
  </si>
  <si>
    <t>Նոյեմբերյան</t>
  </si>
  <si>
    <t>15.10.2018թ.</t>
  </si>
  <si>
    <t>Բազմաֆունկցիոնալ էքսկավատոր JCB 3CX Site Master</t>
  </si>
  <si>
    <t>27.09.2018թ.</t>
  </si>
  <si>
    <t>Մազ աղբատար MAZ-4380</t>
  </si>
  <si>
    <t>06.11.2019թ.</t>
  </si>
  <si>
    <t>Ավտոբուս FORD TRANSIT</t>
  </si>
  <si>
    <t>Մազ ինքնաթափ</t>
  </si>
  <si>
    <t>19.07.2018թ</t>
  </si>
  <si>
    <t xml:space="preserve">Մինիամբարձիչ ԱՆՏ-750     </t>
  </si>
  <si>
    <t>25.06.2018թ.</t>
  </si>
  <si>
    <t>14.06.2018թ</t>
  </si>
  <si>
    <t>14.06.2018թ.</t>
  </si>
  <si>
    <t>Կցորդ խոտի մամլիչ-հակավորիչ</t>
  </si>
  <si>
    <t>30.08.2018թ.</t>
  </si>
  <si>
    <t>Անիվավոր տրակտոր 2-րդ քաշային դասի Բելառուս 1221.2</t>
  </si>
  <si>
    <t>03.08.2018թ.</t>
  </si>
  <si>
    <t xml:space="preserve">Ուազ պատրիոտ </t>
  </si>
  <si>
    <t>14.10.2019թ.</t>
  </si>
  <si>
    <t>Գութան մեխանիկական</t>
  </si>
  <si>
    <t>Մոտոբլոկ խոտհնձիչ</t>
  </si>
  <si>
    <t>Vipo2001-4371</t>
  </si>
  <si>
    <t>ՏԵՂԵԿԱՆՔ
ՀՀ միավորված համայնքներում ստացված տեխնիկայի վերաբերյալ 2024 թվականի առաջին  եռամսյակի ընթացքում</t>
  </si>
  <si>
    <t>Արագածոտն</t>
  </si>
  <si>
    <t xml:space="preserve">Գեղարքունիք </t>
  </si>
  <si>
    <t>Լոռի</t>
  </si>
  <si>
    <t>Կոտայք</t>
  </si>
  <si>
    <t>Շիրակ</t>
  </si>
  <si>
    <t xml:space="preserve"> Սյունիք</t>
  </si>
  <si>
    <t>Վայոց  ձոր</t>
  </si>
  <si>
    <t>Տավուշ</t>
  </si>
  <si>
    <t>Ախուրյան</t>
  </si>
  <si>
    <t xml:space="preserve">Էքսկավատոր բեռնիչ </t>
  </si>
  <si>
    <t xml:space="preserve">CASE TLB-570ST  </t>
  </si>
  <si>
    <t xml:space="preserve">GEHL BL 818S </t>
  </si>
  <si>
    <t>ՀԲ</t>
  </si>
  <si>
    <t>Ինքնաթափ բեռնատար</t>
  </si>
  <si>
    <t>ՄԱԶ 555102-220</t>
  </si>
  <si>
    <t>ԿԱՄԱԶ 65115</t>
  </si>
  <si>
    <t>ГС-10,07</t>
  </si>
  <si>
    <t>ISUZU AICHI SH15A /ISUZU ELF4.6D/</t>
  </si>
  <si>
    <t>Գլդոն</t>
  </si>
  <si>
    <t xml:space="preserve">Амкодор 67 12 </t>
  </si>
  <si>
    <t xml:space="preserve">Տրակտոր
</t>
  </si>
  <si>
    <t>TH - 1304</t>
  </si>
  <si>
    <t xml:space="preserve">Ինքնաթափ բեռնատար, </t>
  </si>
  <si>
    <t>GAZ 330980-1833</t>
  </si>
  <si>
    <t>KAMAZ 65115-026</t>
  </si>
  <si>
    <t xml:space="preserve">Գրեյդեր      </t>
  </si>
  <si>
    <t>TC-10.07</t>
  </si>
  <si>
    <t xml:space="preserve">Բազմաֆունկցիոնալ էքսկավատոր </t>
  </si>
  <si>
    <t>Աղբատար ավտոմեքենա</t>
  </si>
  <si>
    <t>KAMAZ KO-440-4K1</t>
  </si>
  <si>
    <t>Ամասիա</t>
  </si>
  <si>
    <t>17.08.17թ.</t>
  </si>
  <si>
    <t>Տրակտոր
Belarus 82.1</t>
  </si>
  <si>
    <t>12.09.18թ.</t>
  </si>
  <si>
    <t>Տրակտոր 3-րդ քարշային դասի ԽՏԶ 15Կ-09-25</t>
  </si>
  <si>
    <t>19.09.17թ.</t>
  </si>
  <si>
    <t>Հացահատիկային կոմբայն 
Նիվա ՍԿ-5ՓԷ-1</t>
  </si>
  <si>
    <t>Էքսկավատոր TLB-825RM</t>
  </si>
  <si>
    <t>14.08.20թ</t>
  </si>
  <si>
    <t>TLB-825RM</t>
  </si>
  <si>
    <t>Անիվավոր տրակտոր 2-րդ քաշակ դասի՝Բելառուս 1221․2</t>
  </si>
  <si>
    <t>05.11.20թ</t>
  </si>
  <si>
    <t>Անիվավոր տրակտոր 2-րդ քաշակ դասի՝
Բելառուս 1221․2</t>
  </si>
  <si>
    <t>Անիվավոր տրակտոր 2-րդ քարշակ դասի Բելարուս 1221.2</t>
  </si>
  <si>
    <t>19.09.19թ.</t>
  </si>
  <si>
    <t>Բելարուս 1221.2</t>
  </si>
  <si>
    <t>Էքսկավատոր CASE570ST</t>
  </si>
  <si>
    <t>Էքսկավատոր 
CASE570ST</t>
  </si>
  <si>
    <t>Անի</t>
  </si>
  <si>
    <t>էքսկավատոր բեռնիչ GEHL GBL 818S N TEP818SSTJ9013527</t>
  </si>
  <si>
    <t>29․11․19թ.</t>
  </si>
  <si>
    <t>սուբվենցիոն ծրագրի շրջանակներում</t>
  </si>
  <si>
    <t>Ինքնաթափ բեռնատար ՄԱԶ-555102-223</t>
  </si>
  <si>
    <t>11․11․19թ.</t>
  </si>
  <si>
    <t>Արթիկ</t>
  </si>
  <si>
    <t>Աշոցք</t>
  </si>
  <si>
    <t xml:space="preserve">Բազմաֆունկցիոնալ էքսկավատոր-ամբարձիչ </t>
  </si>
  <si>
    <t>28.11. 19թ.
19.08.20թ.</t>
  </si>
  <si>
    <t>Բազմաֆունկցիոնալ էքսկավատոր-ամբարձիչ CASE 570ST</t>
  </si>
  <si>
    <t xml:space="preserve">Անիվավոր տրակտոր </t>
  </si>
  <si>
    <t>06.09.17թ.</t>
  </si>
  <si>
    <t>Անիվավոր տրակտոր բելառուս  ՄՏԶ-1221.2</t>
  </si>
  <si>
    <t>14.06.17թ.</t>
  </si>
  <si>
    <t>Անիվավոր տրակտոր ԽՏԶ-150Կ-09-172.01</t>
  </si>
  <si>
    <t>25.09.17թ.</t>
  </si>
  <si>
    <t>Հացահատիկային կոմբայն Նիվա ՍԿ-5ՄԷ-1</t>
  </si>
  <si>
    <t>10.10.17թ.</t>
  </si>
  <si>
    <t>Գրեյդեր ԳՍ-10-07</t>
  </si>
  <si>
    <t>11.09.17թ.</t>
  </si>
  <si>
    <t>Աղբատար մեքենա ԿՕ-440-2 ԳԱԶ-33086</t>
  </si>
  <si>
    <t>20.09.19թ.</t>
  </si>
  <si>
    <t>Ինքնաթափ մեքենա ՄԱԶ 551605-280-000</t>
  </si>
  <si>
    <t>04.09.19թ.</t>
  </si>
  <si>
    <t>Անիվավոր տրակտոր բելառուս  ՄՏԶ-82.1</t>
  </si>
  <si>
    <t>Տրակտոր</t>
  </si>
  <si>
    <t>09,11,2023թ</t>
  </si>
  <si>
    <t>Մեծաձոր</t>
  </si>
  <si>
    <t xml:space="preserve">Անիվավոր Տրակտոր հակավորող գործիքի հետ </t>
  </si>
  <si>
    <t>2023թ. Նոյեմբեր</t>
  </si>
  <si>
    <t xml:space="preserve">Բելառուս82.1 TUKAN HP </t>
  </si>
  <si>
    <t>Գյուղատնտեսական աշխատանքներ/հակավորում</t>
  </si>
  <si>
    <t>KAMA 732</t>
  </si>
  <si>
    <t>Գյուղատնտեսական աշխատանքներ/հունձ</t>
  </si>
  <si>
    <t>Արևուտ</t>
  </si>
  <si>
    <t>Case570V</t>
  </si>
  <si>
    <t>Աղբատար մեքենա հետևի  բարձմամբ/CM 16 շասսի KAMAZ-TRCU-2AXLE-102/</t>
  </si>
  <si>
    <t>XKK50463770000055 շասսի XTC536055P1507550</t>
  </si>
  <si>
    <t xml:space="preserve">Բազմաֆունկցիոնալ քաղաքային կոմունալ մեքենա КО-806-20 ՇԱՍՍԻ KAМАЗ-5340C2-585-000  </t>
  </si>
  <si>
    <t xml:space="preserve">X5H806205R000027 շասսի Y3M5340C2P0003404 </t>
  </si>
  <si>
    <t>14.03.2024թ. 29-Ա</t>
  </si>
  <si>
    <t xml:space="preserve">&lt;&lt;Մասիս Կոմունալ տնտեության բարեկարգում, կանաչապատում &gt;&gt;ՀՈԱԿ </t>
  </si>
  <si>
    <t xml:space="preserve">Բազմաֆունկցիոնալ մինի բարձիչ Liu Gong 375B  համալրված ավլող սարք համալրված  բունկերով , ջրի տարայով և կողային հավելյալ խոզանակով / LGG375BZHRC506287 շարժիչը B0444A, շասի  SJ2300159 , Գույնը դեղին, քաշը 3100 կգ, Արտադրությունը՝ 2024թ/ </t>
  </si>
  <si>
    <t>LGG375BZHRC5062</t>
  </si>
  <si>
    <t>22.11.2024թ. 336-Ա</t>
  </si>
  <si>
    <t>Աղբատար Ավտոմեքենա KO-456-10 \շասի ՄԱԶ 438121-540-001 2024թ.</t>
  </si>
  <si>
    <t>X5H45610PR0000059 շասսի Y3M438121R0000172</t>
  </si>
  <si>
    <t>X5H45610PR0000060 շասսի Y3M438121R0000174</t>
  </si>
  <si>
    <t>Բազմաֆունկցիոնալ էքսկավաոր CASE 570V համալրված է հիդրոմուճով Impuls 150 NH classic 1 հատ, արագ միացման համակարգով New Holland LB110/115 /МОР-390/400-ի համար 1 հատ նեղ շերեփով GP-07-300-0,7 NH-LB110/ 1 հատ կախոցամատով   Delta F-5, 4 հատ մոնտաժային կոմպլեկտ New Holland LB150 1 հատ</t>
  </si>
  <si>
    <t>ERKH39986 NKJ0570VERKH39986</t>
  </si>
  <si>
    <t>24.03.2025թ. 54-Ա</t>
  </si>
  <si>
    <t>&lt;&lt;Մասիս հանայնքի բնակչ. Հատուկ սպասարկում և համայնքային ենթակակառուցվածքների սպասարկում&gt;&gt; ՀՈԱԿ</t>
  </si>
  <si>
    <t>Ավտոգրեյդեր SG21-3</t>
  </si>
  <si>
    <t>CHSGA21BHPB001544</t>
  </si>
  <si>
    <t>05.04.2024թ. 73-Ա</t>
  </si>
  <si>
    <t>Բազմաֆունկցիոնալ քաղաքային կոմունալ մեքենա КО-806-20 շասի МАЗ-5340 C2-585-013</t>
  </si>
  <si>
    <t xml:space="preserve">X5H806205S0000383 շասի Y3M5340C2S0004260                       </t>
  </si>
  <si>
    <t>Աղբատար մեքենա հետևի բարձմամբ КО-427-80  ամրաշրջանակ ԿԱՄԱԶ-65115-56 /5 H/</t>
  </si>
  <si>
    <t>XTC651155R1525974 /VIN / X5H427805S0000370/</t>
  </si>
  <si>
    <t>UAZ</t>
  </si>
  <si>
    <t>XTT330365N1214615</t>
  </si>
  <si>
    <t>Նվիրատվություն</t>
  </si>
  <si>
    <t>KAMAZ KO-427-72</t>
  </si>
  <si>
    <t>XTC536055P1493511</t>
  </si>
  <si>
    <t>05.04.2024թ., 72-Ա</t>
  </si>
  <si>
    <t>KAMAZ KO-806</t>
  </si>
  <si>
    <t>XTC 432535P1494061</t>
  </si>
  <si>
    <t>Բեռնատար ջրի տարայով GAZ 53  /Համարանիշ՝ 202CS61/</t>
  </si>
  <si>
    <t>բեռնատար ջրի տարայով</t>
  </si>
  <si>
    <t>Թիվ 149-Ա</t>
  </si>
  <si>
    <t>Կոյուղու մաքրման աշխատանքներ</t>
  </si>
  <si>
    <t>Վազ-21074  /Համարանիշ 549 CP 61/</t>
  </si>
  <si>
    <t>12․09․2023թ․</t>
  </si>
  <si>
    <t>Թեթև մարդատար</t>
  </si>
  <si>
    <t>հիմնարկի կարիքների</t>
  </si>
  <si>
    <t>Գազ 31105 /Համարանիշ 051 CO 61/</t>
  </si>
  <si>
    <t>մարդատար Գազ 3102-121 /Համարանիշ՝ 201CS61/</t>
  </si>
  <si>
    <t>12.09.2023թ.</t>
  </si>
  <si>
    <t>մարդատար</t>
  </si>
  <si>
    <t>Ջրցան ԶԻԼ 43 14 10  /Համարանիշ՝ 165CS61/</t>
  </si>
  <si>
    <t>Ջրցան զիլ</t>
  </si>
  <si>
    <t>չջրվող տարածքերը ջրելու համար</t>
  </si>
  <si>
    <t>BULL HD-100 տրակտոր  /Համարանիշ՝ 5211LL/</t>
  </si>
  <si>
    <t>12.10.2023թ․</t>
  </si>
  <si>
    <t>Էքսկավատոր բեռնիչ</t>
  </si>
  <si>
    <t>Թիվ 174-Ա</t>
  </si>
  <si>
    <t>բարձել, հետլիցք</t>
  </si>
  <si>
    <t>Բեռնատար UAZ-452 D /Համարանիշ՝ 304 CS 61/</t>
  </si>
  <si>
    <t>15․02․2024թ․</t>
  </si>
  <si>
    <t>Ուազ</t>
  </si>
  <si>
    <t>Թիվ 33-Լ</t>
  </si>
  <si>
    <t>բեռնատար Հոնգյան /Համարանիշ՝ 314 CS 61/</t>
  </si>
  <si>
    <t>14․03․2024թ․</t>
  </si>
  <si>
    <t>բեռնատար</t>
  </si>
  <si>
    <t>Թիվ 70-Լ</t>
  </si>
  <si>
    <t>ավազ, հող, խիճ տեղափոխել</t>
  </si>
  <si>
    <t>ՈւԱԶ 236324-105/Համարանիշ՝ 300 CS 61/</t>
  </si>
  <si>
    <t>Թիվ 71-Լ</t>
  </si>
  <si>
    <t>գործիքներ, մարդկանց տեղափոխել</t>
  </si>
  <si>
    <t>Բազմաֆունկցիոնալ էքսկավատոր CASE 570 V/Համարանիշ՝ 55-60LL/</t>
  </si>
  <si>
    <t>27․06․2024թ․</t>
  </si>
  <si>
    <t>Թիվ 201-Լ</t>
  </si>
  <si>
    <t>Բազմաֆունկցիոնալ մինիամբարձիչLiuGong 375 B/Համարանիշ՝ 55-87LL/</t>
  </si>
  <si>
    <t>Բազմաֆունկցիոնալ մինիամբարձիչ</t>
  </si>
  <si>
    <t>Հյունդայի Սենտա ֆե 2,4  /Համարանիշ՝ 507CP61/</t>
  </si>
  <si>
    <t>11․09․2024թ․</t>
  </si>
  <si>
    <t>Թիվ 243-Լ</t>
  </si>
  <si>
    <t>Կամազ ԿՕ-564(KAMAZ-65115-48)  /Համարանիշ՝ 301DA61/</t>
  </si>
  <si>
    <t>Ցիստեռն ասինիզացիոն</t>
  </si>
  <si>
    <t>ZIL APTL-18 P-57 /Համարանիշ՝ 730CN61/</t>
  </si>
  <si>
    <t>12․10․2022թ․</t>
  </si>
  <si>
    <t>երկշերեփ էքսկավատոր բեռնիչ CASE 570 V /Համարանիշ՝ 56-33 LL/</t>
  </si>
  <si>
    <t>27.06.2024թ․</t>
  </si>
  <si>
    <t>երկշերեփ էքսկավատոր բեռնիչ</t>
  </si>
  <si>
    <t>Բեռնատար GAZ SAZ-53B SAZ-5036 /Համարանիշ՝ 097HI61/</t>
  </si>
  <si>
    <t>16.04.2025թ․</t>
  </si>
  <si>
    <t>Թիվ 82-Լ</t>
  </si>
  <si>
    <t>Բեռնատար GAZ SAZ-53B SAZ-5036 /Համարանիշ՝ 011CO61/</t>
  </si>
  <si>
    <t>Ավտոբուս GAZ AR65R33-60  /Համարանիշ՝ 442HI61/</t>
  </si>
  <si>
    <t>16․04․2025թ․</t>
  </si>
  <si>
    <t>Թիվ 84-Լ</t>
  </si>
  <si>
    <t>Ավտոբուս GAZ AR65R33-60  /Համարանիշ՝ 441HI61/</t>
  </si>
  <si>
    <t>Բեռնատար Dongfeng KC DFH333OA80 /Համարանիշ՝ 121HJ61/</t>
  </si>
  <si>
    <t>13.06.2025թ․</t>
  </si>
  <si>
    <t>Թիվ 132-Ա</t>
  </si>
  <si>
    <t>Երազ 762И /Համարանիշ 383 UL 25/</t>
  </si>
  <si>
    <t xml:space="preserve">  Աղբատար</t>
  </si>
  <si>
    <t xml:space="preserve">  KAMAZ  KO-415A(KAMAZ-53212)</t>
  </si>
  <si>
    <t>Հատուկ  աղբատար</t>
  </si>
  <si>
    <t xml:space="preserve">  KAMAZ  CM16 TRCU-2AXLE-102</t>
  </si>
  <si>
    <t>Հատուկ համակցված աղցան-ջրցան</t>
  </si>
  <si>
    <t>MAZ  KO-806-20(MAZ5340C2-585-0</t>
  </si>
  <si>
    <t>HOWO  SINOTRUK</t>
  </si>
  <si>
    <t>HOWO  SINOTRUK ZZ1257N4647E1</t>
  </si>
  <si>
    <t>SAZ  3502</t>
  </si>
  <si>
    <t>27.07.2022 թ.</t>
  </si>
  <si>
    <t>GAZ  53B</t>
  </si>
  <si>
    <t>Ձեռք է բերվել «Արտաշատ-կոմունալ սպասարկում» ՀՈԱԿ-ի միյոցներով</t>
  </si>
  <si>
    <t>27.09.2022 թ.</t>
  </si>
  <si>
    <t>ZIL  MMZ-45021</t>
  </si>
  <si>
    <t>ZIL  MMZ-4502</t>
  </si>
  <si>
    <t>ZIL  MMZ-555</t>
  </si>
  <si>
    <t>GAZ  31105-120</t>
  </si>
  <si>
    <t>Մինի  ամբարձիչ</t>
  </si>
  <si>
    <t>JCB  SSL  175</t>
  </si>
  <si>
    <t>28.10.2022 թ.</t>
  </si>
  <si>
    <t>T-130</t>
  </si>
  <si>
    <t>Սոցիալական ներդրումների և տեղական զարգացման</t>
  </si>
  <si>
    <t>20.03.2024թ.</t>
  </si>
  <si>
    <t>MAZ KO-806-20</t>
  </si>
  <si>
    <t>կարգադրություն N39-Ա 05.03.2024</t>
  </si>
  <si>
    <t>հատուկ սանիտարական</t>
  </si>
  <si>
    <t>MAZ KO-529-11</t>
  </si>
  <si>
    <t>կարգադրություն N50-Ա 18.03.2024թ.</t>
  </si>
  <si>
    <t>հատուկ ավտոաշտարակ</t>
  </si>
  <si>
    <t>12.08.2024թ.</t>
  </si>
  <si>
    <t>Hino dutro 5.3D</t>
  </si>
  <si>
    <t>Համայնքի միջոցներով</t>
  </si>
  <si>
    <t>26.07.2024թ. 140-ն որոշում</t>
  </si>
  <si>
    <t>հատուկ աղբատար</t>
  </si>
  <si>
    <t>10.10.2024թ.</t>
  </si>
  <si>
    <t>KAMAZ KO-440-2K9</t>
  </si>
  <si>
    <t>կարգադրություն N199-Ա 10.10.2024թ.</t>
  </si>
  <si>
    <t>11.11.2022թ.</t>
  </si>
  <si>
    <t>NEW HOLLAND B80B</t>
  </si>
  <si>
    <t>կարգադրություն թիվ-318 11.11.2022թ.</t>
  </si>
  <si>
    <t>բեռնատար ինքնաթափ</t>
  </si>
  <si>
    <t>10.05.2023թ.</t>
  </si>
  <si>
    <t>Zil MMZ -4502,Zil MMZ-45021</t>
  </si>
  <si>
    <t>10.05.2023թ.N715 -ն</t>
  </si>
  <si>
    <t>Մարտունի</t>
  </si>
  <si>
    <t>Գավառ</t>
  </si>
  <si>
    <t>Կամազ ԿՕ-456</t>
  </si>
  <si>
    <t>ELAZ BL VINELAZBL 880</t>
  </si>
  <si>
    <t>3/29/2024թ</t>
  </si>
  <si>
    <t>28․11․2019թ․</t>
  </si>
  <si>
    <t>01.04.2025թ</t>
  </si>
  <si>
    <t>2/23/2024թ</t>
  </si>
  <si>
    <t>2/10/2025թ</t>
  </si>
  <si>
    <t>MAZ Համակցված</t>
  </si>
  <si>
    <t>30.06.2025թ</t>
  </si>
  <si>
    <t>MAZ KO-823-20 6312C3-585</t>
  </si>
  <si>
    <t>22․08․2019 N63-Ն</t>
  </si>
  <si>
    <t>21․10․2019թ N67-Ն</t>
  </si>
  <si>
    <t>25․12․2019թ N88-Ն</t>
  </si>
  <si>
    <t>կոմունալ տնտեսություն</t>
  </si>
  <si>
    <t>բարեկարգում</t>
  </si>
  <si>
    <t>ջրային տնտեսություն</t>
  </si>
  <si>
    <r>
      <t xml:space="preserve">Բելառուս </t>
    </r>
    <r>
      <rPr>
        <sz val="12"/>
        <color theme="1"/>
        <rFont val="GHEA Grapalat"/>
        <charset val="204"/>
      </rPr>
      <t>82.1</t>
    </r>
  </si>
  <si>
    <t>11.05.22 66-Ա</t>
  </si>
  <si>
    <t xml:space="preserve">11.05.22 66-Ա  </t>
  </si>
  <si>
    <t>0-</t>
  </si>
  <si>
    <t>05.08.2025թ .թիվ 231-Ա որ</t>
  </si>
  <si>
    <t>Առքուվաճառքի պայմանագիր</t>
  </si>
  <si>
    <t>ծառերը հատել, բարձրության  վրա կատարվող աշխատանքներ</t>
  </si>
  <si>
    <t>քանդել, հետլիցք</t>
  </si>
  <si>
    <t>մարդկանց  տեղափոխել</t>
  </si>
  <si>
    <t>մարդկանց, գործիքներ տեղափոխելու համար</t>
  </si>
  <si>
    <t>Ավտոգրեյդեր Sinomach 722H /Համարանիշ 6781LL/</t>
  </si>
  <si>
    <t>01.08.2025թ․</t>
  </si>
  <si>
    <t>Թիվ 167-Ա</t>
  </si>
  <si>
    <t>հարթեցման համար</t>
  </si>
  <si>
    <t>√</t>
  </si>
  <si>
    <t>Էքսկավատոր-բեռնիչ</t>
  </si>
  <si>
    <t>14․12․2023</t>
  </si>
  <si>
    <t>2024 թ-ի մայիսի 17-ի 068-Ա որոշում</t>
  </si>
  <si>
    <t>05․03․2024</t>
  </si>
  <si>
    <t>SHANTUI SG 17-B6</t>
  </si>
  <si>
    <t>Ճնշակ կոյուղամաքրիչ</t>
  </si>
  <si>
    <t xml:space="preserve">KAMAZ KO-564/KAMAZ-65115-56/ </t>
  </si>
  <si>
    <t xml:space="preserve">2025թ-ի հունիսի 20-ի 110-Ա որոշում  </t>
  </si>
  <si>
    <t>Ցիստեռ ասինիզացիոն</t>
  </si>
  <si>
    <t>09․02․2024</t>
  </si>
  <si>
    <t>MAZ KO-529-16/ MAZ5340C2-585-013/</t>
  </si>
  <si>
    <t>2024թ-ի նոյեմբերի 15-ի 189-Ա որոշում</t>
  </si>
  <si>
    <t>22․08․2024</t>
  </si>
  <si>
    <t xml:space="preserve"> MAZ KO-456-16 / MAZ437121-542-0/</t>
  </si>
  <si>
    <t>2024թ-ի սեպտեմբերի 13-ի 127-Ա որոշում</t>
  </si>
  <si>
    <t>05․02․2024</t>
  </si>
  <si>
    <t>MAZ KO-456-10/ MAZ438121-540-0/</t>
  </si>
  <si>
    <t>Ջրցան մասնագիտացված</t>
  </si>
  <si>
    <t>25․10․2023</t>
  </si>
  <si>
    <t>KO-806/ KAMAZ-43253/</t>
  </si>
  <si>
    <t>23․09․2023</t>
  </si>
  <si>
    <t>HOWO  ZZ332753847E</t>
  </si>
  <si>
    <t>HOWO ZZ3327S3847E</t>
  </si>
  <si>
    <t>MAZ/KO-806-20(MAZ5340C2-585-0) հատուկ, համակցված</t>
  </si>
  <si>
    <t>MAZ</t>
  </si>
  <si>
    <t>ՀԲ ֆինանսավորմամբ</t>
  </si>
  <si>
    <t>աղբահանություն և սանիտարական մաքրում</t>
  </si>
  <si>
    <t>KAMAZ  KO-427-72(KAMAZ-53605)  բեռնատար, աղբատար</t>
  </si>
  <si>
    <t>18․01․2024</t>
  </si>
  <si>
    <t xml:space="preserve">KAMAZ  </t>
  </si>
  <si>
    <t>ՀՀ կառավարության</t>
  </si>
  <si>
    <t xml:space="preserve">2024 թվականի մայիսի 16-ի թիվ 707-Ա որոշմամաբ </t>
  </si>
  <si>
    <t xml:space="preserve">KAMAZ </t>
  </si>
  <si>
    <t>Բաղրամյան</t>
  </si>
  <si>
    <t xml:space="preserve">071DD61, MAZ KO-456-10 </t>
  </si>
  <si>
    <t xml:space="preserve">տարածքային զարգացման հիմնադրամ /ՀՏԶՀ/ </t>
  </si>
  <si>
    <t>072DD61, MAZ KO-456-10</t>
  </si>
  <si>
    <t>JSB 3-CX</t>
  </si>
  <si>
    <t>սուբ վենց  իա</t>
  </si>
  <si>
    <t xml:space="preserve">Բազմաֆունկցիոնալ Էքսկավատոր </t>
  </si>
  <si>
    <t>SOLD      BL 385</t>
  </si>
  <si>
    <t>410</t>
  </si>
  <si>
    <t>200</t>
  </si>
  <si>
    <t>Ինքնաթափ մեքենա/16տ/</t>
  </si>
  <si>
    <t>Hongyan 6X4 CQ3346HV35</t>
  </si>
  <si>
    <t>380</t>
  </si>
  <si>
    <t>50</t>
  </si>
  <si>
    <t>19 դեկտեմբերի 2023թ.</t>
  </si>
  <si>
    <t>Shantui SG17-B6</t>
  </si>
  <si>
    <t>Աղբատար մեքենա 16-17 խ/մ, հետևի բարձումովունիվերսալ()</t>
  </si>
  <si>
    <t>19 հունվարի 2024թ.</t>
  </si>
  <si>
    <t>KO-427-72 ԿԱՄԱԶ 53605-48</t>
  </si>
  <si>
    <t>Անվավոր  երկշերեփ էքսկավատոր-բեռնիչ 2024թ.</t>
  </si>
  <si>
    <t>30 մայիսի 2024թ.</t>
  </si>
  <si>
    <t>CASE 570V SS 4WD 86HP, NKJ0570VHRKH39922</t>
  </si>
  <si>
    <t xml:space="preserve">Բազմաֆունկցիոնալ քաղաքային կոմունալ մեքենա </t>
  </si>
  <si>
    <t>08 մայիս 2025թ․</t>
  </si>
  <si>
    <t>ԿՕ-806-20 շասի ՄԱԶ-5340Ց2-585-013</t>
  </si>
  <si>
    <t>Արաքս համայնք</t>
  </si>
  <si>
    <t>JCB JS160 W</t>
  </si>
  <si>
    <t>30․11․2023թ</t>
  </si>
  <si>
    <t>Պտտվող պլատֆորմով 
անիվավոր էքսկավատոր</t>
  </si>
  <si>
    <t>˅</t>
  </si>
  <si>
    <t>SWL3220</t>
  </si>
  <si>
    <t>20.12.2023Թ․</t>
  </si>
  <si>
    <t xml:space="preserve">Բազմաֆունկցիոնալ  մինիամբարձիչ Ա </t>
  </si>
  <si>
    <t>SOLD BL 385</t>
  </si>
  <si>
    <t>19.03.2024թ․</t>
  </si>
  <si>
    <t xml:space="preserve">Բազմաֆունկցիոնալ 
Էքսկավատոր </t>
  </si>
  <si>
    <t>Բելառուս 82,1</t>
  </si>
  <si>
    <t>Արաքս համայնքի Լուսագյուղ բնակավայրի սուբվենցիոն ծրագրով</t>
  </si>
  <si>
    <t>քեյս</t>
  </si>
  <si>
    <t>17.11.2022</t>
  </si>
  <si>
    <t xml:space="preserve">բուլդուզեր
</t>
  </si>
  <si>
    <t>06.04.2021</t>
  </si>
  <si>
    <t xml:space="preserve">T170
</t>
  </si>
  <si>
    <t>Բազմաֆունկցիոնալ էքսկավատոր CASE 570V</t>
  </si>
  <si>
    <t>31,05,2024</t>
  </si>
  <si>
    <t>Բազմաֆունկցիոնալ էքսկավատոր CASE 570V համալրված է հիդրոմուրճով՝ հիդրոմուրճով Impulse 150NH Classic,1հատ, Արագ միացման համակարգով New Holland LB110/115(Mop-390/400)-ի համար, 1 հատ, նեղ շերեփով GP-07-300-0,7-NH-LB110), 1հատ կախոցամատով Delta F-5, 4 հատ, Մոնտաժային կոմպլեկտ New Holland LB150 1հատ:</t>
  </si>
  <si>
    <t>կոմունալ ծառայությունների բարելավում</t>
  </si>
  <si>
    <t>Սանիտարական վակումային մեքենա</t>
  </si>
  <si>
    <t>26,02,2024</t>
  </si>
  <si>
    <t>Սանիտարական վակումային մեքենա KO-529-16 շասի MAZ-5340C2-585-013</t>
  </si>
  <si>
    <t>16,04,2024</t>
  </si>
  <si>
    <t>ՏԵՂԵԿԱՆՔ
ՀՀ Արագածատնի մարզի միավորված համայնքում ստացված տեխնիկայի վերաբերյալլ։  2025 թվականի 4-րդ եռամսյակ</t>
  </si>
  <si>
    <t>170000/ամիս հունիս, հուլիս օգոստոս</t>
  </si>
  <si>
    <t>Չի շահագործվել</t>
  </si>
  <si>
    <t>բազմաֆունկցիոնալ էքսկավատոր</t>
  </si>
  <si>
    <t>ՀԶԾՀ</t>
  </si>
  <si>
    <r>
      <t xml:space="preserve">ՏԵՂԵԿԱՆՔ
ՀՀ Արարատի մարզի միավորված համայնքներում ստացված տեխնիկայի վերաբերյալ  </t>
    </r>
    <r>
      <rPr>
        <b/>
        <sz val="10"/>
        <color rgb="FFFF0000"/>
        <rFont val="GHEA Grapalat"/>
        <family val="3"/>
      </rPr>
      <t xml:space="preserve">2025 թվականի 4-րդ </t>
    </r>
    <r>
      <rPr>
        <b/>
        <sz val="10"/>
        <color theme="1"/>
        <rFont val="GHEA Grapalat"/>
        <family val="3"/>
      </rPr>
      <t>եռամսյակի  ընթացքում</t>
    </r>
  </si>
  <si>
    <t>ք/մ</t>
  </si>
  <si>
    <t>NISSAN X-TRAIL 2.0 /Համարանիշ 057CO61/</t>
  </si>
  <si>
    <t>14.11.2025թ․</t>
  </si>
  <si>
    <t>Թիվ 239-Ա</t>
  </si>
  <si>
    <t>ՎԵԴԻ</t>
  </si>
  <si>
    <t xml:space="preserve">  1.ԲԵՌՆԱՏԱՐ, ԿՈՂԱՎՈՐ ՄԱՆԻՊՈԻԼԻՏՈՐ 2.ԲԱԶՄԱՖՈՒՆԿՑԻՆԱԼ ՄԻՆԻԱՄԲԱՐՁԻՉ  3.ԲԱԶՄԱՖՈՒՆԿՑԻՆԱԼ ԷՔՍԿԱՎԱՏՈՐ  4.ԲԱԶՄԱԶՖՈՒՆԿՑԻՈՆԱԼ   ՔԱՂԱՔԱՅԻՆ ԿՈՄՈՒՆԱԼ ՄԵՔԵՆԱ KO-806-20                                                               5.ԱՂԲԱՏԱՐ ՄԵՔԵՆԱ KO-456-10                               6.ԱՂԲԱՏԱՐ ՄԵՔԵՆԱ KO-456-10 </t>
  </si>
  <si>
    <t xml:space="preserve">1)15.05.2025թ               2)06.05.2024թ        3)31.05.2024թ                                    4)05.03.2024թ        5)11.03.2024թ         6)15.03.2024թ            </t>
  </si>
  <si>
    <t xml:space="preserve">1)FAW J6PL 4*2                                                                                                                                                                                                                                                                                                                                                                                                                           2)Liu Gong 375B                       3)CASE 570V                 4)MAZ-5340C2-000         5)MAZ-438121-540-001       6)MAZ-438121-540-001          </t>
  </si>
  <si>
    <t xml:space="preserve">ՏԵՂԵԿԱՆՔ
ՀՀ Արմավիրի մարզի միավորված համայնքներում ստացված տեխնիկայի վերաբերյալ </t>
  </si>
  <si>
    <t>2100խ/մ</t>
  </si>
  <si>
    <t xml:space="preserve">6000խ/մ </t>
  </si>
  <si>
    <t>10կմ</t>
  </si>
  <si>
    <t>940</t>
  </si>
  <si>
    <t>150</t>
  </si>
  <si>
    <t>950</t>
  </si>
  <si>
    <t>560</t>
  </si>
  <si>
    <t>155</t>
  </si>
  <si>
    <t>65</t>
  </si>
  <si>
    <r>
      <rPr>
        <b/>
        <sz val="10"/>
        <color theme="1"/>
        <rFont val="GHEA Grapalat"/>
        <charset val="134"/>
      </rPr>
      <t>18</t>
    </r>
    <r>
      <rPr>
        <b/>
        <sz val="10"/>
        <color theme="1"/>
        <rFont val="Times New Roman"/>
        <charset val="134"/>
      </rPr>
      <t>․</t>
    </r>
    <r>
      <rPr>
        <b/>
        <sz val="10"/>
        <color theme="1"/>
        <rFont val="GHEA Grapalat"/>
        <charset val="134"/>
      </rPr>
      <t>01</t>
    </r>
    <r>
      <rPr>
        <b/>
        <sz val="10"/>
        <color theme="1"/>
        <rFont val="Times New Roman"/>
        <charset val="134"/>
      </rPr>
      <t>․</t>
    </r>
    <r>
      <rPr>
        <b/>
        <sz val="10"/>
        <color theme="1"/>
        <rFont val="GHEA Grapalat"/>
        <charset val="134"/>
      </rPr>
      <t>2024</t>
    </r>
  </si>
  <si>
    <t>CASE 570 SV 50 47 ԼԼ</t>
  </si>
  <si>
    <t>1909917</t>
  </si>
  <si>
    <t>կոյուղագծի մաքրման մեքենա KAMAZ  KO-564 ամրաշրջանակ 65115-3971-48(A5)</t>
  </si>
  <si>
    <t xml:space="preserve">Կոյուղագծի մաքրման մեքենա KAMAZ  KO-564 ամրաշրջանակ 65115-3971-48(A5) </t>
  </si>
  <si>
    <t>ՏԵՂԵԿԱՆՔ
ՀՀ Կոտայքի մարզի միավորված համայնքներում ստացված տեխնիկայի վերաբերյալ   2025թ. 4 -րդ եռամսյակ</t>
  </si>
  <si>
    <t xml:space="preserve">Նաիրի </t>
  </si>
  <si>
    <t>չի սահմանվել</t>
  </si>
  <si>
    <t>ՏԵՂԵԿԱՆՔ
ՀՀ Շիրակի.մարզի միավորված համայնքներում ստացված տեխնիկայի վերաբերյալ 2025 թվականի չորրորդ եռամսյակի ընթացքում</t>
  </si>
  <si>
    <t>2025 թվականի 4-րդ եռամսյակում որքան գումար է ծախսվել տեխնիկան շահագործելու համար</t>
  </si>
  <si>
    <t>09.08.2019</t>
  </si>
  <si>
    <t>19.01.2021</t>
  </si>
  <si>
    <t>17.06.2019</t>
  </si>
  <si>
    <t>19.12.2020</t>
  </si>
  <si>
    <t>22.02.2021</t>
  </si>
  <si>
    <t>18.03.2021</t>
  </si>
  <si>
    <t>TH (954)-1305/  6235LS</t>
  </si>
  <si>
    <t>05․09․2019</t>
  </si>
  <si>
    <t>18․12․2019</t>
  </si>
  <si>
    <t>15․04․2025</t>
  </si>
  <si>
    <t>MAZ_KO</t>
  </si>
  <si>
    <t>Բազմաֆունկցիոնալ մեքենա</t>
  </si>
  <si>
    <t>HOWO</t>
  </si>
  <si>
    <t>SHANTUI</t>
  </si>
  <si>
    <t>Թրթուրավոր էքսկավատոր</t>
  </si>
  <si>
    <t>LIUGONG</t>
  </si>
  <si>
    <t xml:space="preserve">Մինի ամբարձիչ  </t>
  </si>
  <si>
    <t>BOBCAT</t>
  </si>
  <si>
    <t>Բուլդոզեր</t>
  </si>
  <si>
    <t>T-170</t>
  </si>
  <si>
    <t>Մինի ամբարձիչ</t>
  </si>
  <si>
    <t>19.04.2023</t>
  </si>
  <si>
    <t>SUNWARD SWL 3219</t>
  </si>
  <si>
    <t>19.04.2024</t>
  </si>
  <si>
    <t>SUNWARD SWL 3220</t>
  </si>
  <si>
    <t>KAMAZ ինքնաթափ  53605-48(A5)</t>
  </si>
  <si>
    <t>20.03.2023</t>
  </si>
  <si>
    <t>20.03.2024</t>
  </si>
  <si>
    <t>Էքսկավատոր SOLD BL 385</t>
  </si>
  <si>
    <t>SOLD BL385</t>
  </si>
  <si>
    <t>Էքսկավատոր JSB</t>
  </si>
  <si>
    <t>21.03.2025</t>
  </si>
  <si>
    <t>ՏՐԱԿՏՈՐ ԲԵԼԱՌՈՒՍ 1221.0</t>
  </si>
  <si>
    <t>14.12.2022</t>
  </si>
  <si>
    <t>ԲԵԼԱՌՈՒՍ -12211</t>
  </si>
  <si>
    <t>ՏՐԱԿՏՈՐ ԲԵԼԱՌՈՒՍ 1221.1</t>
  </si>
  <si>
    <t>14.12.2023</t>
  </si>
  <si>
    <t>ԲԵԼԱՌՈՒՍ -12212</t>
  </si>
  <si>
    <t>UAZ  236324-105  ԲԵՌՆԱՈՒՂԵՎՈՐԱՏԱՐ</t>
  </si>
  <si>
    <t xml:space="preserve">UAZ  236324-105  </t>
  </si>
  <si>
    <t>ՏԵՂԵԿԱՆՔ
Սյունիքի մարզի միավորված համայնքներում ստացված տեխնիկայի վերաբերյալ
(2025 թվականի 4-րդ եռամսյակ)</t>
  </si>
  <si>
    <t>Համայնքի բնակավայրերի թիվը</t>
  </si>
  <si>
    <r>
      <rPr>
        <sz val="10"/>
        <rFont val="GHEA Grapalat"/>
        <family val="3"/>
      </rPr>
      <t>*</t>
    </r>
    <r>
      <rPr>
        <b/>
        <sz val="10"/>
        <rFont val="GHEA Grapalat"/>
        <family val="3"/>
      </rPr>
      <t xml:space="preserve">Որ ծրագրի շրջանակում 
է տրամադրվել </t>
    </r>
  </si>
  <si>
    <t>1)էքսկավատոր (2հատ) 2)Գրեյդեր 3)Բեռնատար 4)Ջրցան (համակցված)  5)Միկրոավտոբուս 6)Բեռնատար 7)Բեռնաուղևորատար 8)էքսկավատոր 9)Բազմաֆունկցիոնալ մինի ամբարձիչ      10) կողավոր մանիպուլյատոր 11)ավտոկռունկ</t>
  </si>
  <si>
    <t>1)11.01.2018  2)01.03.2018  3)14.03.2018  4)17.07.2018  5)30.08.2019  6)30.09.2019  7)15.10.2019  8)02.12.2019 9)05.11.2021 10)05.11.2021 11)05.11.2021</t>
  </si>
  <si>
    <t>1) JCB 3CX  2)GS 10-07 3)MAZ  4)KAMAZ  5)FORD  6)MAZ   7)UAZ  8)CASE 9)Четра   10)JAC HFC1171P3K3A53V   11)KAMAZ KS-55713-1 (kamaz-65115)</t>
  </si>
  <si>
    <t>Աղբատար, Աղբատար, Ավտոաշտարակ</t>
  </si>
  <si>
    <r>
      <rPr>
        <sz val="10"/>
        <rFont val="Calibri"/>
        <family val="2"/>
      </rPr>
      <t>«</t>
    </r>
    <r>
      <rPr>
        <sz val="10"/>
        <rFont val="GHEA Grapalat"/>
        <family val="3"/>
      </rPr>
      <t>ԶՊՄԿ ՓԲԸ</t>
    </r>
  </si>
  <si>
    <r>
      <t>ԶՊՄԿ</t>
    </r>
    <r>
      <rPr>
        <sz val="10"/>
        <rFont val="Calibri"/>
        <family val="2"/>
      </rPr>
      <t>»</t>
    </r>
    <r>
      <rPr>
        <sz val="10"/>
        <rFont val="GHEA Grapalat"/>
        <family val="3"/>
      </rPr>
      <t xml:space="preserve"> ՓԲԸ</t>
    </r>
  </si>
  <si>
    <t xml:space="preserve">ՉԱԱՐԱՏ ԿԱՊԱՆ ՓԲԸ </t>
  </si>
  <si>
    <t>ՄԵՂՐԻ</t>
  </si>
  <si>
    <t>Բազմաֆունկցիոնալ անիվաավոր էքսկավատոր</t>
  </si>
  <si>
    <t>2018</t>
  </si>
  <si>
    <t>Ավագանու որոշմոմբ</t>
  </si>
  <si>
    <t>321 մ/ժ</t>
  </si>
  <si>
    <t>6964կմ</t>
  </si>
  <si>
    <t>525 մ/ժ</t>
  </si>
  <si>
    <t>11,6 կմ հարթ</t>
  </si>
  <si>
    <t>482 կմ</t>
  </si>
  <si>
    <t>1727 կմ</t>
  </si>
  <si>
    <t>9131 կմ, 702 մ/ժ</t>
  </si>
  <si>
    <t>ՏԱԹԵՎ</t>
  </si>
  <si>
    <t>Ավտոարհեստանոց</t>
  </si>
  <si>
    <t>05.05.2025թ․</t>
  </si>
  <si>
    <t>Ford Transit 470E 2.2 td</t>
  </si>
  <si>
    <t>ՄԱԶԾ ԴԻՄԱԿԱՅՈՒՆՈՒԹՅՈՒՆ ԲՈԼՈՐԻ ՀԱՄԱՐ ԾՐԱԳԻՐ</t>
  </si>
  <si>
    <t xml:space="preserve">2-րդ եռամսյակում  չի շահագործվել։Տեխնիկան և սարքավորումներն նոր են նրանք մասնագիտացման  յուրացման փուլում են գտնվել։ </t>
  </si>
  <si>
    <t>Կոմունալ ծառայություններ։կոմունալ ծառություների ցանկը մատուցման ձևը վճարման չափի սահմանումը մշակման փուլում է։</t>
  </si>
  <si>
    <t>385խմ</t>
  </si>
  <si>
    <t>1345խմ</t>
  </si>
  <si>
    <t xml:space="preserve">Սյունիք 
Ընդամենը </t>
  </si>
  <si>
    <t>ՏԵՂԵԿԱՆՔ
ՀՀ Տավուշի մարզի համայնքներում ստացված տեխնիկայի վերաբերյալ 2025 թվականի ընթացքում
4-րդ  եռամսյակ</t>
  </si>
  <si>
    <t>8617006 ՀՀ վարորդների
 աշխատավարձ</t>
  </si>
  <si>
    <t>4933000
ՀՀ դրամ</t>
  </si>
  <si>
    <t>3334310
 ՀՀ դրամ</t>
  </si>
  <si>
    <t>16884316 ՀՀ դրամ</t>
  </si>
  <si>
    <t>19․07․2024</t>
  </si>
  <si>
    <t>Աղբատար մեքենա Կամազ CM 18      /053CS 61 /</t>
  </si>
  <si>
    <t>Աղբատար մեքենա Մազ 6902C5-011
    /  918 CR 61 /</t>
  </si>
  <si>
    <t>Աղբատար մեքենա Մազ 4371CO-542-011
    / 109 CN 61 /</t>
  </si>
  <si>
    <t xml:space="preserve">Քաղաքային կոմունալ  փոշեկուլ </t>
  </si>
  <si>
    <t>UKM 1500
/397 CT6 1/</t>
  </si>
  <si>
    <t>06․04․2023</t>
  </si>
  <si>
    <t>ANKAI  HFF6850GA,BUS529 CS 61</t>
  </si>
  <si>
    <t>ANKAI  HFF6850GA,BUS530 CS 61</t>
  </si>
  <si>
    <r>
      <t xml:space="preserve">ՏԵՂԵԿԱՆՔ
</t>
    </r>
    <r>
      <rPr>
        <b/>
        <sz val="12"/>
        <rFont val="GHEA Grapalat"/>
        <family val="3"/>
      </rPr>
      <t>ՀՀ Վայոց ձորի մարզի Եղեգնաձոր միավորված համայնքում</t>
    </r>
    <r>
      <rPr>
        <b/>
        <sz val="12"/>
        <color theme="1"/>
        <rFont val="GHEA Grapalat"/>
        <family val="3"/>
      </rPr>
      <t xml:space="preserve"> ստացված տեխնիկայի վերաբերյալ։  </t>
    </r>
    <r>
      <rPr>
        <b/>
        <sz val="12"/>
        <rFont val="GHEA Grapalat"/>
        <family val="3"/>
      </rPr>
      <t>2025 թվականի 4-րդ եռամսյակ</t>
    </r>
  </si>
  <si>
    <t>ՀՏԶՀ-SDC ֆինանսավորմամբ</t>
  </si>
  <si>
    <t>3</t>
  </si>
  <si>
    <t xml:space="preserve">Մեշերա 403 </t>
  </si>
  <si>
    <t>Բեռնատար մեքենա</t>
  </si>
  <si>
    <t>25/06/2020թ.</t>
  </si>
  <si>
    <t xml:space="preserve">UAZ 390945 </t>
  </si>
  <si>
    <t xml:space="preserve"> Հայաստանի տարածքայի  զարգացման հիմնադրամի հետ համագործակցության արդյունքում «Եղեգիս համայնքի տեխնիկական վերազինում» ծրագրի շրջանակներում</t>
  </si>
  <si>
    <t>27-ը հունվարի 2025թ. , թիվ 07 Ա որոշման</t>
  </si>
  <si>
    <t>01/07/2020թ,</t>
  </si>
  <si>
    <t>Հայաստանի տարածքայի  զարգացման հիմնադրամի հետ համագործակցության արդյունքում «Եղեգիս համայնքի տեխնիկական վերազինում» ծրագրի շրջանակներում</t>
  </si>
  <si>
    <t>10/09/2020թ.</t>
  </si>
  <si>
    <t xml:space="preserve">Անիվավոր տրակտոր Բ, 2-րդ քարշակ դասի, հրիչով </t>
  </si>
  <si>
    <t>13/11/2020թ.</t>
  </si>
  <si>
    <t>300 մ ջրագիծ</t>
  </si>
  <si>
    <t>02/12/2020թ.</t>
  </si>
  <si>
    <t>180 մ/ք</t>
  </si>
  <si>
    <t>13,5ժ բնակ. և 15 ժամ կազմակերպ.</t>
  </si>
  <si>
    <t>31/07/2020թ.</t>
  </si>
  <si>
    <t xml:space="preserve">Թրթուրավոր տրակտոր 3-րդ քարշակ դասի, թեքվող բուլդոզերային հրիչով </t>
  </si>
  <si>
    <t>19/10/2020թ.</t>
  </si>
  <si>
    <t>Անիվավոր տրակտոր 1,4 քարշակ դ դասի՝ կոմունալի հրիչով</t>
  </si>
  <si>
    <t>13/10/2020թ.</t>
  </si>
  <si>
    <t xml:space="preserve">  XSB804  </t>
  </si>
  <si>
    <t>հիդրոմուրճ FD-5X</t>
  </si>
  <si>
    <t xml:space="preserve">Կախովի խոտհնձիչ </t>
  </si>
  <si>
    <t>20/07/2020թ.</t>
  </si>
  <si>
    <t>մատնասեգմենտային КСФ-2,1 Б-4</t>
  </si>
  <si>
    <t>Մամլիչ-հասկահավաք</t>
  </si>
  <si>
    <t>29/07/2020թ.</t>
  </si>
  <si>
    <t>Մամլիչ հասկահավաք RSA 86 SN99045136</t>
  </si>
  <si>
    <t>ՏԵՂԵԿԱՆՔ
Գավառ միավորված համայնքում ստացված տեխնիկայի վերաբերյալլ։  2025 թվականի 4-րդ եռամսյակ</t>
  </si>
  <si>
    <t>18,12,2023</t>
  </si>
  <si>
    <t>Shantui SG17-B</t>
  </si>
  <si>
    <t xml:space="preserve"> ՀԲ ֆինանսավորմամբ</t>
  </si>
  <si>
    <t>12,04,2024թ․ 142-Ա որոշում</t>
  </si>
  <si>
    <t>Բազմաֆունկցիոնալ քաղաքային կոմունալ մեքենա</t>
  </si>
  <si>
    <t>11,03,2024</t>
  </si>
  <si>
    <t>KO-806-20 MAЗ-5340С2-585-000</t>
  </si>
  <si>
    <t>06,05,2024</t>
  </si>
  <si>
    <t>LiuGong 375 B</t>
  </si>
  <si>
    <t>10,06,02024թ․ 198-Ա որոշում</t>
  </si>
  <si>
    <t>CASE 570V</t>
  </si>
  <si>
    <t>10,06,02024թ․ 199-Ա որոշում</t>
  </si>
  <si>
    <t>Քաղաքային կոմունալ վակումային (փոշեկուլ) մեքենա</t>
  </si>
  <si>
    <t>09,06,2025</t>
  </si>
  <si>
    <t>KO-318Д (UKM-6500),ամրաշրջանակ ԿամԱԶ-53605-48 (A5)</t>
  </si>
  <si>
    <t>09,06,2024թ․ 132-Ա որոշում</t>
  </si>
  <si>
    <t>11.03.2020թ.</t>
  </si>
  <si>
    <t>20.11.2019թ.</t>
  </si>
  <si>
    <t>ГС10.07</t>
  </si>
  <si>
    <t>Մինի-ամբարձիչ</t>
  </si>
  <si>
    <t>ANT-750</t>
  </si>
  <si>
    <t>Բեռնատար MAZ</t>
  </si>
  <si>
    <t>26.12.2019թ.</t>
  </si>
  <si>
    <t>MAZ 651608-280-000</t>
  </si>
  <si>
    <t xml:space="preserve">Բեռնատար GAZ </t>
  </si>
  <si>
    <t>13.02.2020թ.</t>
  </si>
  <si>
    <t>GAZ 330980-1833-09-229-20-00</t>
  </si>
  <si>
    <t>02.06.2020թ</t>
  </si>
  <si>
    <t>CASE 570ST</t>
  </si>
  <si>
    <t>ՄԱԶ ինքնաթափ</t>
  </si>
  <si>
    <t>01.10.2020թ</t>
  </si>
  <si>
    <t>МАЗ-551626-580-050</t>
  </si>
  <si>
    <t>ԳԱԶ ինքնաթափ</t>
  </si>
  <si>
    <t>10.02.2021թ</t>
  </si>
  <si>
    <t>ԳԱԶ C41R13</t>
  </si>
  <si>
    <t>31.08.2023</t>
  </si>
  <si>
    <t xml:space="preserve"> JCB3CXD14M2NN</t>
  </si>
  <si>
    <t xml:space="preserve"> ՀՏԶՀ-USAID,  ՀԲ ֆինանսավորմամբ</t>
  </si>
  <si>
    <t>սեփականություն</t>
  </si>
  <si>
    <t>Բազմաֆունկցիոնալ մինի ամբարձիչ</t>
  </si>
  <si>
    <t>01․09․2023</t>
  </si>
  <si>
    <t>Անվավոր տրակտոր 1,4 բելառուս 82,1</t>
  </si>
  <si>
    <t>18․12․2023</t>
  </si>
  <si>
    <t>SHANTUI SG17-B6</t>
  </si>
  <si>
    <t>ինքնաթափ</t>
  </si>
  <si>
    <t>06.09.2024</t>
  </si>
  <si>
    <t xml:space="preserve">МАЗ-457121-537-000  </t>
  </si>
  <si>
    <t>МАЗ-457121-537-001</t>
  </si>
  <si>
    <t>Ամենագնաց կիսաբեռնատար տեխօգնության մեքենա</t>
  </si>
  <si>
    <t>14․09․2022թ․</t>
  </si>
  <si>
    <t>ՀՀՏԶ</t>
  </si>
  <si>
    <t>Մինիամբարձիչ</t>
  </si>
  <si>
    <t>30․09․2022թ․</t>
  </si>
  <si>
    <t xml:space="preserve">Ինքնաթափ մեքենա 5 տոննա </t>
  </si>
  <si>
    <t>15․11․2022թ․</t>
  </si>
  <si>
    <t xml:space="preserve"> ՄԱԶ-457121-537-000</t>
  </si>
  <si>
    <t>Ավտոգրեյդեր ուղեհարթիչ</t>
  </si>
  <si>
    <t>27․12․2022թ․</t>
  </si>
  <si>
    <t>Քաղաքային կոմունալ մեքենա</t>
  </si>
  <si>
    <t>28․12․2022թ․</t>
  </si>
  <si>
    <t>Տիպ՝ 2 KO-823-20</t>
  </si>
  <si>
    <t>Բազմաֆունկցիոնալ տրակտոր</t>
  </si>
  <si>
    <t xml:space="preserve">2023թ․ </t>
  </si>
  <si>
    <t xml:space="preserve"> JSB 3CX</t>
  </si>
  <si>
    <t xml:space="preserve">Ինքնաթափ  ավտոմեքենա՝ 25 տոննա </t>
  </si>
  <si>
    <t xml:space="preserve">Մանիպուլյատոր </t>
  </si>
  <si>
    <t>Միկրոավտոբուս  չինական 17+ տեղ</t>
  </si>
  <si>
    <t>30․09․2024թ․</t>
  </si>
  <si>
    <t xml:space="preserve">Վերհան ավտոմեքենա 12 մ։   </t>
  </si>
  <si>
    <t>2023թ․ սեպտեմբեր</t>
  </si>
  <si>
    <t>Սուբվենցիոն ծրագիր</t>
  </si>
  <si>
    <t>ՈՒղղեհարթիչ ,,Գրեյդեր,,</t>
  </si>
  <si>
    <t>28.10.2019թ.</t>
  </si>
  <si>
    <t>ԳՍ10.07---190016</t>
  </si>
  <si>
    <t xml:space="preserve">Մինի ամբարձիչ </t>
  </si>
  <si>
    <t>ԱՆՏ.750</t>
  </si>
  <si>
    <t xml:space="preserve">Էքսկավատոր       JCB </t>
  </si>
  <si>
    <t>3CX Sitemaster</t>
  </si>
  <si>
    <t xml:space="preserve">Էքսկավատոր       CAT </t>
  </si>
  <si>
    <t xml:space="preserve">Էքսկավատոր       CASE </t>
  </si>
  <si>
    <t>15.04.2022թ</t>
  </si>
  <si>
    <t>NKJ0570STJMKH26500/JMKH2655/---NKJ0570VLRKH39919</t>
  </si>
  <si>
    <t>Էքսկավատոր       ELAZ</t>
  </si>
  <si>
    <t xml:space="preserve">Կամազ </t>
  </si>
  <si>
    <t>65115-3902017 CK</t>
  </si>
  <si>
    <t>** Գավառ համայնքի ավագանու որոշումներով անհատույց օգտագործման իրավունքով տրամադրվել է «Գավառ համայնքի կոմունալ սպասարկում և բարեկարգում» համայնքային հիմնարկին</t>
  </si>
  <si>
    <r>
      <t xml:space="preserve">ՏԵՂԵԿԱՆՔ
</t>
    </r>
    <r>
      <rPr>
        <b/>
        <sz val="12"/>
        <rFont val="GHEA Grapalat"/>
        <charset val="204"/>
      </rPr>
      <t>Վանաձոր միավորված համայնքում</t>
    </r>
    <r>
      <rPr>
        <b/>
        <sz val="12"/>
        <color theme="1"/>
        <rFont val="GHEA Grapalat"/>
        <family val="3"/>
      </rPr>
      <t xml:space="preserve"> ստացված տեխնիկայի վերաբերյալ։  </t>
    </r>
    <r>
      <rPr>
        <b/>
        <sz val="12"/>
        <rFont val="GHEA Grapalat"/>
        <charset val="204"/>
      </rPr>
      <t>2025 թվականի  4-րդ եռամսյակ</t>
    </r>
  </si>
  <si>
    <t>Հաշվետու ժամանակաշրջանում որքան գումար է ծախսվել տեխնիկան շահագործելու համար</t>
  </si>
  <si>
    <t xml:space="preserve">Տեխնիկայով համայնքներում կատարած աշխատանքների տեսակը և ծավալը </t>
  </si>
  <si>
    <t>Վանաձոր</t>
  </si>
  <si>
    <t>աղբատար</t>
  </si>
  <si>
    <t xml:space="preserve">   KO-456-12  (KAMAZ-667,513-250)</t>
  </si>
  <si>
    <t>սուբվենցիա</t>
  </si>
  <si>
    <t>Նոտարական ակտի կոդ 763-20240125-41-7644369Շարժական գույքի անհատույց օգտագործման պայմանագիր</t>
  </si>
  <si>
    <t>29,11,2023 թվականի թիվ 76</t>
  </si>
  <si>
    <t xml:space="preserve">Կենցաղային աղբահանություն </t>
  </si>
  <si>
    <t xml:space="preserve">Կամազ CM16TRCU-2AXLE-102 </t>
  </si>
  <si>
    <t>15․05․2024 թվականի գույքի անհատույց օգտագործման պայմանագիր</t>
  </si>
  <si>
    <t xml:space="preserve">13․05․2024թ թիվ 22 որոշում   </t>
  </si>
  <si>
    <t xml:space="preserve"> CM16 Շասսի KAMAZ-TRCU-2AXLE-102 </t>
  </si>
  <si>
    <t xml:space="preserve">Նպատակային նվիրաբերության պայմանագիր  WART-LR-04/1 </t>
  </si>
  <si>
    <t>KO-440-7 Շասսի՝ KAMAZ-43253</t>
  </si>
  <si>
    <t xml:space="preserve">Նպատակային նվիրաբերության պայմանագիր  WART-LR-04/1-2 </t>
  </si>
  <si>
    <t>մաքրող մեքենա</t>
  </si>
  <si>
    <t xml:space="preserve">KARCHER MC50 </t>
  </si>
  <si>
    <t>ԵՄ ԿԿԿ դաշինք</t>
  </si>
  <si>
    <t xml:space="preserve">08․04․2024 թվականի թիվ 17 որոշում </t>
  </si>
  <si>
    <t xml:space="preserve">Արև էլեկտրական ավտոբուս </t>
  </si>
  <si>
    <t>(MODEL 6709G7EV)</t>
  </si>
  <si>
    <t>05․03․2025թվականի թիվ 15 որոշում</t>
  </si>
  <si>
    <t>Ալավերդի</t>
  </si>
  <si>
    <t>Էքսկավատոր հիդրավլիկ մուրճով</t>
  </si>
  <si>
    <t>ELAZ-BL-880FD-5X</t>
  </si>
  <si>
    <t xml:space="preserve">Ալավերդի համայնքի Ավագանու որոշմամբ </t>
  </si>
  <si>
    <t>13000,          15000          20000</t>
  </si>
  <si>
    <t>MAZ-555025-580-000</t>
  </si>
  <si>
    <t xml:space="preserve"> 1500          20000 </t>
  </si>
  <si>
    <t>MAZ438</t>
  </si>
  <si>
    <t>100/50</t>
  </si>
  <si>
    <t>2008 թ.</t>
  </si>
  <si>
    <t>ZIL 433362</t>
  </si>
  <si>
    <t xml:space="preserve">Էքսկավատոր </t>
  </si>
  <si>
    <t>18.09.2018թ․</t>
  </si>
  <si>
    <t>JCB 3 CX Sitemoster</t>
  </si>
  <si>
    <t>անիվավոր  տրակտոր</t>
  </si>
  <si>
    <t>2020 թ.</t>
  </si>
  <si>
    <t>XS2204</t>
  </si>
  <si>
    <t>15000            18000,          30000          35000</t>
  </si>
  <si>
    <t>29.479հա</t>
  </si>
  <si>
    <t>32.469հա</t>
  </si>
  <si>
    <t>25.8 հա</t>
  </si>
  <si>
    <t>2020  թ.</t>
  </si>
  <si>
    <t>XSE604</t>
  </si>
  <si>
    <t>9.8 հա</t>
  </si>
  <si>
    <t>Տրակտոր Բելառուս</t>
  </si>
  <si>
    <t>МТЗ 82,1</t>
  </si>
  <si>
    <t>15000,          30000          35000</t>
  </si>
  <si>
    <t>1 հա</t>
  </si>
  <si>
    <t>7.85 հա</t>
  </si>
  <si>
    <t>10000            15000,          18000          30000</t>
  </si>
  <si>
    <t>1.5 հա</t>
  </si>
  <si>
    <t>14 հա</t>
  </si>
  <si>
    <t>18 հա</t>
  </si>
  <si>
    <t>13.6 հա</t>
  </si>
  <si>
    <t>4.3 հա</t>
  </si>
  <si>
    <t>10000          15000</t>
  </si>
  <si>
    <t>Հացահատիկային կոմբայն ՈՒ-300 ՆՈՎԱ/340</t>
  </si>
  <si>
    <t>ՆՈՎԱ340</t>
  </si>
  <si>
    <t>26000            30000,          40000          45000</t>
  </si>
  <si>
    <t>67.67  հա</t>
  </si>
  <si>
    <t>27.53 հա</t>
  </si>
  <si>
    <t>26000          30000</t>
  </si>
  <si>
    <t>2020թ</t>
  </si>
  <si>
    <t>Բեռնատար ինքնաթափ մեքենա, թափքի տարողությունը10տնն</t>
  </si>
  <si>
    <t xml:space="preserve"> KAMAZ </t>
  </si>
  <si>
    <t>տարբեր բեռների տեղափոխում</t>
  </si>
  <si>
    <t xml:space="preserve">Աղբատար մեքենա՝ 10 խմ </t>
  </si>
  <si>
    <t>KAMAZ</t>
  </si>
  <si>
    <t>աղբահանություն համայնքում</t>
  </si>
  <si>
    <t xml:space="preserve">բեռնաուղևորատար մեքենա </t>
  </si>
  <si>
    <t>համայնքի տարածքում բեռների,ուղևորների փոխադրում</t>
  </si>
  <si>
    <t xml:space="preserve"> JAG Sunrey</t>
  </si>
  <si>
    <t>ուղևորափոխադրում</t>
  </si>
  <si>
    <t>Պլասմասե աղբամաններ 770 լիտր տարողությամբ</t>
  </si>
  <si>
    <t>Խոտհավաքիչ</t>
  </si>
  <si>
    <t>Գութան 3 խուփանի</t>
  </si>
  <si>
    <t>Խոտ հակավորիչ մեքենա</t>
  </si>
  <si>
    <t xml:space="preserve">Հնձիչ </t>
  </si>
  <si>
    <t>բելառուս 82,1</t>
  </si>
  <si>
    <t>ցանքս12,7հա, խոտհունձ 8հա</t>
  </si>
  <si>
    <t>գրեյդեր</t>
  </si>
  <si>
    <t>DM-14,0</t>
  </si>
  <si>
    <t>ՀՏԶՀ-ՀԲ</t>
  </si>
  <si>
    <t>ներհամայնքային, դաշտամիջյան և  արոտավայրերի ճանապարհների հարթեցում</t>
  </si>
  <si>
    <t>Gase-570st</t>
  </si>
  <si>
    <t>169 ժամ աշխատել է համայնքի բարեկարգման, փողոցային լուսավորության, ներհամայնքային և դաշտամիջյան ճանապարհների հարթեցման,ջրհեղեղների  հետևանքների վերացման և ընթացիկ նորոգումների համար</t>
  </si>
  <si>
    <t>Ստեփանավան</t>
  </si>
  <si>
    <t>JСB3CX</t>
  </si>
  <si>
    <t>այո</t>
  </si>
  <si>
    <t>42ժամ</t>
  </si>
  <si>
    <t>ГС 10.07</t>
  </si>
  <si>
    <t>Մազ</t>
  </si>
  <si>
    <t>551605-280</t>
  </si>
  <si>
    <t>ԳԱԶ</t>
  </si>
  <si>
    <t>Տաշիր</t>
  </si>
  <si>
    <t>MAZ 650108-8281-700</t>
  </si>
  <si>
    <t>Վ02/25</t>
  </si>
  <si>
    <t>Աղբատար մեքեմա</t>
  </si>
  <si>
    <t>ՄԱԶ-490143-390</t>
  </si>
  <si>
    <t>CAT 246D</t>
  </si>
  <si>
    <r>
      <t xml:space="preserve">                                ԳՍ</t>
    </r>
    <r>
      <rPr>
        <sz val="12"/>
        <color rgb="FF211D1E"/>
        <rFont val="Arial LatArm"/>
        <family val="2"/>
      </rPr>
      <t>-10</t>
    </r>
    <r>
      <rPr>
        <sz val="12"/>
        <color rgb="FF211D1E"/>
        <rFont val="Cambria Math"/>
        <family val="1"/>
        <charset val="204"/>
      </rPr>
      <t>․</t>
    </r>
    <r>
      <rPr>
        <sz val="12"/>
        <color rgb="FF211D1E"/>
        <rFont val="Arial LatArm"/>
        <family val="2"/>
      </rPr>
      <t xml:space="preserve">07 </t>
    </r>
  </si>
  <si>
    <t>ինքնաթափ մեքենա</t>
  </si>
  <si>
    <t>16․10․2020թ․</t>
  </si>
  <si>
    <t>КАМАЗ 6520-041</t>
  </si>
  <si>
    <t>02․02․2021թ․</t>
  </si>
  <si>
    <t>shantui SG 14</t>
  </si>
  <si>
    <t>19.01.2021թ․</t>
  </si>
  <si>
    <t>case 570ST</t>
  </si>
  <si>
    <t>հացահատիկային կոմբայն</t>
  </si>
  <si>
    <t>28.09.2020թ</t>
  </si>
  <si>
    <t>հացահատիկային կոմբայն ծղոտամանրիչով NOVA 340</t>
  </si>
  <si>
    <t>ELAZ BL880</t>
  </si>
  <si>
    <t>Կոմբայն ՆՈՎԱ</t>
  </si>
  <si>
    <t>11.06.2021թ․</t>
  </si>
  <si>
    <t>հացահատիկային կոմբայն  NOVA 300</t>
  </si>
  <si>
    <t>Սպիտակ</t>
  </si>
  <si>
    <t>2007թ</t>
  </si>
  <si>
    <t>Южном машиностроительном заводе,</t>
  </si>
  <si>
    <t>աճուրդ</t>
  </si>
  <si>
    <t>2013թ</t>
  </si>
  <si>
    <t xml:space="preserve"> ДТ-75</t>
  </si>
  <si>
    <t>Բելառուս-82-1</t>
  </si>
  <si>
    <t>Մարդատար</t>
  </si>
  <si>
    <t>2024թ</t>
  </si>
  <si>
    <t>GAZ</t>
  </si>
  <si>
    <t>համայնքի բյուջե</t>
  </si>
  <si>
    <t>2011թ</t>
  </si>
  <si>
    <t>MITSUBISHI NATIVA</t>
  </si>
  <si>
    <t>MITSUBISHI PAJERO IO 1.8</t>
  </si>
  <si>
    <t>Վագոն</t>
  </si>
  <si>
    <t>2014թ</t>
  </si>
  <si>
    <t>PAZ 3205</t>
  </si>
  <si>
    <t>2006թ</t>
  </si>
  <si>
    <t>PAZ 672</t>
  </si>
  <si>
    <t>2017թ</t>
  </si>
  <si>
    <t xml:space="preserve">LEXUS GX 470 </t>
  </si>
  <si>
    <t>Հրշեջ</t>
  </si>
  <si>
    <t>ZIL ATS-40-60B-ZIL-130</t>
  </si>
  <si>
    <t>նվիրատվություն</t>
  </si>
  <si>
    <t>2000թ</t>
  </si>
  <si>
    <t>VAZ2121</t>
  </si>
  <si>
    <t>VAZ21214</t>
  </si>
  <si>
    <t>MITSUBISHI PAJERO IO 2.0</t>
  </si>
  <si>
    <t>2010թ</t>
  </si>
  <si>
    <t>VAZ21104</t>
  </si>
  <si>
    <t>MERSEDES BENZ</t>
  </si>
  <si>
    <t>1995թ</t>
  </si>
  <si>
    <t>KIA CERATO</t>
  </si>
  <si>
    <t>NISSAN X TEERA</t>
  </si>
  <si>
    <t>GELLY MONJARO</t>
  </si>
  <si>
    <t>2008թ</t>
  </si>
  <si>
    <t>ZIL-4333-62</t>
  </si>
  <si>
    <t>Ավտոաշտարակ,ջրցան</t>
  </si>
  <si>
    <t>GAZ-53-12</t>
  </si>
  <si>
    <t>Ֆուրգոն</t>
  </si>
  <si>
    <t>2023թ</t>
  </si>
  <si>
    <t>Համակցված</t>
  </si>
  <si>
    <t>2024թ․</t>
  </si>
  <si>
    <t>MAZ 6312C3-585-010</t>
  </si>
  <si>
    <t>համաֆինանսավորմամբ</t>
  </si>
  <si>
    <t>MAZ 457121-537-000</t>
  </si>
  <si>
    <t>MAZ438121-540-001</t>
  </si>
  <si>
    <t>Ավտաշտարակ</t>
  </si>
  <si>
    <t xml:space="preserve"> FAW CLW5080JGKC3 4.2D</t>
  </si>
  <si>
    <t>DONGFENG CLQ5130GT 5.9D</t>
  </si>
  <si>
    <t>SDLG G 9190F</t>
  </si>
  <si>
    <t>Ձյուն մաքրող բենզինային մեքենա</t>
  </si>
  <si>
    <t>2025թ</t>
  </si>
  <si>
    <t>#88172/CRAFTSMAN</t>
  </si>
  <si>
    <t>Ճանապարհային գծանշման տեխնիկա</t>
  </si>
  <si>
    <t>Heavsty HW 12L</t>
  </si>
  <si>
    <t>WEIYU WY5250ZYSC1</t>
  </si>
  <si>
    <t>Թումանյան</t>
  </si>
  <si>
    <t xml:space="preserve">Էքսկավատոր 
</t>
  </si>
  <si>
    <t xml:space="preserve">Էքսկավատոր - 27.03.2017, 
</t>
  </si>
  <si>
    <t xml:space="preserve">JSB 3CX
</t>
  </si>
  <si>
    <t xml:space="preserve">Էքսկավատոր 1 մոտոժամը Հաշվառված բնակիչների համար 14000                                                                        հաշվառում չունեցող բնակիչների համար 15000  </t>
  </si>
  <si>
    <t>809մ/ժ</t>
  </si>
  <si>
    <t>301 մ/ժ</t>
  </si>
  <si>
    <t>-3598929</t>
  </si>
  <si>
    <t>Կամազ ինքնաթափ</t>
  </si>
  <si>
    <t>Կամազ ինքնաթափ բեռնատար - 21.04.2017</t>
  </si>
  <si>
    <t>KAMAZ 655115-026</t>
  </si>
  <si>
    <t>600-800</t>
  </si>
  <si>
    <t>6883 կմ</t>
  </si>
  <si>
    <t>1062կմ</t>
  </si>
  <si>
    <t>-5197732</t>
  </si>
  <si>
    <t>Կամազ աղբատար</t>
  </si>
  <si>
    <t>Կամազ աղբատար 21.04.2017</t>
  </si>
  <si>
    <t>KO-449-05 (KAMAZ-536053)</t>
  </si>
  <si>
    <t>Ֆիզիկական անձ - 100դր
Իրավաբանական - 1000դր</t>
  </si>
  <si>
    <t>1895կմ</t>
  </si>
  <si>
    <t>-2471258</t>
  </si>
  <si>
    <t xml:space="preserve">գյուղական բնակավայրերում աղբահանության հավաքագրումը չի ապահովում </t>
  </si>
  <si>
    <t>Էքսկավատոր-26.07.2024</t>
  </si>
  <si>
    <t>911.5մ/ժ</t>
  </si>
  <si>
    <t>88.5մ/ժ</t>
  </si>
  <si>
    <t>-5074109</t>
  </si>
  <si>
    <t>Կուլտիվատոր/կախովի/SKSS-15A-60x20</t>
  </si>
  <si>
    <t>02․07․2021թ․</t>
  </si>
  <si>
    <t>կարտոֆիլ ցանող մեքենա Л-202</t>
  </si>
  <si>
    <t>0</t>
  </si>
  <si>
    <t>Հողաֆրեզ IGQN/GN-220</t>
  </si>
  <si>
    <t>կարտոֆիլ հանող մեքենա/կախովի երկշարքանի/КТH-2B</t>
  </si>
  <si>
    <t>25.08.2021թ․</t>
  </si>
  <si>
    <t>Հացահատիկային շարքացան С3Ф 3600</t>
  </si>
  <si>
    <t>Կոմբայն FAFMLINE 4900</t>
  </si>
  <si>
    <t>12.09.2023թ․</t>
  </si>
  <si>
    <t xml:space="preserve">  </t>
  </si>
  <si>
    <t>Լերմոնտովո</t>
  </si>
  <si>
    <t>06/04/2022թ.</t>
  </si>
  <si>
    <t>JCB 3cx</t>
  </si>
  <si>
    <t>03/05/2022թ-ի թիվ 19</t>
  </si>
  <si>
    <t>Լոռի Բերդ</t>
  </si>
  <si>
    <t>14.12.2019թ</t>
  </si>
  <si>
    <t xml:space="preserve"> CAT426F2</t>
  </si>
  <si>
    <t xml:space="preserve">13.01.23թ 6-Ա         </t>
  </si>
  <si>
    <t>13.06.2019թ</t>
  </si>
  <si>
    <t>S340 NOVA</t>
  </si>
  <si>
    <t xml:space="preserve">13.01.23թ 6-Ա  </t>
  </si>
  <si>
    <t>MTZ  82.1</t>
  </si>
  <si>
    <t xml:space="preserve">13.01.23թ 6-Ա </t>
  </si>
  <si>
    <t>02.09.2019թ</t>
  </si>
  <si>
    <t>MTZ 12.21</t>
  </si>
  <si>
    <t>Փամբակ</t>
  </si>
  <si>
    <t>MTZ-95P/ЭО-2626</t>
  </si>
  <si>
    <t>19․10․2023թ</t>
  </si>
  <si>
    <t>CASE 570 SV</t>
  </si>
  <si>
    <t>06․09․2023թ</t>
  </si>
  <si>
    <t>15․03․2024թ</t>
  </si>
  <si>
    <t>MAZ KO-449-41438121-540-001</t>
  </si>
  <si>
    <t>08․05․2025թ</t>
  </si>
  <si>
    <t>MAZ KO-449-41(MAZ438121-540-001)</t>
  </si>
  <si>
    <t>Գյուլագարակ</t>
  </si>
  <si>
    <t>ՄԱԶ աղբատար մեքենա-490343-390</t>
  </si>
  <si>
    <t>08.05.2019թ.</t>
  </si>
  <si>
    <t xml:space="preserve">ՄԱԶ-490343-390, </t>
  </si>
  <si>
    <t>Աղբատար մեքենան սպասարկում է Գյուլագարակ համայնքի և բնակավայրերի փողոցների աղբահանման աշխատանքների համար:</t>
  </si>
  <si>
    <t>գրեդեր ԳՍ-10.07</t>
  </si>
  <si>
    <t>03.04.2019թ.</t>
  </si>
  <si>
    <t>ԳՍ-10.07</t>
  </si>
  <si>
    <t xml:space="preserve"> Գրեդերը ընդհանուր աշխատել է 104 ժամ, որից 104 ժամը աշխատել է համայնքի համար, կատարել է ճանապարհների հարթեցում,  որը կկազմեր 1560000 ՀՀ դրամ:  </t>
  </si>
  <si>
    <t>էքսկավատոր JCB 3CX Sitemaster</t>
  </si>
  <si>
    <t xml:space="preserve"> 03.04.2019թ.</t>
  </si>
  <si>
    <t xml:space="preserve"> JCB 3CX Sitemaster</t>
  </si>
  <si>
    <t>JCB-ն ընդհանուր աշխատել է 868 ժամ, որից 809,3 ժամը աշխատել է համայնքի  համար, որը կկազմեր 10520900 ՀՀ դրամ</t>
  </si>
  <si>
    <t>kamaz 65115-026</t>
  </si>
  <si>
    <t>26.08.2019թ.</t>
  </si>
  <si>
    <t>Կամազ-65115-026</t>
  </si>
  <si>
    <t>Կամազը համայնքի համար աշխատել է  1554,715  կմ, որը կկազմեր  1088300  ՀՀ դրամ։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</si>
</sst>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dd\.mm\.yyyy"/>
    <numFmt numFmtId="167" formatCode="0.0000"/>
    <numFmt numFmtId="168" formatCode="[$-F800]dddd\,\ mmmm\ dd\,\ yyyy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10"/>
      <color rgb="FF333333"/>
      <name val="GHEA Grapalat"/>
      <family val="3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b/>
      <sz val="9"/>
      <color theme="1"/>
      <name val="GHEA Grapalat"/>
      <family val="3"/>
    </font>
    <font>
      <b/>
      <sz val="12"/>
      <color rgb="FF333333"/>
      <name val="GHEA Grapalat"/>
      <family val="3"/>
    </font>
    <font>
      <sz val="11"/>
      <color theme="1"/>
      <name val="Calibri"/>
      <charset val="134"/>
      <scheme val="minor"/>
    </font>
    <font>
      <b/>
      <sz val="12"/>
      <name val="GHEA Grapalat"/>
      <family val="3"/>
    </font>
    <font>
      <b/>
      <sz val="8"/>
      <color theme="1"/>
      <name val="GHEA Grapalat"/>
      <family val="3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b/>
      <sz val="11"/>
      <color theme="1"/>
      <name val="Calibri"/>
      <family val="2"/>
      <charset val="204"/>
      <scheme val="minor"/>
    </font>
    <font>
      <b/>
      <sz val="10"/>
      <color indexed="8"/>
      <name val="GHEA Grapalat"/>
      <family val="3"/>
    </font>
    <font>
      <b/>
      <sz val="10"/>
      <color rgb="FF000000"/>
      <name val="GHEA Grapalat"/>
      <family val="3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rgb="FFFF0000"/>
      <name val="GHEA Grapalat"/>
      <family val="3"/>
    </font>
    <font>
      <sz val="11"/>
      <color theme="1"/>
      <name val="GHEA Grapalat"/>
      <family val="3"/>
    </font>
    <font>
      <sz val="12"/>
      <color theme="1"/>
      <name val="GHEA Grapalat"/>
    </font>
    <font>
      <b/>
      <sz val="10"/>
      <color theme="1"/>
      <name val="Sylfaen"/>
      <family val="1"/>
    </font>
    <font>
      <b/>
      <sz val="11"/>
      <color theme="1"/>
      <name val="Sylfaen"/>
      <family val="1"/>
    </font>
    <font>
      <b/>
      <sz val="8"/>
      <color theme="1"/>
      <name val="Sylfaen"/>
      <family val="1"/>
    </font>
    <font>
      <b/>
      <sz val="10"/>
      <color theme="1"/>
      <name val="GHEA Grapalat"/>
      <charset val="204"/>
    </font>
    <font>
      <b/>
      <sz val="12"/>
      <color theme="1"/>
      <name val="GHEA Grapalat"/>
      <charset val="204"/>
    </font>
    <font>
      <sz val="10"/>
      <color theme="1"/>
      <name val="GHEA Grapalat"/>
      <charset val="204"/>
    </font>
    <font>
      <sz val="12"/>
      <color theme="1"/>
      <name val="GHEA Grapalat"/>
      <charset val="204"/>
    </font>
    <font>
      <sz val="10"/>
      <color theme="1"/>
      <name val="Times New Roman"/>
      <family val="1"/>
      <charset val="204"/>
    </font>
    <font>
      <sz val="10"/>
      <color theme="1"/>
      <name val="GHEA Grapalat"/>
      <family val="3"/>
      <charset val="1"/>
    </font>
    <font>
      <sz val="10"/>
      <color theme="1"/>
      <name val="Sylfaen"/>
      <family val="1"/>
      <charset val="1"/>
    </font>
    <font>
      <b/>
      <sz val="10"/>
      <color rgb="FFC00000"/>
      <name val="GHEA Grapalat"/>
      <family val="3"/>
    </font>
    <font>
      <b/>
      <sz val="12"/>
      <color rgb="FFC00000"/>
      <name val="GHEA Grapalat"/>
      <family val="3"/>
    </font>
    <font>
      <b/>
      <sz val="9"/>
      <color rgb="FFC00000"/>
      <name val="GHEA Grapalat"/>
      <family val="3"/>
    </font>
    <font>
      <sz val="10"/>
      <color rgb="FFC00000"/>
      <name val="GHEA Grapalat"/>
      <family val="3"/>
    </font>
    <font>
      <b/>
      <sz val="11"/>
      <color theme="1"/>
      <name val="GHEA Grapalat"/>
      <family val="3"/>
    </font>
    <font>
      <sz val="10"/>
      <color theme="1"/>
      <name val="Arial Armenian"/>
      <family val="2"/>
    </font>
    <font>
      <sz val="12"/>
      <color rgb="FFC00000"/>
      <name val="GHEA Grapalat"/>
      <family val="3"/>
    </font>
    <font>
      <sz val="12"/>
      <color rgb="FFFF0000"/>
      <name val="GHEA Grapalat"/>
      <family val="3"/>
    </font>
    <font>
      <sz val="11"/>
      <color rgb="FFC00000"/>
      <name val="GHEA Grapalat"/>
      <family val="3"/>
    </font>
    <font>
      <b/>
      <sz val="12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GHEA Grapalat"/>
      <charset val="134"/>
    </font>
    <font>
      <b/>
      <sz val="12"/>
      <name val="GHEA Grapalat"/>
      <charset val="134"/>
    </font>
    <font>
      <b/>
      <sz val="10"/>
      <color theme="1"/>
      <name val="Times New Roman"/>
      <charset val="134"/>
    </font>
    <font>
      <b/>
      <sz val="14"/>
      <color theme="1"/>
      <name val="GHEA Grapalat"/>
      <family val="3"/>
    </font>
    <font>
      <b/>
      <sz val="9"/>
      <name val="GHEA Grapalat"/>
      <family val="3"/>
    </font>
    <font>
      <sz val="10"/>
      <name val="Calibri"/>
      <family val="2"/>
    </font>
    <font>
      <sz val="10"/>
      <name val="Arial Armenian"/>
      <family val="2"/>
    </font>
    <font>
      <sz val="10"/>
      <name val="GHEA Grapalat"/>
      <family val="3"/>
      <charset val="204"/>
    </font>
    <font>
      <sz val="10"/>
      <name val="Arial Armenian"/>
      <family val="2"/>
      <charset val="204"/>
    </font>
    <font>
      <b/>
      <sz val="10.5"/>
      <color theme="1"/>
      <name val="GHEA Grapalat"/>
      <family val="3"/>
    </font>
    <font>
      <b/>
      <sz val="12"/>
      <color theme="1"/>
      <name val="GHEA Grapalat"/>
    </font>
    <font>
      <b/>
      <sz val="12"/>
      <name val="GHEA Grapalat"/>
      <charset val="204"/>
    </font>
    <font>
      <b/>
      <sz val="9"/>
      <color rgb="FFFF0000"/>
      <name val="GHEA Grapalat"/>
      <family val="3"/>
    </font>
    <font>
      <sz val="10"/>
      <color rgb="FFFF0000"/>
      <name val="GHEA Grapalat"/>
      <family val="3"/>
    </font>
    <font>
      <sz val="11"/>
      <color theme="1"/>
      <name val="Calibri"/>
      <family val="2"/>
      <charset val="204"/>
      <scheme val="minor"/>
    </font>
    <font>
      <b/>
      <sz val="26"/>
      <color theme="1"/>
      <name val="GHEA Grapalat"/>
      <family val="3"/>
    </font>
    <font>
      <sz val="12"/>
      <color rgb="FF211D1E"/>
      <name val="Arial"/>
      <family val="2"/>
      <charset val="204"/>
    </font>
    <font>
      <sz val="12"/>
      <color rgb="FF211D1E"/>
      <name val="Arial LatArm"/>
      <family val="2"/>
    </font>
    <font>
      <sz val="12"/>
      <color rgb="FF211D1E"/>
      <name val="Cambria Math"/>
      <family val="1"/>
      <charset val="204"/>
    </font>
    <font>
      <sz val="9"/>
      <color theme="1"/>
      <name val="GHEA Grapalat"/>
      <family val="3"/>
    </font>
    <font>
      <b/>
      <sz val="12"/>
      <color rgb="FFFF0000"/>
      <name val="GHEA Grapalat"/>
      <family val="3"/>
    </font>
  </fonts>
  <fills count="3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115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6" borderId="6" xfId="0" applyFont="1" applyFill="1" applyBorder="1" applyAlignment="1">
      <alignment horizontal="center" vertical="center" textRotation="90" wrapText="1"/>
    </xf>
    <xf numFmtId="0" fontId="4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textRotation="90" wrapText="1"/>
    </xf>
    <xf numFmtId="0" fontId="4" fillId="7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/>
    </xf>
    <xf numFmtId="0" fontId="2" fillId="4" borderId="10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3" fillId="0" borderId="0" xfId="0" applyFont="1"/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4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2" fillId="9" borderId="1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6" xfId="0" applyNumberFormat="1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3" fillId="6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3" borderId="6" xfId="0" applyFont="1" applyFill="1" applyBorder="1" applyAlignment="1">
      <alignment vertical="center" textRotation="90" wrapText="1"/>
    </xf>
    <xf numFmtId="0" fontId="7" fillId="0" borderId="6" xfId="0" applyFont="1" applyBorder="1" applyAlignment="1">
      <alignment vertical="center" textRotation="90" wrapText="1"/>
    </xf>
    <xf numFmtId="0" fontId="7" fillId="6" borderId="6" xfId="0" applyFont="1" applyFill="1" applyBorder="1" applyAlignment="1">
      <alignment vertical="center" textRotation="90" wrapText="1"/>
    </xf>
    <xf numFmtId="0" fontId="8" fillId="6" borderId="6" xfId="0" applyFont="1" applyFill="1" applyBorder="1" applyAlignment="1">
      <alignment vertical="center" wrapText="1"/>
    </xf>
    <xf numFmtId="0" fontId="7" fillId="7" borderId="6" xfId="0" applyFont="1" applyFill="1" applyBorder="1" applyAlignment="1">
      <alignment vertical="center" textRotation="90" wrapText="1"/>
    </xf>
    <xf numFmtId="0" fontId="8" fillId="7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7" fillId="0" borderId="10" xfId="0" applyFont="1" applyBorder="1" applyAlignment="1">
      <alignment vertical="center" textRotation="90"/>
    </xf>
    <xf numFmtId="0" fontId="7" fillId="4" borderId="10" xfId="0" applyFont="1" applyFill="1" applyBorder="1" applyAlignment="1">
      <alignment vertical="center" textRotation="90" wrapText="1"/>
    </xf>
    <xf numFmtId="0" fontId="7" fillId="3" borderId="10" xfId="0" applyFont="1" applyFill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6" borderId="10" xfId="0" applyFont="1" applyFill="1" applyBorder="1" applyAlignment="1">
      <alignment vertical="center" wrapText="1"/>
    </xf>
    <xf numFmtId="0" fontId="7" fillId="7" borderId="10" xfId="0" applyFont="1" applyFill="1" applyBorder="1" applyAlignment="1">
      <alignment vertical="center" wrapText="1"/>
    </xf>
    <xf numFmtId="0" fontId="2" fillId="9" borderId="2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/>
    </xf>
    <xf numFmtId="0" fontId="3" fillId="9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0" borderId="0" xfId="0" applyFont="1"/>
    <xf numFmtId="0" fontId="3" fillId="6" borderId="0" xfId="0" applyFont="1" applyFill="1"/>
    <xf numFmtId="0" fontId="2" fillId="3" borderId="6" xfId="0" applyFont="1" applyFill="1" applyBorder="1" applyAlignment="1">
      <alignment vertical="center" textRotation="90" wrapText="1"/>
    </xf>
    <xf numFmtId="0" fontId="2" fillId="0" borderId="6" xfId="0" applyFont="1" applyBorder="1" applyAlignment="1">
      <alignment vertical="center" textRotation="90" wrapText="1"/>
    </xf>
    <xf numFmtId="0" fontId="2" fillId="6" borderId="6" xfId="0" applyFont="1" applyFill="1" applyBorder="1" applyAlignment="1">
      <alignment vertical="center" textRotation="90" wrapText="1"/>
    </xf>
    <xf numFmtId="0" fontId="4" fillId="6" borderId="6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textRotation="90" wrapText="1"/>
    </xf>
    <xf numFmtId="0" fontId="4" fillId="7" borderId="6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textRotation="90"/>
    </xf>
    <xf numFmtId="0" fontId="2" fillId="4" borderId="10" xfId="0" applyFont="1" applyFill="1" applyBorder="1" applyAlignment="1">
      <alignment vertical="center" textRotation="90" wrapText="1"/>
    </xf>
    <xf numFmtId="0" fontId="2" fillId="3" borderId="10" xfId="0" applyFont="1" applyFill="1" applyBorder="1" applyAlignment="1">
      <alignment vertical="center" wrapText="1"/>
    </xf>
    <xf numFmtId="0" fontId="2" fillId="6" borderId="10" xfId="0" applyFont="1" applyFill="1" applyBorder="1" applyAlignment="1">
      <alignment vertical="center" wrapText="1"/>
    </xf>
    <xf numFmtId="0" fontId="2" fillId="7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2" fillId="4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11" borderId="20" xfId="0" applyFont="1" applyFill="1" applyBorder="1" applyAlignment="1">
      <alignment horizontal="center" vertical="center"/>
    </xf>
    <xf numFmtId="0" fontId="2" fillId="11" borderId="21" xfId="0" applyFont="1" applyFill="1" applyBorder="1" applyAlignment="1">
      <alignment vertical="center"/>
    </xf>
    <xf numFmtId="0" fontId="2" fillId="11" borderId="21" xfId="0" applyFont="1" applyFill="1" applyBorder="1" applyAlignment="1">
      <alignment horizontal="center" vertical="center"/>
    </xf>
    <xf numFmtId="0" fontId="2" fillId="11" borderId="27" xfId="0" applyFont="1" applyFill="1" applyBorder="1" applyAlignment="1">
      <alignment vertical="center"/>
    </xf>
    <xf numFmtId="0" fontId="2" fillId="11" borderId="28" xfId="0" applyFont="1" applyFill="1" applyBorder="1" applyAlignment="1">
      <alignment vertical="center"/>
    </xf>
    <xf numFmtId="0" fontId="2" fillId="11" borderId="29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 textRotation="90" wrapText="1"/>
    </xf>
    <xf numFmtId="0" fontId="2" fillId="10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 textRotation="90"/>
    </xf>
    <xf numFmtId="0" fontId="2" fillId="10" borderId="0" xfId="0" applyFont="1" applyFill="1" applyAlignment="1">
      <alignment horizontal="center" vertical="center" wrapText="1"/>
    </xf>
    <xf numFmtId="0" fontId="3" fillId="10" borderId="0" xfId="0" applyFont="1" applyFill="1"/>
    <xf numFmtId="0" fontId="7" fillId="0" borderId="6" xfId="0" applyFont="1" applyBorder="1" applyAlignment="1">
      <alignment vertical="center" textRotation="90"/>
    </xf>
    <xf numFmtId="0" fontId="7" fillId="3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6" borderId="6" xfId="0" applyFont="1" applyFill="1" applyBorder="1" applyAlignment="1">
      <alignment vertical="center" wrapText="1"/>
    </xf>
    <xf numFmtId="0" fontId="7" fillId="7" borderId="6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9" borderId="37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0" fontId="2" fillId="4" borderId="21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5" borderId="21" xfId="0" applyFont="1" applyFill="1" applyBorder="1" applyAlignment="1">
      <alignment vertical="center"/>
    </xf>
    <xf numFmtId="0" fontId="2" fillId="3" borderId="21" xfId="0" applyFont="1" applyFill="1" applyBorder="1" applyAlignment="1">
      <alignment vertical="center"/>
    </xf>
    <xf numFmtId="0" fontId="2" fillId="6" borderId="21" xfId="0" applyFont="1" applyFill="1" applyBorder="1" applyAlignment="1">
      <alignment vertical="center"/>
    </xf>
    <xf numFmtId="0" fontId="2" fillId="7" borderId="21" xfId="0" applyFont="1" applyFill="1" applyBorder="1" applyAlignment="1">
      <alignment vertical="center"/>
    </xf>
    <xf numFmtId="0" fontId="2" fillId="8" borderId="21" xfId="0" applyFont="1" applyFill="1" applyBorder="1" applyAlignment="1">
      <alignment horizontal="center" vertical="center" wrapText="1"/>
    </xf>
    <xf numFmtId="0" fontId="2" fillId="9" borderId="38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vertical="center" wrapText="1"/>
    </xf>
    <xf numFmtId="0" fontId="2" fillId="4" borderId="18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6" borderId="18" xfId="0" applyFont="1" applyFill="1" applyBorder="1" applyAlignment="1">
      <alignment vertical="center"/>
    </xf>
    <xf numFmtId="0" fontId="2" fillId="7" borderId="18" xfId="0" applyFont="1" applyFill="1" applyBorder="1" applyAlignment="1">
      <alignment vertical="center"/>
    </xf>
    <xf numFmtId="0" fontId="2" fillId="8" borderId="40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vertical="center"/>
    </xf>
    <xf numFmtId="0" fontId="2" fillId="11" borderId="17" xfId="0" applyFont="1" applyFill="1" applyBorder="1" applyAlignment="1">
      <alignment horizontal="center" vertical="center"/>
    </xf>
    <xf numFmtId="0" fontId="2" fillId="11" borderId="31" xfId="0" applyFont="1" applyFill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11" borderId="11" xfId="0" applyFont="1" applyFill="1" applyBorder="1" applyAlignment="1">
      <alignment vertical="center"/>
    </xf>
    <xf numFmtId="0" fontId="2" fillId="11" borderId="42" xfId="0" applyFont="1" applyFill="1" applyBorder="1" applyAlignment="1">
      <alignment vertical="center"/>
    </xf>
    <xf numFmtId="14" fontId="2" fillId="0" borderId="21" xfId="0" applyNumberFormat="1" applyFont="1" applyBorder="1" applyAlignment="1">
      <alignment vertical="center"/>
    </xf>
    <xf numFmtId="0" fontId="10" fillId="0" borderId="18" xfId="0" applyFont="1" applyBorder="1" applyAlignment="1">
      <alignment horizontal="left" vertical="center" wrapText="1"/>
    </xf>
    <xf numFmtId="0" fontId="2" fillId="10" borderId="6" xfId="0" applyFont="1" applyFill="1" applyBorder="1" applyAlignment="1">
      <alignment vertical="center" wrapText="1"/>
    </xf>
    <xf numFmtId="14" fontId="2" fillId="10" borderId="6" xfId="0" applyNumberFormat="1" applyFont="1" applyFill="1" applyBorder="1" applyAlignment="1">
      <alignment horizontal="left" vertical="center"/>
    </xf>
    <xf numFmtId="0" fontId="2" fillId="10" borderId="6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vertical="center"/>
    </xf>
    <xf numFmtId="0" fontId="2" fillId="10" borderId="6" xfId="0" applyFont="1" applyFill="1" applyBorder="1" applyAlignment="1">
      <alignment horizontal="center" vertical="center" textRotation="90" wrapText="1"/>
    </xf>
    <xf numFmtId="0" fontId="2" fillId="10" borderId="6" xfId="0" applyFont="1" applyFill="1" applyBorder="1" applyAlignment="1">
      <alignment horizontal="left" vertical="center" textRotation="90"/>
    </xf>
    <xf numFmtId="0" fontId="2" fillId="10" borderId="6" xfId="0" applyFont="1" applyFill="1" applyBorder="1" applyAlignment="1">
      <alignment vertical="center" textRotation="90" wrapText="1"/>
    </xf>
    <xf numFmtId="0" fontId="2" fillId="10" borderId="6" xfId="0" applyFont="1" applyFill="1" applyBorder="1" applyAlignment="1">
      <alignment horizontal="left" vertical="center" textRotation="90" wrapText="1"/>
    </xf>
    <xf numFmtId="0" fontId="2" fillId="10" borderId="11" xfId="0" applyFont="1" applyFill="1" applyBorder="1" applyAlignment="1">
      <alignment horizontal="center" vertical="center"/>
    </xf>
    <xf numFmtId="0" fontId="2" fillId="11" borderId="38" xfId="0" applyFont="1" applyFill="1" applyBorder="1" applyAlignment="1">
      <alignment vertical="center"/>
    </xf>
    <xf numFmtId="14" fontId="11" fillId="0" borderId="6" xfId="0" applyNumberFormat="1" applyFont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 wrapText="1"/>
    </xf>
    <xf numFmtId="0" fontId="14" fillId="9" borderId="24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10" borderId="10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 wrapText="1"/>
    </xf>
    <xf numFmtId="0" fontId="14" fillId="9" borderId="15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10" borderId="4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14" fontId="16" fillId="0" borderId="6" xfId="0" applyNumberFormat="1" applyFont="1" applyBorder="1" applyAlignment="1">
      <alignment horizontal="left" vertical="center" wrapText="1"/>
    </xf>
    <xf numFmtId="14" fontId="16" fillId="0" borderId="6" xfId="0" applyNumberFormat="1" applyFont="1" applyBorder="1" applyAlignment="1">
      <alignment horizontal="center" vertical="center" wrapText="1"/>
    </xf>
    <xf numFmtId="14" fontId="14" fillId="0" borderId="6" xfId="0" applyNumberFormat="1" applyFont="1" applyBorder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center" vertical="center"/>
    </xf>
    <xf numFmtId="1" fontId="14" fillId="8" borderId="6" xfId="0" applyNumberFormat="1" applyFont="1" applyFill="1" applyBorder="1" applyAlignment="1">
      <alignment horizontal="center" vertical="center" wrapText="1"/>
    </xf>
    <xf numFmtId="1" fontId="14" fillId="9" borderId="15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14" fontId="2" fillId="10" borderId="6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/>
    </xf>
    <xf numFmtId="0" fontId="2" fillId="6" borderId="8" xfId="0" applyFont="1" applyFill="1" applyBorder="1" applyAlignment="1">
      <alignment horizontal="center" vertical="center"/>
    </xf>
    <xf numFmtId="0" fontId="2" fillId="11" borderId="39" xfId="0" applyFont="1" applyFill="1" applyBorder="1" applyAlignment="1">
      <alignment horizontal="center" vertical="center"/>
    </xf>
    <xf numFmtId="0" fontId="2" fillId="11" borderId="32" xfId="0" applyFont="1" applyFill="1" applyBorder="1" applyAlignment="1">
      <alignment horizontal="center" vertical="center"/>
    </xf>
    <xf numFmtId="0" fontId="2" fillId="11" borderId="33" xfId="0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3" fillId="10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 wrapText="1"/>
    </xf>
    <xf numFmtId="0" fontId="2" fillId="11" borderId="28" xfId="0" applyFont="1" applyFill="1" applyBorder="1" applyAlignment="1">
      <alignment horizontal="center" vertical="center"/>
    </xf>
    <xf numFmtId="0" fontId="2" fillId="11" borderId="29" xfId="0" applyFont="1" applyFill="1" applyBorder="1" applyAlignment="1">
      <alignment horizontal="center" vertical="center"/>
    </xf>
    <xf numFmtId="0" fontId="2" fillId="11" borderId="38" xfId="0" applyFont="1" applyFill="1" applyBorder="1" applyAlignment="1">
      <alignment horizontal="center" vertical="center"/>
    </xf>
    <xf numFmtId="0" fontId="2" fillId="16" borderId="11" xfId="0" applyFont="1" applyFill="1" applyBorder="1" applyAlignment="1">
      <alignment horizontal="center" vertical="center" wrapText="1"/>
    </xf>
    <xf numFmtId="0" fontId="2" fillId="16" borderId="11" xfId="0" applyFont="1" applyFill="1" applyBorder="1" applyAlignment="1">
      <alignment horizontal="center" vertical="center"/>
    </xf>
    <xf numFmtId="0" fontId="2" fillId="16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" fillId="17" borderId="15" xfId="0" applyFont="1" applyFill="1" applyBorder="1" applyAlignment="1">
      <alignment horizontal="center" vertical="center" wrapText="1"/>
    </xf>
    <xf numFmtId="14" fontId="2" fillId="10" borderId="6" xfId="0" applyNumberFormat="1" applyFont="1" applyFill="1" applyBorder="1" applyAlignment="1">
      <alignment horizontal="center" vertical="center"/>
    </xf>
    <xf numFmtId="0" fontId="2" fillId="17" borderId="29" xfId="0" applyFont="1" applyFill="1" applyBorder="1" applyAlignment="1">
      <alignment horizontal="center" vertical="center"/>
    </xf>
    <xf numFmtId="1" fontId="2" fillId="11" borderId="21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14" fontId="17" fillId="0" borderId="6" xfId="0" applyNumberFormat="1" applyFont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1" fontId="2" fillId="5" borderId="6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1" fontId="2" fillId="5" borderId="10" xfId="0" applyNumberFormat="1" applyFont="1" applyFill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10" borderId="11" xfId="0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" fontId="2" fillId="11" borderId="28" xfId="0" applyNumberFormat="1" applyFont="1" applyFill="1" applyBorder="1" applyAlignment="1">
      <alignment horizontal="center" vertical="center"/>
    </xf>
    <xf numFmtId="1" fontId="2" fillId="5" borderId="1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2" fillId="9" borderId="37" xfId="0" applyFont="1" applyFill="1" applyBorder="1" applyAlignment="1">
      <alignment horizontal="center" vertical="center" wrapText="1"/>
    </xf>
    <xf numFmtId="0" fontId="3" fillId="0" borderId="23" xfId="0" applyFont="1" applyBorder="1"/>
    <xf numFmtId="0" fontId="3" fillId="0" borderId="13" xfId="0" applyFont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 wrapText="1"/>
    </xf>
    <xf numFmtId="0" fontId="2" fillId="11" borderId="32" xfId="0" applyFont="1" applyFill="1" applyBorder="1" applyAlignment="1">
      <alignment vertical="center"/>
    </xf>
    <xf numFmtId="0" fontId="2" fillId="11" borderId="33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5" borderId="6" xfId="0" applyFont="1" applyFill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5" borderId="4" xfId="0" applyFont="1" applyFill="1" applyBorder="1" applyAlignment="1">
      <alignment horizontal="center" vertical="center" textRotation="90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4" fillId="0" borderId="6" xfId="0" applyFont="1" applyBorder="1" applyAlignment="1">
      <alignment vertical="center" wrapText="1"/>
    </xf>
    <xf numFmtId="0" fontId="24" fillId="0" borderId="6" xfId="0" applyFont="1" applyBorder="1" applyAlignment="1">
      <alignment horizontal="center" vertical="center"/>
    </xf>
    <xf numFmtId="14" fontId="24" fillId="0" borderId="6" xfId="0" applyNumberFormat="1" applyFont="1" applyBorder="1" applyAlignment="1">
      <alignment vertical="center"/>
    </xf>
    <xf numFmtId="0" fontId="25" fillId="0" borderId="6" xfId="0" applyFont="1" applyBorder="1" applyAlignment="1">
      <alignment horizontal="center" vertical="center"/>
    </xf>
    <xf numFmtId="0" fontId="24" fillId="4" borderId="6" xfId="0" applyFont="1" applyFill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4" fillId="2" borderId="6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0" fontId="24" fillId="6" borderId="6" xfId="0" applyFont="1" applyFill="1" applyBorder="1" applyAlignment="1">
      <alignment horizontal="center" vertical="center"/>
    </xf>
    <xf numFmtId="0" fontId="24" fillId="7" borderId="6" xfId="0" applyFont="1" applyFill="1" applyBorder="1" applyAlignment="1">
      <alignment horizontal="center" vertical="center"/>
    </xf>
    <xf numFmtId="0" fontId="24" fillId="8" borderId="6" xfId="0" applyFont="1" applyFill="1" applyBorder="1" applyAlignment="1">
      <alignment horizontal="center" vertical="center" wrapText="1"/>
    </xf>
    <xf numFmtId="0" fontId="26" fillId="10" borderId="6" xfId="0" applyFont="1" applyFill="1" applyBorder="1" applyAlignment="1">
      <alignment horizontal="center" vertical="center"/>
    </xf>
    <xf numFmtId="0" fontId="26" fillId="10" borderId="6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right" vertical="center"/>
    </xf>
    <xf numFmtId="14" fontId="2" fillId="0" borderId="6" xfId="0" applyNumberFormat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left" vertical="center"/>
    </xf>
    <xf numFmtId="0" fontId="27" fillId="5" borderId="6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27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49" fontId="27" fillId="2" borderId="6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0" fontId="28" fillId="0" borderId="6" xfId="0" applyFont="1" applyBorder="1" applyAlignment="1">
      <alignment horizontal="left" vertical="center"/>
    </xf>
    <xf numFmtId="0" fontId="27" fillId="2" borderId="6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" fillId="9" borderId="44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2" fillId="10" borderId="6" xfId="0" applyFont="1" applyFill="1" applyBorder="1" applyAlignment="1">
      <alignment horizontal="center" vertical="center" wrapText="1"/>
    </xf>
    <xf numFmtId="2" fontId="2" fillId="10" borderId="6" xfId="0" applyNumberFormat="1" applyFont="1" applyFill="1" applyBorder="1" applyAlignment="1">
      <alignment horizontal="center" vertical="center"/>
    </xf>
    <xf numFmtId="49" fontId="2" fillId="10" borderId="6" xfId="0" applyNumberFormat="1" applyFont="1" applyFill="1" applyBorder="1" applyAlignment="1">
      <alignment horizontal="center" vertical="center" wrapText="1"/>
    </xf>
    <xf numFmtId="2" fontId="2" fillId="10" borderId="6" xfId="0" applyNumberFormat="1" applyFont="1" applyFill="1" applyBorder="1" applyAlignment="1">
      <alignment horizontal="center" vertical="center" wrapText="1"/>
    </xf>
    <xf numFmtId="0" fontId="32" fillId="10" borderId="6" xfId="0" applyFont="1" applyFill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24" fillId="9" borderId="6" xfId="0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top" wrapText="1"/>
    </xf>
    <xf numFmtId="0" fontId="24" fillId="0" borderId="19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left" vertical="center" wrapText="1"/>
    </xf>
    <xf numFmtId="14" fontId="27" fillId="0" borderId="6" xfId="0" applyNumberFormat="1" applyFont="1" applyBorder="1" applyAlignment="1">
      <alignment horizontal="left" vertical="center"/>
    </xf>
    <xf numFmtId="0" fontId="27" fillId="0" borderId="6" xfId="0" applyFont="1" applyBorder="1" applyAlignment="1">
      <alignment horizontal="left" vertical="center" wrapText="1"/>
    </xf>
    <xf numFmtId="0" fontId="2" fillId="11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10" borderId="0" xfId="0" applyFont="1" applyFill="1" applyAlignment="1">
      <alignment horizontal="left" vertical="top"/>
    </xf>
    <xf numFmtId="0" fontId="2" fillId="10" borderId="0" xfId="0" applyFont="1" applyFill="1" applyAlignment="1">
      <alignment horizontal="left" vertical="top" wrapText="1"/>
    </xf>
    <xf numFmtId="0" fontId="7" fillId="10" borderId="6" xfId="0" applyFont="1" applyFill="1" applyBorder="1" applyAlignment="1">
      <alignment horizontal="center" vertical="top" textRotation="90" wrapText="1"/>
    </xf>
    <xf numFmtId="0" fontId="7" fillId="10" borderId="6" xfId="0" applyFont="1" applyFill="1" applyBorder="1" applyAlignment="1">
      <alignment horizontal="center" vertical="top" wrapText="1"/>
    </xf>
    <xf numFmtId="0" fontId="2" fillId="10" borderId="6" xfId="0" applyFont="1" applyFill="1" applyBorder="1" applyAlignment="1">
      <alignment horizontal="left" vertical="top" wrapText="1"/>
    </xf>
    <xf numFmtId="0" fontId="7" fillId="10" borderId="0" xfId="0" applyFont="1" applyFill="1" applyAlignment="1">
      <alignment horizontal="left" vertical="top" wrapText="1"/>
    </xf>
    <xf numFmtId="0" fontId="7" fillId="10" borderId="6" xfId="0" applyFont="1" applyFill="1" applyBorder="1" applyAlignment="1">
      <alignment horizontal="left" vertical="top" textRotation="90" wrapText="1"/>
    </xf>
    <xf numFmtId="0" fontId="8" fillId="10" borderId="6" xfId="0" applyFont="1" applyFill="1" applyBorder="1" applyAlignment="1">
      <alignment horizontal="left" vertical="top" wrapText="1"/>
    </xf>
    <xf numFmtId="0" fontId="2" fillId="10" borderId="10" xfId="0" applyFont="1" applyFill="1" applyBorder="1" applyAlignment="1">
      <alignment horizontal="center" vertical="top" wrapText="1"/>
    </xf>
    <xf numFmtId="0" fontId="2" fillId="10" borderId="10" xfId="0" applyFont="1" applyFill="1" applyBorder="1" applyAlignment="1">
      <alignment horizontal="center" vertical="top" textRotation="90" wrapText="1"/>
    </xf>
    <xf numFmtId="0" fontId="7" fillId="10" borderId="10" xfId="0" applyFont="1" applyFill="1" applyBorder="1" applyAlignment="1">
      <alignment horizontal="center" vertical="top" textRotation="90"/>
    </xf>
    <xf numFmtId="0" fontId="7" fillId="10" borderId="10" xfId="0" applyFont="1" applyFill="1" applyBorder="1" applyAlignment="1">
      <alignment horizontal="center" vertical="top" textRotation="90" wrapText="1"/>
    </xf>
    <xf numFmtId="0" fontId="7" fillId="10" borderId="10" xfId="0" applyFont="1" applyFill="1" applyBorder="1" applyAlignment="1">
      <alignment horizontal="center" vertical="top" wrapText="1"/>
    </xf>
    <xf numFmtId="0" fontId="7" fillId="10" borderId="10" xfId="0" applyFont="1" applyFill="1" applyBorder="1" applyAlignment="1">
      <alignment horizontal="left" vertical="top" wrapText="1"/>
    </xf>
    <xf numFmtId="0" fontId="2" fillId="10" borderId="10" xfId="0" applyFont="1" applyFill="1" applyBorder="1" applyAlignment="1">
      <alignment horizontal="left" vertical="top" wrapText="1"/>
    </xf>
    <xf numFmtId="0" fontId="2" fillId="10" borderId="25" xfId="0" applyFont="1" applyFill="1" applyBorder="1" applyAlignment="1">
      <alignment horizontal="left" vertical="top" wrapText="1"/>
    </xf>
    <xf numFmtId="0" fontId="3" fillId="10" borderId="12" xfId="0" applyFont="1" applyFill="1" applyBorder="1" applyAlignment="1">
      <alignment horizontal="left" vertical="top"/>
    </xf>
    <xf numFmtId="0" fontId="3" fillId="10" borderId="11" xfId="0" applyFont="1" applyFill="1" applyBorder="1" applyAlignment="1">
      <alignment horizontal="left" vertical="top" wrapText="1"/>
    </xf>
    <xf numFmtId="0" fontId="3" fillId="10" borderId="11" xfId="0" applyFont="1" applyFill="1" applyBorder="1" applyAlignment="1">
      <alignment horizontal="left" vertical="top"/>
    </xf>
    <xf numFmtId="0" fontId="3" fillId="10" borderId="8" xfId="0" applyFont="1" applyFill="1" applyBorder="1" applyAlignment="1">
      <alignment horizontal="left" vertical="top" wrapText="1"/>
    </xf>
    <xf numFmtId="0" fontId="3" fillId="10" borderId="26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top" wrapText="1"/>
    </xf>
    <xf numFmtId="0" fontId="34" fillId="10" borderId="6" xfId="0" applyFont="1" applyFill="1" applyBorder="1" applyAlignment="1">
      <alignment horizontal="left" vertical="top"/>
    </xf>
    <xf numFmtId="0" fontId="35" fillId="10" borderId="6" xfId="0" applyFont="1" applyFill="1" applyBorder="1" applyAlignment="1">
      <alignment horizontal="left" vertical="top" wrapText="1"/>
    </xf>
    <xf numFmtId="0" fontId="34" fillId="10" borderId="6" xfId="0" applyFont="1" applyFill="1" applyBorder="1" applyAlignment="1">
      <alignment horizontal="left" vertical="top" wrapText="1"/>
    </xf>
    <xf numFmtId="0" fontId="36" fillId="10" borderId="6" xfId="0" applyFont="1" applyFill="1" applyBorder="1" applyAlignment="1">
      <alignment horizontal="left" vertical="top"/>
    </xf>
    <xf numFmtId="0" fontId="34" fillId="10" borderId="15" xfId="0" applyFont="1" applyFill="1" applyBorder="1" applyAlignment="1">
      <alignment horizontal="left" vertical="top" wrapText="1"/>
    </xf>
    <xf numFmtId="0" fontId="34" fillId="10" borderId="0" xfId="0" applyFont="1" applyFill="1" applyAlignment="1">
      <alignment horizontal="left" vertical="top" wrapText="1"/>
    </xf>
    <xf numFmtId="0" fontId="37" fillId="10" borderId="0" xfId="0" applyFont="1" applyFill="1" applyAlignment="1">
      <alignment horizontal="left" vertical="top"/>
    </xf>
    <xf numFmtId="0" fontId="3" fillId="10" borderId="6" xfId="0" applyFont="1" applyFill="1" applyBorder="1" applyAlignment="1">
      <alignment horizontal="left" vertical="top"/>
    </xf>
    <xf numFmtId="0" fontId="2" fillId="10" borderId="6" xfId="0" applyFont="1" applyFill="1" applyBorder="1" applyAlignment="1">
      <alignment horizontal="left" vertical="top"/>
    </xf>
    <xf numFmtId="0" fontId="3" fillId="10" borderId="6" xfId="0" applyFont="1" applyFill="1" applyBorder="1" applyAlignment="1">
      <alignment horizontal="left" vertical="top" wrapText="1"/>
    </xf>
    <xf numFmtId="14" fontId="3" fillId="10" borderId="6" xfId="0" applyNumberFormat="1" applyFont="1" applyFill="1" applyBorder="1" applyAlignment="1">
      <alignment horizontal="left" vertical="top"/>
    </xf>
    <xf numFmtId="0" fontId="38" fillId="10" borderId="6" xfId="0" applyFont="1" applyFill="1" applyBorder="1" applyAlignment="1">
      <alignment horizontal="left" vertical="top"/>
    </xf>
    <xf numFmtId="2" fontId="38" fillId="10" borderId="6" xfId="0" applyNumberFormat="1" applyFont="1" applyFill="1" applyBorder="1" applyAlignment="1">
      <alignment horizontal="left" vertical="top"/>
    </xf>
    <xf numFmtId="0" fontId="39" fillId="10" borderId="6" xfId="0" applyFont="1" applyFill="1" applyBorder="1" applyAlignment="1">
      <alignment horizontal="left" vertical="top" wrapText="1"/>
    </xf>
    <xf numFmtId="0" fontId="22" fillId="10" borderId="6" xfId="0" applyFont="1" applyFill="1" applyBorder="1" applyAlignment="1">
      <alignment horizontal="left" vertical="top"/>
    </xf>
    <xf numFmtId="0" fontId="40" fillId="10" borderId="6" xfId="0" applyFont="1" applyFill="1" applyBorder="1" applyAlignment="1">
      <alignment horizontal="left" vertical="center"/>
    </xf>
    <xf numFmtId="0" fontId="40" fillId="10" borderId="0" xfId="0" applyFont="1" applyFill="1" applyAlignment="1">
      <alignment horizontal="left" vertical="center"/>
    </xf>
    <xf numFmtId="0" fontId="40" fillId="10" borderId="0" xfId="0" applyFont="1" applyFill="1" applyAlignment="1">
      <alignment horizontal="left" vertical="top"/>
    </xf>
    <xf numFmtId="0" fontId="22" fillId="10" borderId="6" xfId="0" applyFont="1" applyFill="1" applyBorder="1" applyAlignment="1">
      <alignment horizontal="left" vertical="center"/>
    </xf>
    <xf numFmtId="14" fontId="22" fillId="10" borderId="6" xfId="0" applyNumberFormat="1" applyFont="1" applyFill="1" applyBorder="1" applyAlignment="1">
      <alignment horizontal="left" vertical="center"/>
    </xf>
    <xf numFmtId="0" fontId="22" fillId="10" borderId="6" xfId="0" applyFont="1" applyFill="1" applyBorder="1" applyAlignment="1">
      <alignment horizontal="left" vertical="center" wrapText="1"/>
    </xf>
    <xf numFmtId="0" fontId="22" fillId="10" borderId="0" xfId="0" applyFont="1" applyFill="1" applyAlignment="1">
      <alignment horizontal="left" vertical="center"/>
    </xf>
    <xf numFmtId="0" fontId="22" fillId="10" borderId="0" xfId="0" applyFont="1" applyFill="1" applyAlignment="1">
      <alignment horizontal="left" vertical="top"/>
    </xf>
    <xf numFmtId="0" fontId="41" fillId="10" borderId="6" xfId="0" applyFont="1" applyFill="1" applyBorder="1" applyAlignment="1">
      <alignment horizontal="left" vertical="top"/>
    </xf>
    <xf numFmtId="0" fontId="41" fillId="10" borderId="0" xfId="0" applyFont="1" applyFill="1" applyAlignment="1">
      <alignment horizontal="left" vertical="top"/>
    </xf>
    <xf numFmtId="9" fontId="3" fillId="10" borderId="6" xfId="0" applyNumberFormat="1" applyFont="1" applyFill="1" applyBorder="1" applyAlignment="1">
      <alignment horizontal="left" vertical="top"/>
    </xf>
    <xf numFmtId="0" fontId="42" fillId="10" borderId="6" xfId="0" applyFont="1" applyFill="1" applyBorder="1" applyAlignment="1">
      <alignment horizontal="left" vertical="top"/>
    </xf>
    <xf numFmtId="0" fontId="22" fillId="10" borderId="6" xfId="0" applyFont="1" applyFill="1" applyBorder="1" applyAlignment="1">
      <alignment horizontal="left" vertical="top" wrapText="1"/>
    </xf>
    <xf numFmtId="9" fontId="22" fillId="10" borderId="6" xfId="0" applyNumberFormat="1" applyFont="1" applyFill="1" applyBorder="1" applyAlignment="1">
      <alignment horizontal="left" vertical="top"/>
    </xf>
    <xf numFmtId="0" fontId="2" fillId="0" borderId="5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9" fontId="2" fillId="0" borderId="6" xfId="0" applyNumberFormat="1" applyFont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2" fillId="11" borderId="20" xfId="0" applyFont="1" applyFill="1" applyBorder="1" applyAlignment="1">
      <alignment horizontal="center" vertical="center" wrapText="1"/>
    </xf>
    <xf numFmtId="0" fontId="2" fillId="11" borderId="21" xfId="0" applyFont="1" applyFill="1" applyBorder="1" applyAlignment="1">
      <alignment horizontal="center" vertical="center" wrapText="1"/>
    </xf>
    <xf numFmtId="0" fontId="2" fillId="11" borderId="31" xfId="0" applyFont="1" applyFill="1" applyBorder="1" applyAlignment="1">
      <alignment horizontal="center" vertical="center" wrapText="1"/>
    </xf>
    <xf numFmtId="0" fontId="2" fillId="11" borderId="32" xfId="0" applyFont="1" applyFill="1" applyBorder="1" applyAlignment="1">
      <alignment horizontal="center" vertical="center" wrapText="1"/>
    </xf>
    <xf numFmtId="0" fontId="2" fillId="11" borderId="33" xfId="0" applyFont="1" applyFill="1" applyBorder="1" applyAlignment="1">
      <alignment horizontal="center" vertical="center" textRotation="90" wrapText="1"/>
    </xf>
    <xf numFmtId="0" fontId="2" fillId="11" borderId="17" xfId="0" applyFont="1" applyFill="1" applyBorder="1" applyAlignment="1">
      <alignment horizontal="center" vertical="center" textRotation="90" wrapText="1"/>
    </xf>
    <xf numFmtId="0" fontId="2" fillId="11" borderId="38" xfId="0" applyFont="1" applyFill="1" applyBorder="1" applyAlignment="1">
      <alignment horizontal="center" vertical="center" wrapText="1"/>
    </xf>
    <xf numFmtId="0" fontId="44" fillId="0" borderId="5" xfId="0" applyFont="1" applyBorder="1" applyAlignment="1">
      <alignment vertical="center"/>
    </xf>
    <xf numFmtId="0" fontId="44" fillId="0" borderId="6" xfId="0" applyFont="1" applyBorder="1" applyAlignment="1">
      <alignment vertical="center"/>
    </xf>
    <xf numFmtId="0" fontId="44" fillId="0" borderId="6" xfId="0" applyFont="1" applyBorder="1" applyAlignment="1">
      <alignment vertical="center" wrapText="1"/>
    </xf>
    <xf numFmtId="0" fontId="44" fillId="0" borderId="6" xfId="0" applyFont="1" applyBorder="1" applyAlignment="1">
      <alignment horizontal="center" vertical="center" wrapText="1"/>
    </xf>
    <xf numFmtId="0" fontId="44" fillId="4" borderId="6" xfId="0" applyFont="1" applyFill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/>
    </xf>
    <xf numFmtId="0" fontId="44" fillId="2" borderId="6" xfId="0" applyFont="1" applyFill="1" applyBorder="1" applyAlignment="1">
      <alignment vertical="center"/>
    </xf>
    <xf numFmtId="0" fontId="44" fillId="2" borderId="6" xfId="0" applyFont="1" applyFill="1" applyBorder="1" applyAlignment="1">
      <alignment horizontal="center" vertical="center" wrapText="1"/>
    </xf>
    <xf numFmtId="0" fontId="44" fillId="5" borderId="6" xfId="0" applyFont="1" applyFill="1" applyBorder="1" applyAlignment="1">
      <alignment vertical="center"/>
    </xf>
    <xf numFmtId="0" fontId="44" fillId="3" borderId="6" xfId="0" applyFont="1" applyFill="1" applyBorder="1" applyAlignment="1">
      <alignment vertical="center"/>
    </xf>
    <xf numFmtId="0" fontId="44" fillId="6" borderId="6" xfId="0" applyFont="1" applyFill="1" applyBorder="1" applyAlignment="1">
      <alignment vertical="center"/>
    </xf>
    <xf numFmtId="0" fontId="44" fillId="7" borderId="6" xfId="0" applyFont="1" applyFill="1" applyBorder="1" applyAlignment="1">
      <alignment vertical="center"/>
    </xf>
    <xf numFmtId="0" fontId="44" fillId="8" borderId="6" xfId="0" applyFont="1" applyFill="1" applyBorder="1" applyAlignment="1">
      <alignment horizontal="center" vertical="center" wrapText="1"/>
    </xf>
    <xf numFmtId="0" fontId="44" fillId="9" borderId="15" xfId="0" applyFont="1" applyFill="1" applyBorder="1" applyAlignment="1">
      <alignment horizontal="center" vertical="center" wrapText="1"/>
    </xf>
    <xf numFmtId="0" fontId="44" fillId="0" borderId="14" xfId="0" applyFont="1" applyBorder="1" applyAlignment="1">
      <alignment vertical="center"/>
    </xf>
    <xf numFmtId="0" fontId="44" fillId="0" borderId="4" xfId="0" applyFont="1" applyBorder="1" applyAlignment="1">
      <alignment vertical="center"/>
    </xf>
    <xf numFmtId="0" fontId="44" fillId="0" borderId="4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/>
    </xf>
    <xf numFmtId="0" fontId="44" fillId="2" borderId="4" xfId="0" applyFont="1" applyFill="1" applyBorder="1" applyAlignment="1">
      <alignment vertical="center"/>
    </xf>
    <xf numFmtId="0" fontId="44" fillId="5" borderId="4" xfId="0" applyFont="1" applyFill="1" applyBorder="1" applyAlignment="1">
      <alignment vertical="center"/>
    </xf>
    <xf numFmtId="0" fontId="44" fillId="3" borderId="4" xfId="0" applyFont="1" applyFill="1" applyBorder="1" applyAlignment="1">
      <alignment vertical="center"/>
    </xf>
    <xf numFmtId="0" fontId="44" fillId="6" borderId="4" xfId="0" applyFont="1" applyFill="1" applyBorder="1" applyAlignment="1">
      <alignment vertical="center"/>
    </xf>
    <xf numFmtId="0" fontId="44" fillId="7" borderId="4" xfId="0" applyFont="1" applyFill="1" applyBorder="1" applyAlignment="1">
      <alignment vertical="center"/>
    </xf>
    <xf numFmtId="0" fontId="44" fillId="8" borderId="4" xfId="0" applyFont="1" applyFill="1" applyBorder="1" applyAlignment="1">
      <alignment horizontal="center" vertical="center" wrapText="1"/>
    </xf>
    <xf numFmtId="0" fontId="44" fillId="9" borderId="37" xfId="0" applyFont="1" applyFill="1" applyBorder="1" applyAlignment="1">
      <alignment horizontal="center" vertical="center" wrapText="1"/>
    </xf>
    <xf numFmtId="0" fontId="44" fillId="11" borderId="20" xfId="0" applyFont="1" applyFill="1" applyBorder="1" applyAlignment="1">
      <alignment horizontal="center" vertical="center"/>
    </xf>
    <xf numFmtId="0" fontId="44" fillId="11" borderId="21" xfId="0" applyFont="1" applyFill="1" applyBorder="1" applyAlignment="1">
      <alignment vertical="center"/>
    </xf>
    <xf numFmtId="0" fontId="44" fillId="11" borderId="27" xfId="0" applyFont="1" applyFill="1" applyBorder="1" applyAlignment="1">
      <alignment vertical="center"/>
    </xf>
    <xf numFmtId="0" fontId="44" fillId="11" borderId="28" xfId="0" applyFont="1" applyFill="1" applyBorder="1" applyAlignment="1">
      <alignment vertical="center"/>
    </xf>
    <xf numFmtId="0" fontId="44" fillId="11" borderId="29" xfId="0" applyFont="1" applyFill="1" applyBorder="1" applyAlignment="1">
      <alignment vertical="center"/>
    </xf>
    <xf numFmtId="0" fontId="44" fillId="11" borderId="38" xfId="0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9" fontId="2" fillId="2" borderId="4" xfId="0" applyNumberFormat="1" applyFont="1" applyFill="1" applyBorder="1" applyAlignment="1">
      <alignment vertical="center"/>
    </xf>
    <xf numFmtId="0" fontId="46" fillId="0" borderId="12" xfId="0" applyFont="1" applyBorder="1" applyAlignment="1">
      <alignment vertical="center"/>
    </xf>
    <xf numFmtId="0" fontId="47" fillId="0" borderId="11" xfId="0" applyFont="1" applyBorder="1" applyAlignment="1">
      <alignment horizontal="left" vertical="center" wrapText="1"/>
    </xf>
    <xf numFmtId="0" fontId="46" fillId="0" borderId="11" xfId="0" applyFont="1" applyBorder="1" applyAlignment="1">
      <alignment vertical="center"/>
    </xf>
    <xf numFmtId="0" fontId="46" fillId="0" borderId="11" xfId="0" applyFont="1" applyBorder="1" applyAlignment="1">
      <alignment vertical="center" wrapText="1"/>
    </xf>
    <xf numFmtId="166" fontId="46" fillId="0" borderId="11" xfId="0" applyNumberFormat="1" applyFont="1" applyBorder="1" applyAlignment="1">
      <alignment horizontal="left" vertical="center"/>
    </xf>
    <xf numFmtId="0" fontId="46" fillId="21" borderId="18" xfId="0" applyFont="1" applyFill="1" applyBorder="1" applyAlignment="1">
      <alignment vertical="center"/>
    </xf>
    <xf numFmtId="0" fontId="46" fillId="22" borderId="11" xfId="0" applyFont="1" applyFill="1" applyBorder="1" applyAlignment="1">
      <alignment vertical="center"/>
    </xf>
    <xf numFmtId="0" fontId="46" fillId="5" borderId="11" xfId="0" applyFont="1" applyFill="1" applyBorder="1" applyAlignment="1">
      <alignment vertical="center"/>
    </xf>
    <xf numFmtId="0" fontId="46" fillId="23" borderId="11" xfId="0" applyFont="1" applyFill="1" applyBorder="1" applyAlignment="1">
      <alignment vertical="center"/>
    </xf>
    <xf numFmtId="0" fontId="46" fillId="0" borderId="18" xfId="0" applyFont="1" applyBorder="1" applyAlignment="1">
      <alignment horizontal="center" vertical="center" wrapText="1"/>
    </xf>
    <xf numFmtId="0" fontId="46" fillId="24" borderId="11" xfId="0" applyFont="1" applyFill="1" applyBorder="1" applyAlignment="1">
      <alignment vertical="center"/>
    </xf>
    <xf numFmtId="0" fontId="46" fillId="25" borderId="11" xfId="0" applyFont="1" applyFill="1" applyBorder="1" applyAlignment="1">
      <alignment vertical="center"/>
    </xf>
    <xf numFmtId="0" fontId="46" fillId="8" borderId="11" xfId="0" applyFont="1" applyFill="1" applyBorder="1" applyAlignment="1">
      <alignment horizontal="center" vertical="center" wrapText="1"/>
    </xf>
    <xf numFmtId="0" fontId="46" fillId="26" borderId="26" xfId="0" applyFont="1" applyFill="1" applyBorder="1" applyAlignment="1">
      <alignment horizontal="center" vertical="center" wrapText="1"/>
    </xf>
    <xf numFmtId="0" fontId="46" fillId="0" borderId="5" xfId="0" applyFont="1" applyBorder="1" applyAlignment="1">
      <alignment vertical="center"/>
    </xf>
    <xf numFmtId="0" fontId="47" fillId="0" borderId="6" xfId="0" applyFont="1" applyBorder="1" applyAlignment="1">
      <alignment horizontal="left" vertical="center" wrapText="1"/>
    </xf>
    <xf numFmtId="0" fontId="46" fillId="0" borderId="6" xfId="0" applyFont="1" applyBorder="1" applyAlignment="1">
      <alignment vertical="center"/>
    </xf>
    <xf numFmtId="0" fontId="46" fillId="0" borderId="6" xfId="0" applyFont="1" applyBorder="1" applyAlignment="1">
      <alignment vertical="center" wrapText="1"/>
    </xf>
    <xf numFmtId="0" fontId="46" fillId="21" borderId="6" xfId="0" applyFont="1" applyFill="1" applyBorder="1" applyAlignment="1">
      <alignment vertical="center" wrapText="1"/>
    </xf>
    <xf numFmtId="0" fontId="46" fillId="22" borderId="6" xfId="0" applyFont="1" applyFill="1" applyBorder="1" applyAlignment="1">
      <alignment vertical="center"/>
    </xf>
    <xf numFmtId="0" fontId="46" fillId="5" borderId="6" xfId="0" applyFont="1" applyFill="1" applyBorder="1" applyAlignment="1">
      <alignment vertical="center"/>
    </xf>
    <xf numFmtId="0" fontId="46" fillId="23" borderId="6" xfId="0" applyFont="1" applyFill="1" applyBorder="1" applyAlignment="1">
      <alignment vertical="center"/>
    </xf>
    <xf numFmtId="0" fontId="46" fillId="24" borderId="6" xfId="0" applyFont="1" applyFill="1" applyBorder="1" applyAlignment="1">
      <alignment vertical="center"/>
    </xf>
    <xf numFmtId="0" fontId="46" fillId="25" borderId="6" xfId="0" applyFont="1" applyFill="1" applyBorder="1" applyAlignment="1">
      <alignment vertical="center"/>
    </xf>
    <xf numFmtId="0" fontId="46" fillId="8" borderId="6" xfId="0" applyFont="1" applyFill="1" applyBorder="1" applyAlignment="1">
      <alignment horizontal="center" vertical="center" wrapText="1"/>
    </xf>
    <xf numFmtId="0" fontId="46" fillId="26" borderId="15" xfId="0" applyFont="1" applyFill="1" applyBorder="1" applyAlignment="1">
      <alignment horizontal="center" vertical="center" wrapText="1"/>
    </xf>
    <xf numFmtId="0" fontId="46" fillId="21" borderId="6" xfId="0" applyFont="1" applyFill="1" applyBorder="1" applyAlignment="1">
      <alignment vertical="center"/>
    </xf>
    <xf numFmtId="0" fontId="46" fillId="12" borderId="6" xfId="0" applyFont="1" applyFill="1" applyBorder="1" applyAlignment="1">
      <alignment vertical="center"/>
    </xf>
    <xf numFmtId="0" fontId="46" fillId="27" borderId="6" xfId="0" applyFont="1" applyFill="1" applyBorder="1" applyAlignment="1">
      <alignment vertical="center"/>
    </xf>
    <xf numFmtId="0" fontId="46" fillId="13" borderId="6" xfId="0" applyFont="1" applyFill="1" applyBorder="1" applyAlignment="1">
      <alignment vertical="center"/>
    </xf>
    <xf numFmtId="0" fontId="46" fillId="14" borderId="6" xfId="0" applyFont="1" applyFill="1" applyBorder="1" applyAlignment="1">
      <alignment vertical="center"/>
    </xf>
    <xf numFmtId="0" fontId="46" fillId="18" borderId="6" xfId="0" applyFont="1" applyFill="1" applyBorder="1" applyAlignment="1">
      <alignment vertical="center"/>
    </xf>
    <xf numFmtId="0" fontId="46" fillId="19" borderId="15" xfId="0" applyFont="1" applyFill="1" applyBorder="1" applyAlignment="1">
      <alignment horizontal="center" vertical="center" wrapText="1"/>
    </xf>
    <xf numFmtId="0" fontId="46" fillId="19" borderId="6" xfId="0" applyFont="1" applyFill="1" applyBorder="1" applyAlignment="1">
      <alignment horizontal="center" vertical="center" wrapText="1"/>
    </xf>
    <xf numFmtId="0" fontId="46" fillId="26" borderId="6" xfId="0" applyFont="1" applyFill="1" applyBorder="1" applyAlignment="1">
      <alignment horizontal="center" vertical="center" wrapText="1"/>
    </xf>
    <xf numFmtId="0" fontId="46" fillId="11" borderId="16" xfId="0" applyFont="1" applyFill="1" applyBorder="1" applyAlignment="1">
      <alignment horizontal="center" vertical="center"/>
    </xf>
    <xf numFmtId="0" fontId="46" fillId="11" borderId="17" xfId="0" applyFont="1" applyFill="1" applyBorder="1" applyAlignment="1">
      <alignment vertical="center"/>
    </xf>
    <xf numFmtId="0" fontId="46" fillId="11" borderId="31" xfId="0" applyFont="1" applyFill="1" applyBorder="1" applyAlignment="1">
      <alignment vertical="center"/>
    </xf>
    <xf numFmtId="0" fontId="46" fillId="11" borderId="32" xfId="0" applyFont="1" applyFill="1" applyBorder="1" applyAlignment="1">
      <alignment vertical="center"/>
    </xf>
    <xf numFmtId="0" fontId="46" fillId="11" borderId="33" xfId="0" applyFont="1" applyFill="1" applyBorder="1" applyAlignment="1">
      <alignment vertical="center"/>
    </xf>
    <xf numFmtId="0" fontId="46" fillId="11" borderId="42" xfId="0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2" fillId="20" borderId="6" xfId="0" applyFont="1" applyFill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5" fillId="28" borderId="6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vertical="center" wrapText="1"/>
    </xf>
    <xf numFmtId="49" fontId="5" fillId="20" borderId="6" xfId="0" applyNumberFormat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11" borderId="33" xfId="0" applyFont="1" applyFill="1" applyBorder="1" applyAlignment="1">
      <alignment horizontal="center" vertical="center" wrapText="1"/>
    </xf>
    <xf numFmtId="0" fontId="2" fillId="20" borderId="17" xfId="0" applyFont="1" applyFill="1" applyBorder="1" applyAlignment="1">
      <alignment horizontal="center" vertical="center" wrapText="1"/>
    </xf>
    <xf numFmtId="0" fontId="2" fillId="11" borderId="42" xfId="0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/>
    </xf>
    <xf numFmtId="3" fontId="2" fillId="5" borderId="6" xfId="0" applyNumberFormat="1" applyFont="1" applyFill="1" applyBorder="1" applyAlignment="1">
      <alignment horizontal="center" vertical="center"/>
    </xf>
    <xf numFmtId="3" fontId="2" fillId="5" borderId="6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3" fontId="2" fillId="2" borderId="4" xfId="0" applyNumberFormat="1" applyFont="1" applyFill="1" applyBorder="1" applyAlignment="1">
      <alignment vertical="center"/>
    </xf>
    <xf numFmtId="3" fontId="2" fillId="5" borderId="4" xfId="0" applyNumberFormat="1" applyFont="1" applyFill="1" applyBorder="1" applyAlignment="1">
      <alignment vertical="center"/>
    </xf>
    <xf numFmtId="3" fontId="2" fillId="11" borderId="29" xfId="0" applyNumberFormat="1" applyFont="1" applyFill="1" applyBorder="1" applyAlignment="1">
      <alignment vertical="center"/>
    </xf>
    <xf numFmtId="3" fontId="2" fillId="11" borderId="21" xfId="0" applyNumberFormat="1" applyFont="1" applyFill="1" applyBorder="1" applyAlignment="1">
      <alignment vertical="center"/>
    </xf>
    <xf numFmtId="0" fontId="49" fillId="0" borderId="6" xfId="0" applyFont="1" applyBorder="1" applyAlignment="1">
      <alignment horizontal="left" vertical="center"/>
    </xf>
    <xf numFmtId="0" fontId="49" fillId="0" borderId="6" xfId="0" applyFont="1" applyBorder="1" applyAlignment="1">
      <alignment horizontal="left" vertical="center" wrapText="1"/>
    </xf>
    <xf numFmtId="0" fontId="49" fillId="0" borderId="6" xfId="0" applyFont="1" applyBorder="1" applyAlignment="1">
      <alignment horizontal="center" vertical="center"/>
    </xf>
    <xf numFmtId="0" fontId="49" fillId="4" borderId="6" xfId="0" applyFont="1" applyFill="1" applyBorder="1" applyAlignment="1">
      <alignment horizontal="left" vertical="center"/>
    </xf>
    <xf numFmtId="0" fontId="49" fillId="2" borderId="6" xfId="0" applyFont="1" applyFill="1" applyBorder="1" applyAlignment="1">
      <alignment horizontal="left" vertical="center"/>
    </xf>
    <xf numFmtId="1" fontId="49" fillId="2" borderId="6" xfId="0" applyNumberFormat="1" applyFont="1" applyFill="1" applyBorder="1" applyAlignment="1">
      <alignment horizontal="left" vertical="center"/>
    </xf>
    <xf numFmtId="1" fontId="49" fillId="5" borderId="6" xfId="0" applyNumberFormat="1" applyFont="1" applyFill="1" applyBorder="1" applyAlignment="1">
      <alignment vertical="center"/>
    </xf>
    <xf numFmtId="0" fontId="49" fillId="3" borderId="6" xfId="0" applyFont="1" applyFill="1" applyBorder="1" applyAlignment="1">
      <alignment horizontal="left" vertical="center"/>
    </xf>
    <xf numFmtId="0" fontId="49" fillId="6" borderId="6" xfId="0" applyFont="1" applyFill="1" applyBorder="1" applyAlignment="1">
      <alignment horizontal="left" vertical="center"/>
    </xf>
    <xf numFmtId="0" fontId="49" fillId="6" borderId="6" xfId="0" applyFont="1" applyFill="1" applyBorder="1" applyAlignment="1">
      <alignment vertical="center"/>
    </xf>
    <xf numFmtId="0" fontId="49" fillId="7" borderId="6" xfId="0" applyFont="1" applyFill="1" applyBorder="1" applyAlignment="1">
      <alignment vertical="center"/>
    </xf>
    <xf numFmtId="0" fontId="49" fillId="8" borderId="6" xfId="0" applyFont="1" applyFill="1" applyBorder="1" applyAlignment="1">
      <alignment horizontal="center" vertical="center" wrapText="1"/>
    </xf>
    <xf numFmtId="0" fontId="49" fillId="9" borderId="6" xfId="0" applyFont="1" applyFill="1" applyBorder="1" applyAlignment="1">
      <alignment horizontal="center" vertical="center" wrapText="1"/>
    </xf>
    <xf numFmtId="0" fontId="49" fillId="6" borderId="6" xfId="0" applyFont="1" applyFill="1" applyBorder="1" applyAlignment="1">
      <alignment horizontal="center" vertical="center"/>
    </xf>
    <xf numFmtId="0" fontId="49" fillId="11" borderId="17" xfId="0" applyFont="1" applyFill="1" applyBorder="1" applyAlignment="1">
      <alignment vertical="center"/>
    </xf>
    <xf numFmtId="0" fontId="49" fillId="11" borderId="17" xfId="0" applyFont="1" applyFill="1" applyBorder="1" applyAlignment="1">
      <alignment horizontal="center" vertical="center"/>
    </xf>
    <xf numFmtId="0" fontId="49" fillId="11" borderId="31" xfId="0" applyFont="1" applyFill="1" applyBorder="1" applyAlignment="1">
      <alignment vertical="center"/>
    </xf>
    <xf numFmtId="0" fontId="49" fillId="11" borderId="32" xfId="0" applyFont="1" applyFill="1" applyBorder="1" applyAlignment="1">
      <alignment vertical="center"/>
    </xf>
    <xf numFmtId="0" fontId="49" fillId="11" borderId="33" xfId="0" applyFont="1" applyFill="1" applyBorder="1" applyAlignment="1">
      <alignment vertical="center"/>
    </xf>
    <xf numFmtId="2" fontId="49" fillId="11" borderId="17" xfId="0" applyNumberFormat="1" applyFont="1" applyFill="1" applyBorder="1" applyAlignment="1">
      <alignment vertical="center"/>
    </xf>
    <xf numFmtId="0" fontId="49" fillId="11" borderId="42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/>
    </xf>
    <xf numFmtId="1" fontId="2" fillId="9" borderId="24" xfId="0" applyNumberFormat="1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 wrapText="1"/>
    </xf>
    <xf numFmtId="1" fontId="2" fillId="9" borderId="15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17" fillId="10" borderId="6" xfId="0" applyFont="1" applyFill="1" applyBorder="1" applyAlignment="1">
      <alignment horizontal="left" vertical="center" wrapText="1"/>
    </xf>
    <xf numFmtId="0" fontId="17" fillId="10" borderId="6" xfId="0" applyFont="1" applyFill="1" applyBorder="1" applyAlignment="1">
      <alignment horizontal="center" vertical="center"/>
    </xf>
    <xf numFmtId="14" fontId="17" fillId="10" borderId="6" xfId="0" applyNumberFormat="1" applyFont="1" applyFill="1" applyBorder="1" applyAlignment="1">
      <alignment horizontal="center" vertical="center"/>
    </xf>
    <xf numFmtId="0" fontId="17" fillId="10" borderId="6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/>
    </xf>
    <xf numFmtId="164" fontId="2" fillId="10" borderId="6" xfId="0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/>
    </xf>
    <xf numFmtId="1" fontId="2" fillId="5" borderId="4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14" fontId="17" fillId="0" borderId="4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/>
    </xf>
    <xf numFmtId="1" fontId="2" fillId="9" borderId="37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" fontId="2" fillId="5" borderId="11" xfId="0" applyNumberFormat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7" fontId="2" fillId="0" borderId="6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1" fontId="2" fillId="9" borderId="25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64" fontId="2" fillId="10" borderId="8" xfId="0" applyNumberFormat="1" applyFont="1" applyFill="1" applyBorder="1" applyAlignment="1">
      <alignment horizontal="center" vertical="center"/>
    </xf>
    <xf numFmtId="1" fontId="2" fillId="9" borderId="26" xfId="0" applyNumberFormat="1" applyFont="1" applyFill="1" applyBorder="1" applyAlignment="1">
      <alignment horizontal="center" vertical="center" wrapText="1"/>
    </xf>
    <xf numFmtId="164" fontId="2" fillId="10" borderId="10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164" fontId="2" fillId="10" borderId="11" xfId="0" applyNumberFormat="1" applyFont="1" applyFill="1" applyBorder="1" applyAlignment="1">
      <alignment horizontal="center" vertical="center"/>
    </xf>
    <xf numFmtId="1" fontId="2" fillId="9" borderId="11" xfId="0" applyNumberFormat="1" applyFont="1" applyFill="1" applyBorder="1" applyAlignment="1">
      <alignment horizontal="center" vertical="center" wrapText="1"/>
    </xf>
    <xf numFmtId="164" fontId="2" fillId="10" borderId="6" xfId="0" applyNumberFormat="1" applyFont="1" applyFill="1" applyBorder="1" applyAlignment="1">
      <alignment horizontal="center" vertical="center"/>
    </xf>
    <xf numFmtId="1" fontId="2" fillId="9" borderId="6" xfId="0" applyNumberFormat="1" applyFont="1" applyFill="1" applyBorder="1" applyAlignment="1">
      <alignment horizontal="center" vertical="center" wrapText="1"/>
    </xf>
    <xf numFmtId="49" fontId="50" fillId="10" borderId="6" xfId="0" applyNumberFormat="1" applyFont="1" applyFill="1" applyBorder="1" applyAlignment="1">
      <alignment horizontal="center" vertical="center" wrapText="1" shrinkToFit="1"/>
    </xf>
    <xf numFmtId="164" fontId="2" fillId="10" borderId="4" xfId="0" applyNumberFormat="1" applyFont="1" applyFill="1" applyBorder="1" applyAlignment="1">
      <alignment horizontal="center" vertical="center"/>
    </xf>
    <xf numFmtId="1" fontId="2" fillId="9" borderId="4" xfId="0" applyNumberFormat="1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1" fontId="2" fillId="5" borderId="18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164" fontId="15" fillId="10" borderId="2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 wrapText="1"/>
    </xf>
    <xf numFmtId="164" fontId="15" fillId="10" borderId="1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164" fontId="15" fillId="0" borderId="11" xfId="0" applyNumberFormat="1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164" fontId="15" fillId="0" borderId="17" xfId="0" applyNumberFormat="1" applyFont="1" applyBorder="1" applyAlignment="1">
      <alignment horizontal="center" vertical="center" wrapText="1"/>
    </xf>
    <xf numFmtId="1" fontId="2" fillId="11" borderId="17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14" fillId="0" borderId="6" xfId="0" applyFont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vertical="center" wrapText="1"/>
    </xf>
    <xf numFmtId="164" fontId="15" fillId="0" borderId="6" xfId="0" applyNumberFormat="1" applyFont="1" applyBorder="1" applyAlignment="1">
      <alignment vertical="center" wrapText="1"/>
    </xf>
    <xf numFmtId="0" fontId="15" fillId="8" borderId="6" xfId="0" applyFont="1" applyFill="1" applyBorder="1" applyAlignment="1">
      <alignment vertical="center" wrapText="1"/>
    </xf>
    <xf numFmtId="0" fontId="15" fillId="8" borderId="6" xfId="0" applyFont="1" applyFill="1" applyBorder="1" applyAlignment="1">
      <alignment horizontal="right" vertical="center" wrapText="1"/>
    </xf>
    <xf numFmtId="164" fontId="15" fillId="8" borderId="6" xfId="0" applyNumberFormat="1" applyFont="1" applyFill="1" applyBorder="1" applyAlignment="1">
      <alignment vertical="center" wrapText="1"/>
    </xf>
    <xf numFmtId="0" fontId="15" fillId="0" borderId="6" xfId="0" applyFont="1" applyBorder="1" applyAlignment="1">
      <alignment vertical="center"/>
    </xf>
    <xf numFmtId="0" fontId="15" fillId="0" borderId="6" xfId="0" applyFont="1" applyBorder="1" applyAlignment="1">
      <alignment horizontal="right" vertical="center"/>
    </xf>
    <xf numFmtId="0" fontId="15" fillId="0" borderId="6" xfId="0" applyFont="1" applyBorder="1" applyAlignment="1">
      <alignment horizontal="center" vertical="top" wrapText="1"/>
    </xf>
    <xf numFmtId="0" fontId="15" fillId="8" borderId="6" xfId="0" applyFont="1" applyFill="1" applyBorder="1" applyAlignment="1">
      <alignment horizontal="right" vertical="center"/>
    </xf>
    <xf numFmtId="0" fontId="15" fillId="8" borderId="6" xfId="0" applyFont="1" applyFill="1" applyBorder="1" applyAlignment="1">
      <alignment vertical="center"/>
    </xf>
    <xf numFmtId="164" fontId="15" fillId="8" borderId="6" xfId="0" applyNumberFormat="1" applyFont="1" applyFill="1" applyBorder="1" applyAlignment="1">
      <alignment horizontal="center" vertical="center"/>
    </xf>
    <xf numFmtId="0" fontId="15" fillId="0" borderId="0" xfId="0" applyFont="1"/>
    <xf numFmtId="0" fontId="52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right" vertical="center"/>
    </xf>
    <xf numFmtId="0" fontId="15" fillId="0" borderId="3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47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53" fillId="0" borderId="6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right" vertical="center"/>
    </xf>
    <xf numFmtId="0" fontId="53" fillId="0" borderId="6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45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 wrapText="1"/>
    </xf>
    <xf numFmtId="164" fontId="15" fillId="0" borderId="6" xfId="1" applyNumberFormat="1" applyFont="1" applyFill="1" applyBorder="1" applyAlignment="1">
      <alignment horizontal="center" vertical="center"/>
    </xf>
    <xf numFmtId="0" fontId="14" fillId="15" borderId="6" xfId="0" applyFont="1" applyFill="1" applyBorder="1" applyAlignment="1">
      <alignment vertical="center" wrapText="1"/>
    </xf>
    <xf numFmtId="0" fontId="14" fillId="15" borderId="6" xfId="0" applyFont="1" applyFill="1" applyBorder="1" applyAlignment="1">
      <alignment horizontal="center" vertical="center" wrapText="1"/>
    </xf>
    <xf numFmtId="0" fontId="14" fillId="15" borderId="6" xfId="0" applyFont="1" applyFill="1" applyBorder="1" applyAlignment="1">
      <alignment horizontal="right" vertical="center" wrapText="1"/>
    </xf>
    <xf numFmtId="164" fontId="14" fillId="15" borderId="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right" wrapText="1"/>
    </xf>
    <xf numFmtId="0" fontId="3" fillId="10" borderId="0" xfId="0" applyFont="1" applyFill="1" applyAlignment="1">
      <alignment vertical="center" wrapText="1"/>
    </xf>
    <xf numFmtId="0" fontId="6" fillId="0" borderId="0" xfId="0" applyFont="1"/>
    <xf numFmtId="14" fontId="2" fillId="10" borderId="8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4" borderId="6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14" fillId="6" borderId="6" xfId="0" applyFont="1" applyFill="1" applyBorder="1" applyAlignment="1">
      <alignment vertical="center"/>
    </xf>
    <xf numFmtId="0" fontId="14" fillId="7" borderId="6" xfId="0" applyFont="1" applyFill="1" applyBorder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4" borderId="4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/>
    </xf>
    <xf numFmtId="0" fontId="14" fillId="6" borderId="4" xfId="0" applyFont="1" applyFill="1" applyBorder="1" applyAlignment="1">
      <alignment vertical="center"/>
    </xf>
    <xf numFmtId="0" fontId="14" fillId="7" borderId="4" xfId="0" applyFont="1" applyFill="1" applyBorder="1" applyAlignment="1">
      <alignment vertical="center"/>
    </xf>
    <xf numFmtId="168" fontId="7" fillId="4" borderId="6" xfId="0" applyNumberFormat="1" applyFont="1" applyFill="1" applyBorder="1" applyAlignment="1">
      <alignment horizontal="center" vertical="center" wrapText="1"/>
    </xf>
    <xf numFmtId="0" fontId="2" fillId="29" borderId="6" xfId="0" applyFont="1" applyFill="1" applyBorder="1" applyAlignment="1">
      <alignment vertical="center"/>
    </xf>
    <xf numFmtId="168" fontId="50" fillId="4" borderId="6" xfId="0" applyNumberFormat="1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vertical="center" wrapText="1"/>
    </xf>
    <xf numFmtId="14" fontId="2" fillId="10" borderId="6" xfId="0" applyNumberFormat="1" applyFont="1" applyFill="1" applyBorder="1" applyAlignment="1">
      <alignment vertical="center"/>
    </xf>
    <xf numFmtId="0" fontId="7" fillId="10" borderId="6" xfId="0" applyFont="1" applyFill="1" applyBorder="1" applyAlignment="1">
      <alignment horizontal="center" vertical="center" wrapText="1"/>
    </xf>
    <xf numFmtId="0" fontId="55" fillId="10" borderId="0" xfId="0" applyFont="1" applyFill="1" applyAlignment="1">
      <alignment horizontal="center" vertical="center" wrapText="1"/>
    </xf>
    <xf numFmtId="0" fontId="2" fillId="9" borderId="15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horizontal="center" vertical="center" wrapText="1"/>
    </xf>
    <xf numFmtId="14" fontId="2" fillId="0" borderId="4" xfId="0" applyNumberFormat="1" applyFont="1" applyBorder="1" applyAlignment="1">
      <alignment vertical="center"/>
    </xf>
    <xf numFmtId="0" fontId="14" fillId="4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9" borderId="4" xfId="0" applyFont="1" applyFill="1" applyBorder="1" applyAlignment="1">
      <alignment vertical="center"/>
    </xf>
    <xf numFmtId="0" fontId="2" fillId="9" borderId="37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8" borderId="4" xfId="0" applyFont="1" applyFill="1" applyBorder="1" applyAlignment="1">
      <alignment vertical="center" wrapText="1"/>
    </xf>
    <xf numFmtId="0" fontId="55" fillId="0" borderId="6" xfId="0" applyFont="1" applyBorder="1" applyAlignment="1">
      <alignment horizontal="center" vertical="center"/>
    </xf>
    <xf numFmtId="0" fontId="2" fillId="8" borderId="4" xfId="0" applyFont="1" applyFill="1" applyBorder="1" applyAlignment="1">
      <alignment vertical="center"/>
    </xf>
    <xf numFmtId="0" fontId="2" fillId="9" borderId="4" xfId="0" applyFont="1" applyFill="1" applyBorder="1" applyAlignment="1">
      <alignment vertical="center"/>
    </xf>
    <xf numFmtId="0" fontId="14" fillId="11" borderId="4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7" fillId="3" borderId="6" xfId="0" applyFont="1" applyFill="1" applyBorder="1" applyAlignment="1">
      <alignment horizontal="center" vertical="center" textRotation="90" wrapText="1"/>
    </xf>
    <xf numFmtId="0" fontId="7" fillId="6" borderId="6" xfId="0" applyFont="1" applyFill="1" applyBorder="1" applyAlignment="1">
      <alignment horizontal="center" vertical="center" textRotation="90" wrapText="1"/>
    </xf>
    <xf numFmtId="0" fontId="8" fillId="6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textRotation="90" wrapText="1"/>
    </xf>
    <xf numFmtId="0" fontId="8" fillId="7" borderId="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textRotation="90"/>
    </xf>
    <xf numFmtId="0" fontId="7" fillId="4" borderId="10" xfId="0" applyFont="1" applyFill="1" applyBorder="1" applyAlignment="1">
      <alignment horizontal="center" vertical="center" textRotation="90" wrapText="1"/>
    </xf>
    <xf numFmtId="0" fontId="7" fillId="3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2" fontId="2" fillId="5" borderId="6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horizontal="right" vertical="center"/>
    </xf>
    <xf numFmtId="0" fontId="2" fillId="4" borderId="6" xfId="0" applyFont="1" applyFill="1" applyBorder="1" applyAlignment="1">
      <alignment vertical="center" textRotation="90"/>
    </xf>
    <xf numFmtId="0" fontId="56" fillId="2" borderId="6" xfId="0" applyFont="1" applyFill="1" applyBorder="1" applyAlignment="1">
      <alignment vertical="center" wrapText="1"/>
    </xf>
    <xf numFmtId="0" fontId="56" fillId="5" borderId="6" xfId="0" applyFont="1" applyFill="1" applyBorder="1" applyAlignment="1">
      <alignment vertical="center"/>
    </xf>
    <xf numFmtId="0" fontId="56" fillId="2" borderId="6" xfId="0" applyFont="1" applyFill="1" applyBorder="1" applyAlignment="1">
      <alignment vertical="center"/>
    </xf>
    <xf numFmtId="0" fontId="56" fillId="2" borderId="4" xfId="0" applyFont="1" applyFill="1" applyBorder="1" applyAlignment="1">
      <alignment vertical="center"/>
    </xf>
    <xf numFmtId="0" fontId="56" fillId="2" borderId="21" xfId="0" applyFont="1" applyFill="1" applyBorder="1" applyAlignment="1">
      <alignment vertical="center"/>
    </xf>
    <xf numFmtId="0" fontId="28" fillId="11" borderId="21" xfId="0" applyFont="1" applyFill="1" applyBorder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 indent="1"/>
    </xf>
    <xf numFmtId="164" fontId="2" fillId="2" borderId="6" xfId="0" applyNumberFormat="1" applyFont="1" applyFill="1" applyBorder="1" applyAlignment="1">
      <alignment vertical="center"/>
    </xf>
    <xf numFmtId="164" fontId="2" fillId="5" borderId="6" xfId="0" applyNumberFormat="1" applyFont="1" applyFill="1" applyBorder="1" applyAlignment="1">
      <alignment vertical="center"/>
    </xf>
    <xf numFmtId="1" fontId="2" fillId="3" borderId="6" xfId="0" applyNumberFormat="1" applyFont="1" applyFill="1" applyBorder="1" applyAlignment="1">
      <alignment vertical="center" textRotation="90"/>
    </xf>
    <xf numFmtId="0" fontId="2" fillId="3" borderId="6" xfId="0" applyFont="1" applyFill="1" applyBorder="1" applyAlignment="1">
      <alignment vertical="center" textRotation="90"/>
    </xf>
    <xf numFmtId="0" fontId="27" fillId="0" borderId="6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 textRotation="90"/>
    </xf>
    <xf numFmtId="164" fontId="2" fillId="6" borderId="6" xfId="0" applyNumberFormat="1" applyFont="1" applyFill="1" applyBorder="1" applyAlignment="1">
      <alignment vertical="center" textRotation="90"/>
    </xf>
    <xf numFmtId="164" fontId="2" fillId="6" borderId="6" xfId="0" applyNumberFormat="1" applyFont="1" applyFill="1" applyBorder="1" applyAlignment="1">
      <alignment vertical="center"/>
    </xf>
    <xf numFmtId="2" fontId="2" fillId="9" borderId="15" xfId="0" applyNumberFormat="1" applyFont="1" applyFill="1" applyBorder="1" applyAlignment="1">
      <alignment horizontal="center" vertical="center" wrapText="1"/>
    </xf>
    <xf numFmtId="167" fontId="2" fillId="0" borderId="6" xfId="0" applyNumberFormat="1" applyFont="1" applyBorder="1" applyAlignment="1">
      <alignment vertical="center"/>
    </xf>
    <xf numFmtId="164" fontId="2" fillId="9" borderId="1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textRotation="90"/>
    </xf>
    <xf numFmtId="165" fontId="2" fillId="0" borderId="4" xfId="0" applyNumberFormat="1" applyFont="1" applyBorder="1" applyAlignment="1">
      <alignment vertical="center"/>
    </xf>
    <xf numFmtId="164" fontId="2" fillId="0" borderId="4" xfId="0" applyNumberFormat="1" applyFont="1" applyBorder="1" applyAlignment="1">
      <alignment vertical="center" textRotation="90"/>
    </xf>
    <xf numFmtId="164" fontId="2" fillId="6" borderId="4" xfId="0" applyNumberFormat="1" applyFont="1" applyFill="1" applyBorder="1" applyAlignment="1">
      <alignment vertical="center" textRotation="90"/>
    </xf>
    <xf numFmtId="1" fontId="2" fillId="7" borderId="6" xfId="0" applyNumberFormat="1" applyFont="1" applyFill="1" applyBorder="1" applyAlignment="1">
      <alignment vertical="center"/>
    </xf>
    <xf numFmtId="2" fontId="2" fillId="2" borderId="4" xfId="0" applyNumberFormat="1" applyFont="1" applyFill="1" applyBorder="1" applyAlignment="1">
      <alignment vertical="center"/>
    </xf>
    <xf numFmtId="167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textRotation="90" wrapText="1"/>
    </xf>
    <xf numFmtId="1" fontId="2" fillId="8" borderId="6" xfId="0" applyNumberFormat="1" applyFont="1" applyFill="1" applyBorder="1" applyAlignment="1">
      <alignment horizontal="center" vertical="center" wrapText="1"/>
    </xf>
    <xf numFmtId="164" fontId="2" fillId="11" borderId="28" xfId="0" applyNumberFormat="1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164" fontId="2" fillId="0" borderId="22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6" borderId="0" xfId="0" applyFont="1" applyFill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" fillId="10" borderId="1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5" borderId="6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5" borderId="6" xfId="0" applyFont="1" applyFill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 wrapText="1"/>
    </xf>
    <xf numFmtId="0" fontId="7" fillId="4" borderId="6" xfId="0" applyFont="1" applyFill="1" applyBorder="1" applyAlignment="1">
      <alignment vertical="center" textRotation="90" wrapText="1"/>
    </xf>
    <xf numFmtId="0" fontId="10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top" wrapText="1"/>
    </xf>
    <xf numFmtId="0" fontId="2" fillId="10" borderId="6" xfId="0" applyFont="1" applyFill="1" applyBorder="1" applyAlignment="1">
      <alignment horizontal="left" vertical="top" wrapText="1"/>
    </xf>
    <xf numFmtId="0" fontId="7" fillId="10" borderId="6" xfId="0" applyFont="1" applyFill="1" applyBorder="1" applyAlignment="1">
      <alignment horizontal="left" vertical="top" wrapText="1"/>
    </xf>
    <xf numFmtId="0" fontId="7" fillId="10" borderId="15" xfId="0" applyFont="1" applyFill="1" applyBorder="1" applyAlignment="1">
      <alignment horizontal="left" vertical="top" wrapText="1"/>
    </xf>
    <xf numFmtId="0" fontId="7" fillId="10" borderId="6" xfId="0" applyFont="1" applyFill="1" applyBorder="1" applyAlignment="1">
      <alignment horizontal="center" vertical="top" wrapText="1"/>
    </xf>
    <xf numFmtId="0" fontId="7" fillId="10" borderId="6" xfId="0" applyFont="1" applyFill="1" applyBorder="1" applyAlignment="1">
      <alignment horizontal="center" vertical="top" textRotation="90" wrapText="1"/>
    </xf>
    <xf numFmtId="0" fontId="7" fillId="10" borderId="2" xfId="0" applyFont="1" applyFill="1" applyBorder="1" applyAlignment="1">
      <alignment horizontal="left" vertical="top" wrapText="1"/>
    </xf>
    <xf numFmtId="0" fontId="7" fillId="10" borderId="24" xfId="0" applyFont="1" applyFill="1" applyBorder="1" applyAlignment="1">
      <alignment horizontal="left" vertical="top" wrapText="1"/>
    </xf>
    <xf numFmtId="0" fontId="2" fillId="10" borderId="6" xfId="0" applyFont="1" applyFill="1" applyBorder="1" applyAlignment="1">
      <alignment horizontal="center" vertical="top" textRotation="90" wrapText="1"/>
    </xf>
    <xf numFmtId="0" fontId="2" fillId="10" borderId="10" xfId="0" applyFont="1" applyFill="1" applyBorder="1" applyAlignment="1">
      <alignment horizontal="center" vertical="top" textRotation="90" wrapText="1"/>
    </xf>
    <xf numFmtId="0" fontId="7" fillId="10" borderId="6" xfId="0" applyFont="1" applyFill="1" applyBorder="1" applyAlignment="1">
      <alignment horizontal="center" vertical="top" textRotation="90"/>
    </xf>
    <xf numFmtId="0" fontId="2" fillId="10" borderId="0" xfId="0" applyFont="1" applyFill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top"/>
    </xf>
    <xf numFmtId="0" fontId="2" fillId="10" borderId="5" xfId="0" applyFont="1" applyFill="1" applyBorder="1" applyAlignment="1">
      <alignment horizontal="center" vertical="top"/>
    </xf>
    <xf numFmtId="0" fontId="2" fillId="10" borderId="9" xfId="0" applyFont="1" applyFill="1" applyBorder="1" applyAlignment="1">
      <alignment horizontal="center" vertical="top"/>
    </xf>
    <xf numFmtId="0" fontId="2" fillId="10" borderId="2" xfId="0" applyFont="1" applyFill="1" applyBorder="1" applyAlignment="1">
      <alignment horizontal="center" vertical="top" wrapText="1"/>
    </xf>
    <xf numFmtId="0" fontId="2" fillId="10" borderId="10" xfId="0" applyFon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horizontal="center" vertical="top" textRotation="90" wrapText="1"/>
    </xf>
    <xf numFmtId="0" fontId="7" fillId="10" borderId="2" xfId="0" applyFont="1" applyFill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left" vertical="center" wrapText="1"/>
    </xf>
    <xf numFmtId="0" fontId="23" fillId="0" borderId="4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9" borderId="37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textRotation="90" wrapText="1"/>
    </xf>
    <xf numFmtId="0" fontId="2" fillId="5" borderId="11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4" borderId="6" xfId="0" applyFont="1" applyFill="1" applyBorder="1" applyAlignment="1">
      <alignment vertical="center" textRotation="90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right" vertical="center"/>
    </xf>
    <xf numFmtId="0" fontId="15" fillId="8" borderId="6" xfId="0" applyFont="1" applyFill="1" applyBorder="1" applyAlignment="1">
      <alignment horizontal="center" vertical="center"/>
    </xf>
    <xf numFmtId="0" fontId="15" fillId="0" borderId="6" xfId="1" applyNumberFormat="1" applyFont="1" applyFill="1" applyBorder="1" applyAlignment="1">
      <alignment horizontal="center" vertical="center"/>
    </xf>
    <xf numFmtId="164" fontId="15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17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10" borderId="18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43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1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vertical="center" textRotation="90" wrapText="1"/>
    </xf>
    <xf numFmtId="0" fontId="58" fillId="0" borderId="10" xfId="0" applyFont="1" applyBorder="1" applyAlignment="1">
      <alignment vertical="center" wrapText="1"/>
    </xf>
    <xf numFmtId="0" fontId="59" fillId="0" borderId="11" xfId="0" applyFont="1" applyBorder="1" applyAlignment="1">
      <alignment horizontal="center" vertical="center"/>
    </xf>
    <xf numFmtId="0" fontId="59" fillId="0" borderId="11" xfId="0" applyFont="1" applyBorder="1" applyAlignment="1">
      <alignment horizontal="center" vertical="center" wrapText="1"/>
    </xf>
    <xf numFmtId="0" fontId="60" fillId="0" borderId="0" xfId="0" applyFont="1" applyAlignment="1">
      <alignment wrapText="1"/>
    </xf>
    <xf numFmtId="3" fontId="14" fillId="2" borderId="6" xfId="0" applyNumberFormat="1" applyFont="1" applyFill="1" applyBorder="1" applyAlignment="1">
      <alignment vertical="center"/>
    </xf>
    <xf numFmtId="0" fontId="60" fillId="0" borderId="0" xfId="0" applyFont="1"/>
    <xf numFmtId="3" fontId="14" fillId="2" borderId="4" xfId="0" applyNumberFormat="1" applyFont="1" applyFill="1" applyBorder="1" applyAlignment="1">
      <alignment vertical="center"/>
    </xf>
    <xf numFmtId="14" fontId="2" fillId="0" borderId="11" xfId="0" applyNumberFormat="1" applyFont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center" vertical="top" wrapText="1"/>
    </xf>
    <xf numFmtId="0" fontId="2" fillId="7" borderId="11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50" fillId="0" borderId="6" xfId="0" applyFont="1" applyBorder="1" applyAlignment="1">
      <alignment vertical="center"/>
    </xf>
    <xf numFmtId="0" fontId="14" fillId="0" borderId="0" xfId="0" applyFont="1"/>
    <xf numFmtId="0" fontId="2" fillId="4" borderId="4" xfId="0" applyFont="1" applyFill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14" fillId="5" borderId="4" xfId="0" applyFont="1" applyFill="1" applyBorder="1" applyAlignment="1">
      <alignment vertical="center"/>
    </xf>
    <xf numFmtId="0" fontId="14" fillId="3" borderId="4" xfId="0" applyFont="1" applyFill="1" applyBorder="1" applyAlignment="1">
      <alignment vertical="center"/>
    </xf>
    <xf numFmtId="0" fontId="14" fillId="9" borderId="37" xfId="0" applyFont="1" applyFill="1" applyBorder="1" applyAlignment="1">
      <alignment horizontal="center" vertical="center" wrapText="1"/>
    </xf>
    <xf numFmtId="1" fontId="2" fillId="5" borderId="6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vertical="center"/>
    </xf>
    <xf numFmtId="0" fontId="21" fillId="7" borderId="6" xfId="0" applyFont="1" applyFill="1" applyBorder="1" applyAlignment="1">
      <alignment vertical="center"/>
    </xf>
    <xf numFmtId="0" fontId="21" fillId="10" borderId="4" xfId="0" applyFont="1" applyFill="1" applyBorder="1" applyAlignment="1">
      <alignment vertical="center"/>
    </xf>
    <xf numFmtId="0" fontId="21" fillId="10" borderId="4" xfId="0" applyFont="1" applyFill="1" applyBorder="1" applyAlignment="1">
      <alignment vertical="center" wrapText="1"/>
    </xf>
    <xf numFmtId="0" fontId="21" fillId="10" borderId="4" xfId="0" applyFont="1" applyFill="1" applyBorder="1" applyAlignment="1">
      <alignment vertical="center" textRotation="90"/>
    </xf>
    <xf numFmtId="0" fontId="21" fillId="10" borderId="4" xfId="0" applyFont="1" applyFill="1" applyBorder="1" applyAlignment="1">
      <alignment horizontal="center" vertical="center" wrapText="1"/>
    </xf>
    <xf numFmtId="2" fontId="21" fillId="10" borderId="4" xfId="0" applyNumberFormat="1" applyFont="1" applyFill="1" applyBorder="1" applyAlignment="1">
      <alignment horizontal="center" vertical="center" wrapText="1"/>
    </xf>
    <xf numFmtId="0" fontId="59" fillId="10" borderId="8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vertical="center" textRotation="90"/>
    </xf>
    <xf numFmtId="0" fontId="3" fillId="1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textRotation="90" wrapText="1"/>
    </xf>
    <xf numFmtId="3" fontId="2" fillId="2" borderId="6" xfId="0" applyNumberFormat="1" applyFont="1" applyFill="1" applyBorder="1" applyAlignment="1">
      <alignment vertical="center"/>
    </xf>
    <xf numFmtId="0" fontId="2" fillId="6" borderId="6" xfId="0" applyFont="1" applyFill="1" applyBorder="1" applyAlignment="1">
      <alignment vertical="center" textRotation="90"/>
    </xf>
    <xf numFmtId="0" fontId="2" fillId="2" borderId="6" xfId="0" applyFont="1" applyFill="1" applyBorder="1" applyAlignment="1">
      <alignment vertical="center" textRotation="90"/>
    </xf>
    <xf numFmtId="0" fontId="2" fillId="5" borderId="6" xfId="0" applyFont="1" applyFill="1" applyBorder="1" applyAlignment="1">
      <alignment vertical="center" textRotation="90"/>
    </xf>
    <xf numFmtId="164" fontId="2" fillId="7" borderId="6" xfId="0" applyNumberFormat="1" applyFont="1" applyFill="1" applyBorder="1" applyAlignment="1">
      <alignment horizontal="center" vertical="center"/>
    </xf>
    <xf numFmtId="0" fontId="61" fillId="3" borderId="6" xfId="0" applyFont="1" applyFill="1" applyBorder="1" applyAlignment="1">
      <alignment vertical="center"/>
    </xf>
    <xf numFmtId="0" fontId="6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3" fillId="28" borderId="6" xfId="0" applyFont="1" applyFill="1" applyBorder="1" applyAlignment="1">
      <alignment horizontal="center" vertical="center" wrapText="1"/>
    </xf>
    <xf numFmtId="0" fontId="65" fillId="0" borderId="6" xfId="0" applyFont="1" applyBorder="1" applyAlignment="1">
      <alignment horizontal="center" vertical="center" wrapText="1"/>
    </xf>
    <xf numFmtId="0" fontId="3" fillId="28" borderId="11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/>
    </xf>
    <xf numFmtId="0" fontId="65" fillId="0" borderId="6" xfId="0" applyFont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65" fillId="10" borderId="6" xfId="0" applyFont="1" applyFill="1" applyBorder="1" applyAlignment="1">
      <alignment horizontal="center" wrapText="1"/>
    </xf>
    <xf numFmtId="0" fontId="3" fillId="10" borderId="6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vertical="center" wrapText="1"/>
    </xf>
    <xf numFmtId="49" fontId="14" fillId="9" borderId="7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49" fontId="14" fillId="9" borderId="45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14" fillId="6" borderId="8" xfId="0" applyFont="1" applyFill="1" applyBorder="1" applyAlignment="1">
      <alignment vertical="center"/>
    </xf>
    <xf numFmtId="0" fontId="14" fillId="7" borderId="8" xfId="0" applyFont="1" applyFill="1" applyBorder="1" applyAlignment="1">
      <alignment vertical="center"/>
    </xf>
    <xf numFmtId="0" fontId="14" fillId="11" borderId="32" xfId="0" applyFont="1" applyFill="1" applyBorder="1" applyAlignment="1">
      <alignment vertical="center"/>
    </xf>
    <xf numFmtId="49" fontId="2" fillId="11" borderId="21" xfId="0" applyNumberFormat="1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90"/>
    </xf>
    <xf numFmtId="0" fontId="5" fillId="16" borderId="6" xfId="0" applyFont="1" applyFill="1" applyBorder="1" applyAlignment="1">
      <alignment horizontal="center" vertical="center"/>
    </xf>
    <xf numFmtId="0" fontId="5" fillId="16" borderId="6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2" fontId="5" fillId="0" borderId="6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1" fontId="5" fillId="7" borderId="6" xfId="0" applyNumberFormat="1" applyFont="1" applyFill="1" applyBorder="1" applyAlignment="1">
      <alignment vertical="center"/>
    </xf>
    <xf numFmtId="1" fontId="5" fillId="8" borderId="6" xfId="0" applyNumberFormat="1" applyFont="1" applyFill="1" applyBorder="1" applyAlignment="1">
      <alignment horizontal="center" vertical="center" wrapText="1"/>
    </xf>
    <xf numFmtId="1" fontId="5" fillId="9" borderId="1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textRotation="90"/>
    </xf>
    <xf numFmtId="0" fontId="5" fillId="16" borderId="4" xfId="0" applyFont="1" applyFill="1" applyBorder="1" applyAlignment="1">
      <alignment horizontal="center" vertical="center"/>
    </xf>
    <xf numFmtId="0" fontId="5" fillId="16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5" fillId="16" borderId="10" xfId="0" applyFont="1" applyFill="1" applyBorder="1" applyAlignment="1">
      <alignment horizontal="center" vertical="center"/>
    </xf>
    <xf numFmtId="0" fontId="5" fillId="16" borderId="50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11" borderId="21" xfId="0" applyFont="1" applyFill="1" applyBorder="1" applyAlignment="1">
      <alignment vertical="center"/>
    </xf>
    <xf numFmtId="0" fontId="66" fillId="11" borderId="21" xfId="0" applyFont="1" applyFill="1" applyBorder="1" applyAlignment="1">
      <alignment vertical="center"/>
    </xf>
    <xf numFmtId="0" fontId="5" fillId="11" borderId="21" xfId="0" applyFont="1" applyFill="1" applyBorder="1" applyAlignment="1">
      <alignment horizontal="center" vertical="center"/>
    </xf>
    <xf numFmtId="0" fontId="5" fillId="11" borderId="27" xfId="0" applyFont="1" applyFill="1" applyBorder="1" applyAlignment="1">
      <alignment vertical="center"/>
    </xf>
    <xf numFmtId="0" fontId="5" fillId="11" borderId="32" xfId="0" applyFont="1" applyFill="1" applyBorder="1" applyAlignment="1">
      <alignment horizontal="center" vertical="center"/>
    </xf>
    <xf numFmtId="0" fontId="5" fillId="11" borderId="29" xfId="0" applyFont="1" applyFill="1" applyBorder="1" applyAlignment="1">
      <alignment vertical="center"/>
    </xf>
    <xf numFmtId="0" fontId="5" fillId="11" borderId="6" xfId="0" applyFont="1" applyFill="1" applyBorder="1" applyAlignment="1">
      <alignment vertical="center"/>
    </xf>
    <xf numFmtId="0" fontId="5" fillId="11" borderId="4" xfId="0" applyFont="1" applyFill="1" applyBorder="1" applyAlignment="1">
      <alignment vertical="center"/>
    </xf>
    <xf numFmtId="2" fontId="5" fillId="11" borderId="21" xfId="0" applyNumberFormat="1" applyFont="1" applyFill="1" applyBorder="1" applyAlignment="1">
      <alignment vertical="center"/>
    </xf>
    <xf numFmtId="164" fontId="5" fillId="11" borderId="21" xfId="0" applyNumberFormat="1" applyFont="1" applyFill="1" applyBorder="1" applyAlignment="1">
      <alignment vertical="center"/>
    </xf>
    <xf numFmtId="1" fontId="5" fillId="11" borderId="6" xfId="0" applyNumberFormat="1" applyFont="1" applyFill="1" applyBorder="1" applyAlignment="1">
      <alignment vertical="center"/>
    </xf>
    <xf numFmtId="1" fontId="5" fillId="11" borderId="21" xfId="0" applyNumberFormat="1" applyFont="1" applyFill="1" applyBorder="1" applyAlignment="1">
      <alignment vertical="center"/>
    </xf>
    <xf numFmtId="1" fontId="5" fillId="11" borderId="38" xfId="0" applyNumberFormat="1" applyFont="1" applyFill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9" borderId="45" xfId="0" applyFont="1" applyFill="1" applyBorder="1" applyAlignment="1">
      <alignment horizontal="center" vertical="center" wrapText="1"/>
    </xf>
    <xf numFmtId="0" fontId="3" fillId="11" borderId="20" xfId="0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11" borderId="27" xfId="0" applyFont="1" applyFill="1" applyBorder="1" applyAlignment="1">
      <alignment horizontal="center" vertical="center" wrapText="1"/>
    </xf>
    <xf numFmtId="0" fontId="3" fillId="11" borderId="28" xfId="0" applyFont="1" applyFill="1" applyBorder="1" applyAlignment="1">
      <alignment horizontal="center" vertical="center" wrapText="1"/>
    </xf>
    <xf numFmtId="0" fontId="3" fillId="11" borderId="2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/>
  </cellXfs>
  <cellStyles count="3">
    <cellStyle name="Normal" xfId="0" builtinId="0"/>
    <cellStyle name="Normal 2" xfId="2" xr:uid="{B2A7F23F-1477-4B99-AA08-5EB4B01CE09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Tigranuhi/Downloads/hashvetvutyunner/Texnika-2025-1-in-eramsyak%20(1).xlsx" TargetMode="External"/><Relationship Id="rId1" Type="http://schemas.openxmlformats.org/officeDocument/2006/relationships/externalLinkPath" Target="/Users/Tigranuhi/Downloads/hashvetvutyunner/Texnika-2025-1-in-eramsyak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rz"/>
      <sheetName val="HAMAINQ"/>
      <sheetName val="Hamaynq1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DB3A1-1E91-4C35-B7C9-6E1B3AE09A8C}">
  <dimension ref="A1:AZ172"/>
  <sheetViews>
    <sheetView topLeftCell="A40" zoomScale="80" zoomScaleNormal="80" workbookViewId="0">
      <selection activeCell="AP42" sqref="AP42"/>
    </sheetView>
  </sheetViews>
  <sheetFormatPr defaultRowHeight="13.5"/>
  <cols>
    <col min="1" max="1" width="4.7109375" style="50" customWidth="1"/>
    <col min="2" max="2" width="15.140625" style="3" customWidth="1"/>
    <col min="3" max="3" width="9.5703125" style="50" customWidth="1"/>
    <col min="4" max="4" width="16" style="50" customWidth="1"/>
    <col min="5" max="5" width="9.5703125" style="50" customWidth="1"/>
    <col min="6" max="6" width="16.42578125" style="50" customWidth="1"/>
    <col min="7" max="7" width="42" style="50" customWidth="1"/>
    <col min="8" max="8" width="19.42578125" style="50" customWidth="1"/>
    <col min="9" max="13" width="9.5703125" style="50" customWidth="1"/>
    <col min="14" max="14" width="14.42578125" style="50" customWidth="1"/>
    <col min="15" max="15" width="14.28515625" style="50" customWidth="1"/>
    <col min="16" max="16" width="14.42578125" style="50" customWidth="1"/>
    <col min="17" max="17" width="15.28515625" style="50" customWidth="1"/>
    <col min="18" max="32" width="10.42578125" style="50" customWidth="1"/>
    <col min="33" max="36" width="10.5703125" style="117" customWidth="1"/>
    <col min="37" max="39" width="11" style="50" customWidth="1"/>
    <col min="40" max="40" width="14.28515625" style="50" customWidth="1"/>
    <col min="41" max="41" width="11" style="50" customWidth="1"/>
    <col min="42" max="42" width="13" style="50" customWidth="1"/>
    <col min="43" max="43" width="21.5703125" style="50" customWidth="1"/>
    <col min="44" max="44" width="9.28515625" style="50" customWidth="1"/>
    <col min="45" max="45" width="4.140625" style="50" customWidth="1"/>
    <col min="46" max="46" width="6.5703125" style="50" customWidth="1"/>
    <col min="47" max="47" width="5.42578125" style="50" customWidth="1"/>
    <col min="48" max="48" width="5" style="50" customWidth="1"/>
    <col min="49" max="49" width="8" style="50" customWidth="1"/>
    <col min="50" max="50" width="5" style="50" customWidth="1"/>
    <col min="51" max="51" width="6.140625" style="50" customWidth="1"/>
    <col min="52" max="52" width="4.28515625" style="50" customWidth="1"/>
    <col min="53" max="53" width="36.7109375" style="50" customWidth="1"/>
    <col min="54" max="16384" width="9.140625" style="50"/>
  </cols>
  <sheetData>
    <row r="1" spans="1:52" ht="62.25" customHeight="1" thickBot="1">
      <c r="A1" s="907" t="s">
        <v>878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7"/>
      <c r="P1" s="907"/>
      <c r="Q1" s="907"/>
      <c r="R1" s="907"/>
      <c r="S1" s="907"/>
      <c r="T1" s="907"/>
      <c r="U1" s="907"/>
      <c r="V1" s="907"/>
      <c r="W1" s="907"/>
      <c r="X1" s="907"/>
      <c r="Y1" s="907"/>
      <c r="Z1" s="907"/>
      <c r="AA1" s="907"/>
      <c r="AB1" s="907"/>
      <c r="AC1" s="907"/>
      <c r="AD1" s="907"/>
      <c r="AE1" s="907"/>
      <c r="AF1" s="907"/>
      <c r="AG1" s="907"/>
      <c r="AH1" s="907"/>
      <c r="AI1" s="907"/>
      <c r="AJ1" s="907"/>
      <c r="AK1" s="907"/>
      <c r="AL1" s="907"/>
      <c r="AM1" s="907"/>
      <c r="AN1" s="907"/>
      <c r="AO1" s="907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</row>
    <row r="2" spans="1:52" ht="57" customHeight="1">
      <c r="A2" s="887" t="s">
        <v>0</v>
      </c>
      <c r="B2" s="880" t="s">
        <v>1</v>
      </c>
      <c r="C2" s="891" t="s">
        <v>2</v>
      </c>
      <c r="D2" s="880" t="s">
        <v>3</v>
      </c>
      <c r="E2" s="880"/>
      <c r="F2" s="880"/>
      <c r="G2" s="880"/>
      <c r="H2" s="880"/>
      <c r="I2" s="902" t="s">
        <v>4</v>
      </c>
      <c r="J2" s="902"/>
      <c r="K2" s="902"/>
      <c r="L2" s="902"/>
      <c r="M2" s="902"/>
      <c r="N2" s="908" t="s">
        <v>5</v>
      </c>
      <c r="O2" s="908"/>
      <c r="P2" s="908"/>
      <c r="Q2" s="908"/>
      <c r="R2" s="893" t="s">
        <v>6</v>
      </c>
      <c r="S2" s="893"/>
      <c r="T2" s="893"/>
      <c r="U2" s="893"/>
      <c r="V2" s="902" t="s">
        <v>7</v>
      </c>
      <c r="W2" s="902"/>
      <c r="X2" s="902"/>
      <c r="Y2" s="880" t="s">
        <v>8</v>
      </c>
      <c r="Z2" s="880"/>
      <c r="AA2" s="880"/>
      <c r="AB2" s="880"/>
      <c r="AC2" s="880"/>
      <c r="AD2" s="880"/>
      <c r="AE2" s="880"/>
      <c r="AF2" s="880"/>
      <c r="AG2" s="902" t="s">
        <v>9</v>
      </c>
      <c r="AH2" s="902"/>
      <c r="AI2" s="902"/>
      <c r="AJ2" s="902"/>
      <c r="AK2" s="902"/>
      <c r="AL2" s="902"/>
      <c r="AM2" s="902"/>
      <c r="AN2" s="902"/>
      <c r="AO2" s="902"/>
      <c r="AP2" s="903"/>
      <c r="AQ2" s="74"/>
      <c r="AR2" s="74"/>
      <c r="AS2" s="74"/>
      <c r="AT2" s="74"/>
      <c r="AU2" s="74"/>
      <c r="AV2" s="74"/>
    </row>
    <row r="3" spans="1:52" ht="136.5" customHeight="1">
      <c r="A3" s="888"/>
      <c r="B3" s="873"/>
      <c r="C3" s="882"/>
      <c r="D3" s="882" t="s">
        <v>10</v>
      </c>
      <c r="E3" s="873" t="s">
        <v>11</v>
      </c>
      <c r="F3" s="904" t="s">
        <v>12</v>
      </c>
      <c r="G3" s="905" t="s">
        <v>13</v>
      </c>
      <c r="H3" s="906" t="s">
        <v>117</v>
      </c>
      <c r="I3" s="905" t="s">
        <v>14</v>
      </c>
      <c r="J3" s="905" t="s">
        <v>15</v>
      </c>
      <c r="K3" s="905" t="s">
        <v>16</v>
      </c>
      <c r="L3" s="905" t="s">
        <v>17</v>
      </c>
      <c r="M3" s="899" t="s">
        <v>18</v>
      </c>
      <c r="N3" s="900" t="s">
        <v>19</v>
      </c>
      <c r="O3" s="900" t="s">
        <v>20</v>
      </c>
      <c r="P3" s="900" t="s">
        <v>21</v>
      </c>
      <c r="Q3" s="901" t="s">
        <v>22</v>
      </c>
      <c r="R3" s="894"/>
      <c r="S3" s="894"/>
      <c r="T3" s="894"/>
      <c r="U3" s="894"/>
      <c r="V3" s="899" t="s">
        <v>23</v>
      </c>
      <c r="W3" s="899"/>
      <c r="X3" s="899"/>
      <c r="Y3" s="873" t="s">
        <v>118</v>
      </c>
      <c r="Z3" s="873"/>
      <c r="AA3" s="873"/>
      <c r="AB3" s="873"/>
      <c r="AC3" s="873" t="s">
        <v>24</v>
      </c>
      <c r="AD3" s="873"/>
      <c r="AE3" s="873"/>
      <c r="AF3" s="873"/>
      <c r="AG3" s="874" t="s">
        <v>25</v>
      </c>
      <c r="AH3" s="874"/>
      <c r="AI3" s="874"/>
      <c r="AJ3" s="874"/>
      <c r="AK3" s="896" t="s">
        <v>26</v>
      </c>
      <c r="AL3" s="896"/>
      <c r="AM3" s="896"/>
      <c r="AN3" s="896"/>
      <c r="AO3" s="897" t="s">
        <v>22</v>
      </c>
      <c r="AP3" s="898" t="s">
        <v>27</v>
      </c>
      <c r="AQ3" s="81"/>
      <c r="AR3" s="81"/>
      <c r="AS3" s="81"/>
      <c r="AT3" s="81"/>
      <c r="AU3" s="81"/>
      <c r="AV3" s="81"/>
    </row>
    <row r="4" spans="1:52" ht="93.75" customHeight="1">
      <c r="A4" s="888"/>
      <c r="B4" s="873"/>
      <c r="C4" s="882"/>
      <c r="D4" s="882"/>
      <c r="E4" s="873"/>
      <c r="F4" s="904"/>
      <c r="G4" s="905"/>
      <c r="H4" s="906"/>
      <c r="I4" s="905"/>
      <c r="J4" s="905"/>
      <c r="K4" s="905"/>
      <c r="L4" s="905"/>
      <c r="M4" s="899"/>
      <c r="N4" s="900"/>
      <c r="O4" s="900"/>
      <c r="P4" s="900"/>
      <c r="Q4" s="901"/>
      <c r="R4" s="82" t="s">
        <v>28</v>
      </c>
      <c r="S4" s="82" t="s">
        <v>29</v>
      </c>
      <c r="T4" s="82" t="s">
        <v>30</v>
      </c>
      <c r="U4" s="82" t="s">
        <v>31</v>
      </c>
      <c r="V4" s="80" t="s">
        <v>119</v>
      </c>
      <c r="W4" s="80" t="s">
        <v>33</v>
      </c>
      <c r="X4" s="80" t="s">
        <v>34</v>
      </c>
      <c r="Y4" s="83" t="s">
        <v>35</v>
      </c>
      <c r="Z4" s="83" t="s">
        <v>36</v>
      </c>
      <c r="AA4" s="83" t="s">
        <v>37</v>
      </c>
      <c r="AB4" s="83" t="s">
        <v>18</v>
      </c>
      <c r="AC4" s="83" t="s">
        <v>35</v>
      </c>
      <c r="AD4" s="83" t="s">
        <v>36</v>
      </c>
      <c r="AE4" s="83" t="s">
        <v>37</v>
      </c>
      <c r="AF4" s="83" t="s">
        <v>18</v>
      </c>
      <c r="AG4" s="84" t="s">
        <v>35</v>
      </c>
      <c r="AH4" s="84" t="s">
        <v>36</v>
      </c>
      <c r="AI4" s="84" t="s">
        <v>37</v>
      </c>
      <c r="AJ4" s="85" t="s">
        <v>31</v>
      </c>
      <c r="AK4" s="86" t="s">
        <v>35</v>
      </c>
      <c r="AL4" s="86" t="s">
        <v>36</v>
      </c>
      <c r="AM4" s="86" t="s">
        <v>37</v>
      </c>
      <c r="AN4" s="87" t="s">
        <v>31</v>
      </c>
      <c r="AO4" s="897"/>
      <c r="AP4" s="898"/>
      <c r="AQ4" s="88"/>
      <c r="AR4" s="88"/>
      <c r="AS4" s="81"/>
      <c r="AT4" s="88"/>
      <c r="AU4" s="88"/>
      <c r="AV4" s="88"/>
    </row>
    <row r="5" spans="1:52" ht="30.75" customHeight="1" thickBot="1">
      <c r="A5" s="889"/>
      <c r="B5" s="890"/>
      <c r="C5" s="89" t="s">
        <v>38</v>
      </c>
      <c r="D5" s="883"/>
      <c r="E5" s="89" t="s">
        <v>38</v>
      </c>
      <c r="F5" s="90"/>
      <c r="G5" s="90"/>
      <c r="H5" s="91"/>
      <c r="I5" s="19"/>
      <c r="J5" s="19"/>
      <c r="K5" s="20"/>
      <c r="L5" s="19"/>
      <c r="M5" s="19"/>
      <c r="N5" s="23" t="s">
        <v>39</v>
      </c>
      <c r="O5" s="23" t="s">
        <v>39</v>
      </c>
      <c r="P5" s="23" t="s">
        <v>39</v>
      </c>
      <c r="Q5" s="24" t="s">
        <v>39</v>
      </c>
      <c r="R5" s="92" t="s">
        <v>40</v>
      </c>
      <c r="S5" s="92" t="s">
        <v>40</v>
      </c>
      <c r="T5" s="92" t="s">
        <v>40</v>
      </c>
      <c r="U5" s="92" t="s">
        <v>40</v>
      </c>
      <c r="V5" s="19" t="s">
        <v>41</v>
      </c>
      <c r="W5" s="19" t="s">
        <v>38</v>
      </c>
      <c r="X5" s="19" t="s">
        <v>34</v>
      </c>
      <c r="Y5" s="93" t="s">
        <v>42</v>
      </c>
      <c r="Z5" s="93" t="s">
        <v>43</v>
      </c>
      <c r="AA5" s="93" t="s">
        <v>44</v>
      </c>
      <c r="AB5" s="93"/>
      <c r="AC5" s="93" t="s">
        <v>42</v>
      </c>
      <c r="AD5" s="93" t="s">
        <v>43</v>
      </c>
      <c r="AE5" s="93" t="s">
        <v>44</v>
      </c>
      <c r="AF5" s="93"/>
      <c r="AG5" s="94" t="s">
        <v>40</v>
      </c>
      <c r="AH5" s="94" t="s">
        <v>40</v>
      </c>
      <c r="AI5" s="94" t="s">
        <v>40</v>
      </c>
      <c r="AJ5" s="94" t="s">
        <v>40</v>
      </c>
      <c r="AK5" s="95" t="s">
        <v>40</v>
      </c>
      <c r="AL5" s="95" t="s">
        <v>40</v>
      </c>
      <c r="AM5" s="95" t="s">
        <v>40</v>
      </c>
      <c r="AN5" s="27" t="s">
        <v>39</v>
      </c>
      <c r="AO5" s="28" t="s">
        <v>39</v>
      </c>
      <c r="AP5" s="96" t="s">
        <v>39</v>
      </c>
      <c r="AQ5" s="1"/>
      <c r="AR5" s="1"/>
      <c r="AS5" s="1"/>
      <c r="AT5" s="1"/>
      <c r="AU5" s="1"/>
      <c r="AV5" s="1"/>
    </row>
    <row r="6" spans="1:52" ht="19.5" customHeight="1">
      <c r="A6" s="97">
        <v>1</v>
      </c>
      <c r="B6" s="29">
        <v>2</v>
      </c>
      <c r="C6" s="98">
        <v>3</v>
      </c>
      <c r="D6" s="29">
        <v>4</v>
      </c>
      <c r="E6" s="98">
        <v>5</v>
      </c>
      <c r="F6" s="29">
        <v>6</v>
      </c>
      <c r="G6" s="98">
        <v>7</v>
      </c>
      <c r="H6" s="99">
        <v>8</v>
      </c>
      <c r="I6" s="98">
        <v>9</v>
      </c>
      <c r="J6" s="29">
        <v>10</v>
      </c>
      <c r="K6" s="98">
        <v>11</v>
      </c>
      <c r="L6" s="29">
        <v>12</v>
      </c>
      <c r="M6" s="98">
        <v>13</v>
      </c>
      <c r="N6" s="100">
        <v>14</v>
      </c>
      <c r="O6" s="101">
        <v>15</v>
      </c>
      <c r="P6" s="100">
        <v>16</v>
      </c>
      <c r="Q6" s="102">
        <v>17</v>
      </c>
      <c r="R6" s="103">
        <v>18</v>
      </c>
      <c r="S6" s="104">
        <v>19</v>
      </c>
      <c r="T6" s="103">
        <v>20</v>
      </c>
      <c r="U6" s="104">
        <v>21</v>
      </c>
      <c r="V6" s="29">
        <v>22</v>
      </c>
      <c r="W6" s="98">
        <v>23</v>
      </c>
      <c r="X6" s="29">
        <v>24</v>
      </c>
      <c r="Y6" s="98">
        <v>25</v>
      </c>
      <c r="Z6" s="29">
        <v>26</v>
      </c>
      <c r="AA6" s="98">
        <v>27</v>
      </c>
      <c r="AB6" s="29">
        <v>28</v>
      </c>
      <c r="AC6" s="98">
        <v>29</v>
      </c>
      <c r="AD6" s="29">
        <v>30</v>
      </c>
      <c r="AE6" s="98">
        <v>31</v>
      </c>
      <c r="AF6" s="29">
        <v>32</v>
      </c>
      <c r="AG6" s="105">
        <v>33</v>
      </c>
      <c r="AH6" s="106">
        <v>34</v>
      </c>
      <c r="AI6" s="105">
        <v>35</v>
      </c>
      <c r="AJ6" s="106">
        <v>36</v>
      </c>
      <c r="AK6" s="107">
        <v>37</v>
      </c>
      <c r="AL6" s="108">
        <v>38</v>
      </c>
      <c r="AM6" s="107">
        <v>39</v>
      </c>
      <c r="AN6" s="108">
        <v>40</v>
      </c>
      <c r="AO6" s="109">
        <v>41</v>
      </c>
      <c r="AP6" s="110">
        <v>42</v>
      </c>
      <c r="AQ6" s="2"/>
      <c r="AR6" s="5"/>
      <c r="AS6" s="2"/>
      <c r="AT6" s="5"/>
      <c r="AU6" s="2"/>
      <c r="AV6" s="111"/>
    </row>
    <row r="7" spans="1:52" ht="70.5" customHeight="1">
      <c r="A7" s="38">
        <v>1</v>
      </c>
      <c r="B7" s="419" t="s">
        <v>82</v>
      </c>
      <c r="C7" s="47"/>
      <c r="D7" s="48" t="s">
        <v>85</v>
      </c>
      <c r="E7" s="47">
        <v>1</v>
      </c>
      <c r="F7" s="48" t="s">
        <v>86</v>
      </c>
      <c r="G7" s="48" t="s">
        <v>87</v>
      </c>
      <c r="H7" s="47" t="s">
        <v>83</v>
      </c>
      <c r="I7" s="47"/>
      <c r="J7" s="47">
        <v>1</v>
      </c>
      <c r="K7" s="47"/>
      <c r="L7" s="48" t="s">
        <v>84</v>
      </c>
      <c r="M7" s="47"/>
      <c r="N7" s="47">
        <v>0</v>
      </c>
      <c r="O7" s="47">
        <v>542100</v>
      </c>
      <c r="P7" s="47">
        <v>0</v>
      </c>
      <c r="Q7" s="47">
        <f t="shared" ref="Q7:Q15" si="0">N7+O7+P7</f>
        <v>542100</v>
      </c>
      <c r="R7" s="47"/>
      <c r="S7" s="47"/>
      <c r="T7" s="47"/>
      <c r="U7" s="47"/>
      <c r="V7" s="47"/>
      <c r="W7" s="47">
        <v>0</v>
      </c>
      <c r="X7" s="420">
        <v>0</v>
      </c>
      <c r="Y7" s="47">
        <v>0</v>
      </c>
      <c r="Z7" s="47">
        <v>0</v>
      </c>
      <c r="AA7" s="47">
        <v>0</v>
      </c>
      <c r="AB7" s="47">
        <v>0</v>
      </c>
      <c r="AC7" s="47">
        <v>0</v>
      </c>
      <c r="AD7" s="47">
        <v>0</v>
      </c>
      <c r="AE7" s="47">
        <v>0</v>
      </c>
      <c r="AF7" s="47">
        <v>0</v>
      </c>
      <c r="AG7" s="47">
        <v>0</v>
      </c>
      <c r="AH7" s="47">
        <v>0</v>
      </c>
      <c r="AI7" s="47">
        <v>0</v>
      </c>
      <c r="AJ7" s="47">
        <v>0</v>
      </c>
      <c r="AK7" s="47">
        <f t="shared" ref="AK7:AN15" si="1">R7*Y7</f>
        <v>0</v>
      </c>
      <c r="AL7" s="47">
        <f t="shared" si="1"/>
        <v>0</v>
      </c>
      <c r="AM7" s="47">
        <v>0</v>
      </c>
      <c r="AN7" s="47">
        <v>0</v>
      </c>
      <c r="AO7" s="48">
        <v>0</v>
      </c>
      <c r="AP7" s="48">
        <f t="shared" ref="AP7:AP15" si="2">AO7-Q7</f>
        <v>-542100</v>
      </c>
      <c r="AQ7" s="2"/>
      <c r="AR7" s="5"/>
      <c r="AS7" s="2"/>
      <c r="AT7" s="5"/>
      <c r="AU7" s="2"/>
      <c r="AV7" s="111"/>
    </row>
    <row r="8" spans="1:52" ht="72" customHeight="1">
      <c r="A8" s="38">
        <v>2</v>
      </c>
      <c r="B8" s="419" t="s">
        <v>82</v>
      </c>
      <c r="C8" s="47"/>
      <c r="D8" s="421" t="s">
        <v>88</v>
      </c>
      <c r="E8" s="47">
        <v>1</v>
      </c>
      <c r="F8" s="48" t="s">
        <v>89</v>
      </c>
      <c r="G8" s="421" t="s">
        <v>90</v>
      </c>
      <c r="H8" s="47" t="s">
        <v>83</v>
      </c>
      <c r="I8" s="47"/>
      <c r="J8" s="47">
        <v>1</v>
      </c>
      <c r="K8" s="47"/>
      <c r="L8" s="48" t="s">
        <v>84</v>
      </c>
      <c r="M8" s="47"/>
      <c r="N8" s="47">
        <v>720000</v>
      </c>
      <c r="O8" s="47">
        <v>383136</v>
      </c>
      <c r="P8" s="47">
        <v>0</v>
      </c>
      <c r="Q8" s="47">
        <f>N8+O8+P8</f>
        <v>1103136</v>
      </c>
      <c r="R8" s="47"/>
      <c r="S8" s="47"/>
      <c r="T8" s="47"/>
      <c r="U8" s="47"/>
      <c r="V8" s="47"/>
      <c r="W8" s="47">
        <v>0</v>
      </c>
      <c r="X8" s="47">
        <v>0</v>
      </c>
      <c r="Y8" s="47">
        <v>0</v>
      </c>
      <c r="Z8" s="47">
        <v>0</v>
      </c>
      <c r="AA8" s="47">
        <v>0</v>
      </c>
      <c r="AB8" s="47">
        <v>0</v>
      </c>
      <c r="AC8" s="47">
        <v>0</v>
      </c>
      <c r="AD8" s="47">
        <v>0</v>
      </c>
      <c r="AE8" s="47">
        <v>0</v>
      </c>
      <c r="AF8" s="47">
        <v>0</v>
      </c>
      <c r="AG8" s="47">
        <v>0</v>
      </c>
      <c r="AH8" s="47">
        <v>0</v>
      </c>
      <c r="AI8" s="47">
        <v>0</v>
      </c>
      <c r="AJ8" s="47">
        <v>0</v>
      </c>
      <c r="AK8" s="47">
        <f t="shared" si="1"/>
        <v>0</v>
      </c>
      <c r="AL8" s="47">
        <f t="shared" si="1"/>
        <v>0</v>
      </c>
      <c r="AM8" s="47">
        <v>0</v>
      </c>
      <c r="AN8" s="47">
        <f>U8*AB8</f>
        <v>0</v>
      </c>
      <c r="AO8" s="48">
        <f t="shared" ref="AO8:AO14" si="3">AK8+AL8+AM8+AN8</f>
        <v>0</v>
      </c>
      <c r="AP8" s="48">
        <f t="shared" si="2"/>
        <v>-1103136</v>
      </c>
      <c r="AQ8" s="2"/>
      <c r="AR8" s="5"/>
      <c r="AS8" s="2"/>
      <c r="AT8" s="5"/>
      <c r="AU8" s="2"/>
      <c r="AV8" s="111"/>
    </row>
    <row r="9" spans="1:52" ht="100.5" customHeight="1">
      <c r="A9" s="38">
        <v>3</v>
      </c>
      <c r="B9" s="419" t="s">
        <v>82</v>
      </c>
      <c r="C9" s="47"/>
      <c r="D9" s="421" t="s">
        <v>91</v>
      </c>
      <c r="E9" s="47">
        <v>1</v>
      </c>
      <c r="F9" s="277" t="s">
        <v>765</v>
      </c>
      <c r="G9" s="421" t="s">
        <v>91</v>
      </c>
      <c r="H9" s="47" t="s">
        <v>83</v>
      </c>
      <c r="I9" s="47"/>
      <c r="J9" s="47">
        <v>1</v>
      </c>
      <c r="K9" s="47"/>
      <c r="L9" s="48"/>
      <c r="M9" s="47"/>
      <c r="N9" s="47">
        <v>720000</v>
      </c>
      <c r="O9" s="47">
        <v>440352</v>
      </c>
      <c r="P9" s="47">
        <v>0</v>
      </c>
      <c r="Q9" s="47">
        <f t="shared" si="0"/>
        <v>1160352</v>
      </c>
      <c r="R9" s="47"/>
      <c r="S9" s="47"/>
      <c r="T9" s="47"/>
      <c r="U9" s="47"/>
      <c r="V9" s="47"/>
      <c r="W9" s="47">
        <v>0</v>
      </c>
      <c r="X9" s="47">
        <v>0</v>
      </c>
      <c r="Y9" s="47">
        <v>0</v>
      </c>
      <c r="Z9" s="47">
        <v>0</v>
      </c>
      <c r="AA9" s="47">
        <v>0</v>
      </c>
      <c r="AB9" s="47">
        <v>0</v>
      </c>
      <c r="AC9" s="47">
        <v>0</v>
      </c>
      <c r="AD9" s="47">
        <v>0</v>
      </c>
      <c r="AE9" s="47">
        <v>0</v>
      </c>
      <c r="AF9" s="47">
        <v>0</v>
      </c>
      <c r="AG9" s="47">
        <v>0</v>
      </c>
      <c r="AH9" s="47">
        <v>0</v>
      </c>
      <c r="AI9" s="47">
        <v>0</v>
      </c>
      <c r="AJ9" s="47">
        <v>0</v>
      </c>
      <c r="AK9" s="47">
        <f t="shared" si="1"/>
        <v>0</v>
      </c>
      <c r="AL9" s="47">
        <f t="shared" si="1"/>
        <v>0</v>
      </c>
      <c r="AM9" s="47">
        <v>0</v>
      </c>
      <c r="AN9" s="47">
        <f>U9*AB9</f>
        <v>0</v>
      </c>
      <c r="AO9" s="48">
        <f t="shared" si="3"/>
        <v>0</v>
      </c>
      <c r="AP9" s="48">
        <f t="shared" si="2"/>
        <v>-1160352</v>
      </c>
      <c r="AQ9" s="2"/>
      <c r="AR9" s="5"/>
      <c r="AS9" s="2"/>
      <c r="AT9" s="5"/>
      <c r="AU9" s="2"/>
      <c r="AV9" s="111"/>
    </row>
    <row r="10" spans="1:52" ht="80.25" customHeight="1">
      <c r="A10" s="38">
        <v>4</v>
      </c>
      <c r="B10" s="419" t="s">
        <v>82</v>
      </c>
      <c r="C10" s="47"/>
      <c r="D10" s="421" t="s">
        <v>92</v>
      </c>
      <c r="E10" s="47">
        <v>1</v>
      </c>
      <c r="F10" s="277">
        <v>45366</v>
      </c>
      <c r="G10" s="421" t="s">
        <v>92</v>
      </c>
      <c r="H10" s="47" t="s">
        <v>83</v>
      </c>
      <c r="I10" s="47"/>
      <c r="J10" s="47">
        <v>1</v>
      </c>
      <c r="K10" s="47"/>
      <c r="L10" s="48"/>
      <c r="M10" s="47"/>
      <c r="N10" s="47">
        <v>960000</v>
      </c>
      <c r="O10" s="47">
        <v>408660</v>
      </c>
      <c r="P10" s="47">
        <v>59000</v>
      </c>
      <c r="Q10" s="47">
        <f t="shared" si="0"/>
        <v>1427660</v>
      </c>
      <c r="R10" s="47"/>
      <c r="S10" s="47"/>
      <c r="T10" s="47"/>
      <c r="U10" s="47">
        <v>0</v>
      </c>
      <c r="V10" s="47"/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0</v>
      </c>
      <c r="AC10" s="47">
        <v>0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f t="shared" si="1"/>
        <v>0</v>
      </c>
      <c r="AL10" s="47">
        <f t="shared" si="1"/>
        <v>0</v>
      </c>
      <c r="AM10" s="47">
        <v>0</v>
      </c>
      <c r="AN10" s="47">
        <f t="shared" si="1"/>
        <v>0</v>
      </c>
      <c r="AO10" s="48">
        <f t="shared" si="3"/>
        <v>0</v>
      </c>
      <c r="AP10" s="48">
        <f t="shared" si="2"/>
        <v>-1427660</v>
      </c>
      <c r="AQ10" s="2"/>
      <c r="AR10" s="5"/>
      <c r="AS10" s="2"/>
      <c r="AT10" s="5"/>
      <c r="AU10" s="2"/>
      <c r="AV10" s="111"/>
    </row>
    <row r="11" spans="1:52" ht="57.75" customHeight="1">
      <c r="A11" s="38">
        <v>5</v>
      </c>
      <c r="B11" s="419" t="s">
        <v>82</v>
      </c>
      <c r="C11" s="47"/>
      <c r="D11" s="48" t="s">
        <v>93</v>
      </c>
      <c r="E11" s="47">
        <v>1</v>
      </c>
      <c r="F11" s="48" t="s">
        <v>766</v>
      </c>
      <c r="G11" s="48" t="s">
        <v>94</v>
      </c>
      <c r="H11" s="47" t="s">
        <v>83</v>
      </c>
      <c r="I11" s="47"/>
      <c r="J11" s="47">
        <v>1</v>
      </c>
      <c r="K11" s="47"/>
      <c r="L11" s="48" t="s">
        <v>84</v>
      </c>
      <c r="M11" s="47"/>
      <c r="N11" s="47">
        <v>594000</v>
      </c>
      <c r="O11" s="47">
        <v>325000</v>
      </c>
      <c r="P11" s="47">
        <v>0</v>
      </c>
      <c r="Q11" s="47">
        <f t="shared" si="0"/>
        <v>919000</v>
      </c>
      <c r="R11" s="47">
        <v>0</v>
      </c>
      <c r="S11" s="47">
        <v>0</v>
      </c>
      <c r="T11" s="47">
        <v>0</v>
      </c>
      <c r="U11" s="47">
        <v>0</v>
      </c>
      <c r="V11" s="47"/>
      <c r="W11" s="47">
        <v>0</v>
      </c>
      <c r="X11" s="47">
        <v>0</v>
      </c>
      <c r="Y11" s="47">
        <v>0</v>
      </c>
      <c r="Z11" s="47">
        <v>0</v>
      </c>
      <c r="AA11" s="47">
        <v>0</v>
      </c>
      <c r="AB11" s="47">
        <v>0</v>
      </c>
      <c r="AC11" s="47">
        <v>0</v>
      </c>
      <c r="AD11" s="47">
        <v>0</v>
      </c>
      <c r="AE11" s="47">
        <v>0</v>
      </c>
      <c r="AF11" s="47">
        <v>0</v>
      </c>
      <c r="AG11" s="47">
        <v>0</v>
      </c>
      <c r="AH11" s="47">
        <v>0</v>
      </c>
      <c r="AI11" s="47">
        <v>0</v>
      </c>
      <c r="AJ11" s="47">
        <v>0</v>
      </c>
      <c r="AK11" s="47">
        <f t="shared" si="1"/>
        <v>0</v>
      </c>
      <c r="AL11" s="47">
        <f t="shared" si="1"/>
        <v>0</v>
      </c>
      <c r="AM11" s="47">
        <f t="shared" si="1"/>
        <v>0</v>
      </c>
      <c r="AN11" s="47">
        <f t="shared" si="1"/>
        <v>0</v>
      </c>
      <c r="AO11" s="48">
        <f t="shared" si="3"/>
        <v>0</v>
      </c>
      <c r="AP11" s="48">
        <f t="shared" si="2"/>
        <v>-919000</v>
      </c>
      <c r="AQ11" s="2"/>
      <c r="AR11" s="5"/>
      <c r="AS11" s="2"/>
      <c r="AT11" s="5"/>
      <c r="AU11" s="2"/>
      <c r="AV11" s="111"/>
    </row>
    <row r="12" spans="1:52" ht="63" customHeight="1">
      <c r="A12" s="38">
        <v>6</v>
      </c>
      <c r="B12" s="419" t="s">
        <v>82</v>
      </c>
      <c r="C12" s="47"/>
      <c r="D12" s="48" t="s">
        <v>95</v>
      </c>
      <c r="E12" s="47">
        <v>1</v>
      </c>
      <c r="F12" s="48" t="s">
        <v>767</v>
      </c>
      <c r="G12" s="48" t="s">
        <v>95</v>
      </c>
      <c r="H12" s="47" t="s">
        <v>83</v>
      </c>
      <c r="I12" s="47"/>
      <c r="J12" s="47">
        <v>1</v>
      </c>
      <c r="K12" s="47"/>
      <c r="L12" s="48"/>
      <c r="M12" s="47"/>
      <c r="N12" s="47">
        <v>900000</v>
      </c>
      <c r="O12" s="47">
        <v>875700</v>
      </c>
      <c r="P12" s="47">
        <v>390500</v>
      </c>
      <c r="Q12" s="47">
        <f t="shared" si="0"/>
        <v>2166200</v>
      </c>
      <c r="R12" s="47">
        <v>0</v>
      </c>
      <c r="S12" s="47">
        <v>0</v>
      </c>
      <c r="T12" s="47">
        <v>0</v>
      </c>
      <c r="U12" s="47">
        <v>0</v>
      </c>
      <c r="V12" s="47"/>
      <c r="W12" s="47">
        <v>0</v>
      </c>
      <c r="X12" s="47">
        <v>0</v>
      </c>
      <c r="Y12" s="47">
        <v>0</v>
      </c>
      <c r="Z12" s="47">
        <v>1800</v>
      </c>
      <c r="AA12" s="47">
        <v>120</v>
      </c>
      <c r="AB12" s="47">
        <v>1300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f t="shared" si="1"/>
        <v>0</v>
      </c>
      <c r="AL12" s="47">
        <f t="shared" si="1"/>
        <v>0</v>
      </c>
      <c r="AM12" s="47">
        <f t="shared" si="1"/>
        <v>0</v>
      </c>
      <c r="AN12" s="47">
        <f t="shared" si="1"/>
        <v>0</v>
      </c>
      <c r="AO12" s="48">
        <f t="shared" si="3"/>
        <v>0</v>
      </c>
      <c r="AP12" s="48">
        <f t="shared" si="2"/>
        <v>-2166200</v>
      </c>
      <c r="AQ12" s="2"/>
      <c r="AR12" s="5"/>
      <c r="AS12" s="2"/>
      <c r="AT12" s="5"/>
      <c r="AU12" s="2"/>
      <c r="AV12" s="111"/>
    </row>
    <row r="13" spans="1:52" ht="105.75" customHeight="1">
      <c r="A13" s="38">
        <v>7</v>
      </c>
      <c r="B13" s="419" t="s">
        <v>82</v>
      </c>
      <c r="C13" s="47"/>
      <c r="D13" s="48" t="s">
        <v>96</v>
      </c>
      <c r="E13" s="47">
        <v>1</v>
      </c>
      <c r="F13" s="48" t="s">
        <v>617</v>
      </c>
      <c r="G13" s="48" t="s">
        <v>96</v>
      </c>
      <c r="H13" s="47" t="s">
        <v>83</v>
      </c>
      <c r="I13" s="47"/>
      <c r="J13" s="47">
        <v>1</v>
      </c>
      <c r="K13" s="47"/>
      <c r="L13" s="48"/>
      <c r="M13" s="47"/>
      <c r="N13" s="47">
        <v>936000</v>
      </c>
      <c r="O13" s="47">
        <v>472044</v>
      </c>
      <c r="P13" s="47">
        <v>0</v>
      </c>
      <c r="Q13" s="47">
        <f t="shared" si="0"/>
        <v>1408044</v>
      </c>
      <c r="R13" s="47">
        <v>0</v>
      </c>
      <c r="S13" s="47">
        <v>0</v>
      </c>
      <c r="T13" s="47">
        <v>0</v>
      </c>
      <c r="U13" s="47">
        <v>0</v>
      </c>
      <c r="V13" s="47"/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550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f t="shared" si="1"/>
        <v>0</v>
      </c>
      <c r="AL13" s="47">
        <f t="shared" si="1"/>
        <v>0</v>
      </c>
      <c r="AM13" s="47">
        <f t="shared" si="1"/>
        <v>0</v>
      </c>
      <c r="AN13" s="47">
        <f t="shared" si="1"/>
        <v>0</v>
      </c>
      <c r="AO13" s="48">
        <f t="shared" si="3"/>
        <v>0</v>
      </c>
      <c r="AP13" s="48">
        <f t="shared" si="2"/>
        <v>-1408044</v>
      </c>
      <c r="AQ13" s="2"/>
      <c r="AR13" s="5"/>
      <c r="AS13" s="2"/>
      <c r="AT13" s="5"/>
      <c r="AU13" s="2"/>
      <c r="AV13" s="111"/>
    </row>
    <row r="14" spans="1:52" ht="72" customHeight="1">
      <c r="A14" s="38">
        <v>8</v>
      </c>
      <c r="B14" s="419" t="s">
        <v>82</v>
      </c>
      <c r="C14" s="47"/>
      <c r="D14" s="48" t="s">
        <v>97</v>
      </c>
      <c r="E14" s="47">
        <v>1</v>
      </c>
      <c r="F14" s="277" t="s">
        <v>768</v>
      </c>
      <c r="G14" s="48" t="s">
        <v>97</v>
      </c>
      <c r="H14" s="47" t="s">
        <v>83</v>
      </c>
      <c r="I14" s="47"/>
      <c r="J14" s="47">
        <v>1</v>
      </c>
      <c r="K14" s="47"/>
      <c r="L14" s="48"/>
      <c r="M14" s="47"/>
      <c r="N14" s="47">
        <v>702000</v>
      </c>
      <c r="O14" s="47">
        <v>565000</v>
      </c>
      <c r="P14" s="47">
        <v>210000</v>
      </c>
      <c r="Q14" s="47">
        <f t="shared" si="0"/>
        <v>1477000</v>
      </c>
      <c r="R14" s="47">
        <v>0</v>
      </c>
      <c r="S14" s="47">
        <v>0</v>
      </c>
      <c r="T14" s="47">
        <v>0</v>
      </c>
      <c r="U14" s="47">
        <v>0</v>
      </c>
      <c r="V14" s="47"/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2600</v>
      </c>
      <c r="AC14" s="47">
        <v>0</v>
      </c>
      <c r="AD14" s="47">
        <v>0</v>
      </c>
      <c r="AE14" s="47">
        <v>0</v>
      </c>
      <c r="AF14" s="47">
        <v>0</v>
      </c>
      <c r="AG14" s="47">
        <v>0</v>
      </c>
      <c r="AH14" s="47">
        <v>0</v>
      </c>
      <c r="AI14" s="47">
        <v>0</v>
      </c>
      <c r="AJ14" s="47">
        <v>0</v>
      </c>
      <c r="AK14" s="47">
        <f t="shared" si="1"/>
        <v>0</v>
      </c>
      <c r="AL14" s="47">
        <f t="shared" si="1"/>
        <v>0</v>
      </c>
      <c r="AM14" s="47">
        <f t="shared" si="1"/>
        <v>0</v>
      </c>
      <c r="AN14" s="47">
        <f t="shared" si="1"/>
        <v>0</v>
      </c>
      <c r="AO14" s="48">
        <f t="shared" si="3"/>
        <v>0</v>
      </c>
      <c r="AP14" s="48">
        <f t="shared" si="2"/>
        <v>-1477000</v>
      </c>
      <c r="AQ14" s="2"/>
      <c r="AR14" s="5"/>
      <c r="AS14" s="2"/>
      <c r="AT14" s="5"/>
      <c r="AU14" s="2"/>
      <c r="AV14" s="111"/>
    </row>
    <row r="15" spans="1:52" ht="76.5" customHeight="1">
      <c r="A15" s="38">
        <v>9</v>
      </c>
      <c r="B15" s="419" t="s">
        <v>82</v>
      </c>
      <c r="C15" s="47"/>
      <c r="D15" s="48" t="s">
        <v>98</v>
      </c>
      <c r="E15" s="47">
        <v>1</v>
      </c>
      <c r="F15" s="277" t="s">
        <v>769</v>
      </c>
      <c r="G15" s="48" t="s">
        <v>98</v>
      </c>
      <c r="H15" s="47" t="s">
        <v>83</v>
      </c>
      <c r="I15" s="47"/>
      <c r="J15" s="47">
        <v>1</v>
      </c>
      <c r="K15" s="47"/>
      <c r="L15" s="48"/>
      <c r="M15" s="47"/>
      <c r="N15" s="47">
        <v>900000</v>
      </c>
      <c r="O15" s="47">
        <v>1133406</v>
      </c>
      <c r="P15" s="47">
        <v>200850</v>
      </c>
      <c r="Q15" s="47">
        <f t="shared" si="0"/>
        <v>2234256</v>
      </c>
      <c r="R15" s="47">
        <v>0</v>
      </c>
      <c r="S15" s="47">
        <v>0</v>
      </c>
      <c r="T15" s="47">
        <v>0</v>
      </c>
      <c r="U15" s="47">
        <v>0</v>
      </c>
      <c r="V15" s="47"/>
      <c r="W15" s="47">
        <v>0</v>
      </c>
      <c r="X15" s="422">
        <v>0</v>
      </c>
      <c r="Y15" s="47">
        <v>0</v>
      </c>
      <c r="Z15" s="47">
        <v>1890</v>
      </c>
      <c r="AA15" s="47">
        <v>110</v>
      </c>
      <c r="AB15" s="47">
        <v>1300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8">
        <v>0</v>
      </c>
      <c r="AJ15" s="47">
        <v>0</v>
      </c>
      <c r="AK15" s="47">
        <f t="shared" si="1"/>
        <v>0</v>
      </c>
      <c r="AL15" s="47">
        <f t="shared" si="1"/>
        <v>0</v>
      </c>
      <c r="AM15" s="47">
        <v>0</v>
      </c>
      <c r="AN15" s="47">
        <v>0</v>
      </c>
      <c r="AO15" s="48">
        <v>0</v>
      </c>
      <c r="AP15" s="48">
        <f t="shared" si="2"/>
        <v>-2234256</v>
      </c>
      <c r="AQ15" s="2"/>
      <c r="AR15" s="5"/>
      <c r="AS15" s="2"/>
      <c r="AT15" s="5"/>
      <c r="AU15" s="2"/>
      <c r="AV15" s="111"/>
    </row>
    <row r="16" spans="1:52" ht="99" customHeight="1">
      <c r="A16" s="38">
        <v>10</v>
      </c>
      <c r="B16" s="423" t="s">
        <v>82</v>
      </c>
      <c r="C16" s="149"/>
      <c r="D16" s="202" t="s">
        <v>770</v>
      </c>
      <c r="E16" s="149">
        <v>1</v>
      </c>
      <c r="F16" s="149" t="s">
        <v>771</v>
      </c>
      <c r="G16" s="202" t="s">
        <v>772</v>
      </c>
      <c r="H16" s="149" t="s">
        <v>83</v>
      </c>
      <c r="I16" s="149"/>
      <c r="J16" s="149">
        <v>1</v>
      </c>
      <c r="K16" s="149"/>
      <c r="L16" s="149"/>
      <c r="M16" s="149"/>
      <c r="N16" s="149">
        <v>1104000</v>
      </c>
      <c r="O16" s="149">
        <v>227360</v>
      </c>
      <c r="P16" s="149">
        <v>120000</v>
      </c>
      <c r="Q16" s="149">
        <f>N16+O16+P16</f>
        <v>1451360</v>
      </c>
      <c r="R16" s="47">
        <v>0</v>
      </c>
      <c r="S16" s="47">
        <v>0</v>
      </c>
      <c r="T16" s="47">
        <v>0</v>
      </c>
      <c r="U16" s="47">
        <v>0</v>
      </c>
      <c r="V16" s="149"/>
      <c r="W16" s="47">
        <v>0</v>
      </c>
      <c r="X16" s="422">
        <v>0</v>
      </c>
      <c r="Y16" s="47">
        <v>0</v>
      </c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>
        <f>R16*Y16</f>
        <v>0</v>
      </c>
      <c r="AL16" s="149">
        <f>S16*Z16</f>
        <v>0</v>
      </c>
      <c r="AM16" s="149">
        <f>T16*AA16</f>
        <v>0</v>
      </c>
      <c r="AN16" s="149">
        <f>U16*AB16</f>
        <v>0</v>
      </c>
      <c r="AO16" s="48">
        <f>AK16+AL16+AM16+AN16</f>
        <v>0</v>
      </c>
      <c r="AP16" s="48">
        <f>AO16-Q16</f>
        <v>-1451360</v>
      </c>
      <c r="AQ16" s="1"/>
      <c r="AR16" s="1"/>
      <c r="AS16" s="1"/>
      <c r="AT16" s="1"/>
      <c r="AU16" s="1"/>
      <c r="AV16" s="1"/>
    </row>
    <row r="17" spans="1:48" ht="95.25" customHeight="1">
      <c r="A17" s="38">
        <v>11</v>
      </c>
      <c r="B17" s="424" t="s">
        <v>618</v>
      </c>
      <c r="C17" s="39">
        <v>1</v>
      </c>
      <c r="D17" s="7" t="s">
        <v>619</v>
      </c>
      <c r="E17" s="39">
        <v>1</v>
      </c>
      <c r="F17" s="7" t="s">
        <v>620</v>
      </c>
      <c r="G17" s="7" t="s">
        <v>621</v>
      </c>
      <c r="H17" s="40" t="s">
        <v>60</v>
      </c>
      <c r="I17" s="39" t="s">
        <v>128</v>
      </c>
      <c r="J17" s="39">
        <v>0</v>
      </c>
      <c r="K17" s="39">
        <v>0</v>
      </c>
      <c r="L17" s="39" t="s">
        <v>128</v>
      </c>
      <c r="M17" s="39">
        <v>0</v>
      </c>
      <c r="N17" s="41">
        <v>0</v>
      </c>
      <c r="O17" s="41">
        <v>0</v>
      </c>
      <c r="P17" s="41">
        <v>0</v>
      </c>
      <c r="Q17" s="42">
        <f>N17+O17+P17</f>
        <v>0</v>
      </c>
      <c r="R17" s="43">
        <v>0</v>
      </c>
      <c r="S17" s="43">
        <v>0</v>
      </c>
      <c r="T17" s="43">
        <v>0</v>
      </c>
      <c r="U17" s="10" t="s">
        <v>879</v>
      </c>
      <c r="V17" s="39">
        <v>294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7" t="s">
        <v>622</v>
      </c>
      <c r="AG17" s="44">
        <v>0</v>
      </c>
      <c r="AH17" s="44">
        <v>0</v>
      </c>
      <c r="AI17" s="44">
        <v>0</v>
      </c>
      <c r="AJ17" s="44">
        <v>0</v>
      </c>
      <c r="AK17" s="45">
        <f>R17*Y17</f>
        <v>0</v>
      </c>
      <c r="AL17" s="45">
        <f t="shared" ref="AL17:AN26" si="4">S17*Z17</f>
        <v>0</v>
      </c>
      <c r="AM17" s="45">
        <f t="shared" si="4"/>
        <v>0</v>
      </c>
      <c r="AN17" s="45">
        <v>0</v>
      </c>
      <c r="AO17" s="13">
        <f>AK17+AL17+AM17+AN17</f>
        <v>0</v>
      </c>
      <c r="AP17" s="62">
        <v>0</v>
      </c>
      <c r="AQ17" s="1"/>
      <c r="AR17" s="1"/>
      <c r="AS17" s="1"/>
      <c r="AT17" s="1"/>
      <c r="AU17" s="1"/>
      <c r="AV17" s="1"/>
    </row>
    <row r="18" spans="1:48" s="343" customFormat="1" ht="95.25" customHeight="1" thickBot="1">
      <c r="A18" s="38">
        <v>12</v>
      </c>
      <c r="B18" s="424" t="s">
        <v>618</v>
      </c>
      <c r="C18" s="39">
        <v>1</v>
      </c>
      <c r="D18" s="7" t="s">
        <v>539</v>
      </c>
      <c r="E18" s="39">
        <v>1</v>
      </c>
      <c r="F18" s="7" t="s">
        <v>620</v>
      </c>
      <c r="G18" s="39" t="s">
        <v>623</v>
      </c>
      <c r="H18" s="40" t="s">
        <v>60</v>
      </c>
      <c r="I18" s="39">
        <v>0</v>
      </c>
      <c r="J18" s="39">
        <v>0</v>
      </c>
      <c r="K18" s="39">
        <v>0</v>
      </c>
      <c r="L18" s="39">
        <v>0</v>
      </c>
      <c r="M18" s="39" t="s">
        <v>128</v>
      </c>
      <c r="N18" s="41">
        <v>0</v>
      </c>
      <c r="O18" s="41">
        <v>0</v>
      </c>
      <c r="P18" s="41">
        <v>0</v>
      </c>
      <c r="Q18" s="42">
        <f t="shared" ref="Q18:Q25" si="5">N18+O18+P18</f>
        <v>0</v>
      </c>
      <c r="R18" s="43">
        <v>0</v>
      </c>
      <c r="S18" s="43">
        <v>0</v>
      </c>
      <c r="T18" s="43">
        <v>0</v>
      </c>
      <c r="U18" s="43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7" t="s">
        <v>624</v>
      </c>
      <c r="AG18" s="44">
        <v>0</v>
      </c>
      <c r="AH18" s="44">
        <v>0</v>
      </c>
      <c r="AI18" s="44">
        <v>0</v>
      </c>
      <c r="AJ18" s="44">
        <v>0</v>
      </c>
      <c r="AK18" s="45">
        <f t="shared" ref="AK18" si="6">R18*Y18</f>
        <v>0</v>
      </c>
      <c r="AL18" s="45">
        <f t="shared" si="4"/>
        <v>0</v>
      </c>
      <c r="AM18" s="45">
        <f t="shared" si="4"/>
        <v>0</v>
      </c>
      <c r="AN18" s="45">
        <f t="shared" si="4"/>
        <v>0</v>
      </c>
      <c r="AO18" s="13">
        <f t="shared" ref="AO18" si="7">AK18+AL18+AM18+AN18</f>
        <v>0</v>
      </c>
      <c r="AP18" s="62">
        <v>0</v>
      </c>
      <c r="AQ18" s="341"/>
      <c r="AR18" s="341"/>
      <c r="AS18" s="341"/>
      <c r="AT18" s="341"/>
      <c r="AU18" s="341"/>
      <c r="AV18" s="341"/>
    </row>
    <row r="19" spans="1:48" ht="95.25" customHeight="1">
      <c r="A19" s="38">
        <v>13</v>
      </c>
      <c r="B19" s="425" t="s">
        <v>57</v>
      </c>
      <c r="C19" s="373">
        <v>10</v>
      </c>
      <c r="D19" s="372" t="s">
        <v>58</v>
      </c>
      <c r="E19" s="373">
        <v>1</v>
      </c>
      <c r="F19" s="374">
        <v>43656</v>
      </c>
      <c r="G19" s="375" t="s">
        <v>59</v>
      </c>
      <c r="H19" s="376" t="s">
        <v>60</v>
      </c>
      <c r="I19" s="377">
        <v>0</v>
      </c>
      <c r="J19" s="377">
        <v>0</v>
      </c>
      <c r="K19" s="377">
        <v>0</v>
      </c>
      <c r="L19" s="372" t="s">
        <v>773</v>
      </c>
      <c r="M19" s="373"/>
      <c r="N19" s="378">
        <v>600000</v>
      </c>
      <c r="O19" s="378">
        <v>735000</v>
      </c>
      <c r="P19" s="378">
        <v>0</v>
      </c>
      <c r="Q19" s="379">
        <f t="shared" si="5"/>
        <v>1335000</v>
      </c>
      <c r="R19" s="380">
        <v>0</v>
      </c>
      <c r="S19" s="380">
        <v>0</v>
      </c>
      <c r="T19" s="380">
        <v>0</v>
      </c>
      <c r="U19" s="380">
        <v>0</v>
      </c>
      <c r="V19" s="373">
        <v>10695</v>
      </c>
      <c r="W19" s="373">
        <v>0</v>
      </c>
      <c r="X19" s="373">
        <v>0</v>
      </c>
      <c r="Y19" s="373">
        <v>0</v>
      </c>
      <c r="Z19" s="373">
        <v>0</v>
      </c>
      <c r="AA19" s="373">
        <v>0</v>
      </c>
      <c r="AB19" s="373"/>
      <c r="AC19" s="373">
        <v>0</v>
      </c>
      <c r="AD19" s="373">
        <v>0</v>
      </c>
      <c r="AE19" s="373">
        <v>0</v>
      </c>
      <c r="AF19" s="380">
        <v>0</v>
      </c>
      <c r="AG19" s="381">
        <v>0</v>
      </c>
      <c r="AH19" s="381">
        <v>0</v>
      </c>
      <c r="AI19" s="381">
        <v>0</v>
      </c>
      <c r="AJ19" s="381">
        <v>0</v>
      </c>
      <c r="AK19" s="382">
        <f>R19*Y19</f>
        <v>0</v>
      </c>
      <c r="AL19" s="382">
        <f t="shared" si="4"/>
        <v>0</v>
      </c>
      <c r="AM19" s="382">
        <v>0</v>
      </c>
      <c r="AN19" s="382">
        <f t="shared" si="4"/>
        <v>0</v>
      </c>
      <c r="AO19" s="383">
        <f>AK19+AL19+AM19+AN19</f>
        <v>0</v>
      </c>
      <c r="AP19" s="426">
        <f>AO19-Q19</f>
        <v>-1335000</v>
      </c>
      <c r="AQ19" s="427" t="s">
        <v>74</v>
      </c>
      <c r="AR19" s="1"/>
      <c r="AS19" s="1"/>
      <c r="AT19" s="1"/>
      <c r="AU19" s="1"/>
      <c r="AV19" s="1"/>
    </row>
    <row r="20" spans="1:48" ht="95.25" customHeight="1">
      <c r="A20" s="38">
        <v>14</v>
      </c>
      <c r="B20" s="425" t="s">
        <v>57</v>
      </c>
      <c r="C20" s="377"/>
      <c r="D20" s="372" t="s">
        <v>61</v>
      </c>
      <c r="E20" s="373">
        <v>2</v>
      </c>
      <c r="F20" s="374">
        <v>43738</v>
      </c>
      <c r="G20" s="384" t="s">
        <v>62</v>
      </c>
      <c r="H20" s="376" t="s">
        <v>60</v>
      </c>
      <c r="I20" s="377">
        <v>0</v>
      </c>
      <c r="J20" s="377">
        <v>0</v>
      </c>
      <c r="K20" s="377">
        <v>0</v>
      </c>
      <c r="L20" s="372" t="s">
        <v>774</v>
      </c>
      <c r="M20" s="373"/>
      <c r="N20" s="378">
        <v>250000</v>
      </c>
      <c r="O20" s="378">
        <v>700000</v>
      </c>
      <c r="P20" s="378">
        <v>0</v>
      </c>
      <c r="Q20" s="379">
        <f t="shared" si="5"/>
        <v>950000</v>
      </c>
      <c r="R20" s="380">
        <v>0</v>
      </c>
      <c r="S20" s="380">
        <v>0</v>
      </c>
      <c r="T20" s="380">
        <v>0</v>
      </c>
      <c r="U20" s="380">
        <v>0</v>
      </c>
      <c r="V20" s="373"/>
      <c r="W20" s="373">
        <v>0</v>
      </c>
      <c r="X20" s="373"/>
      <c r="Y20" s="373">
        <v>0</v>
      </c>
      <c r="Z20" s="373">
        <v>0</v>
      </c>
      <c r="AA20" s="373">
        <v>0</v>
      </c>
      <c r="AB20" s="373"/>
      <c r="AC20" s="373">
        <v>0</v>
      </c>
      <c r="AD20" s="373">
        <v>0</v>
      </c>
      <c r="AE20" s="373">
        <v>0</v>
      </c>
      <c r="AF20" s="380">
        <v>0</v>
      </c>
      <c r="AG20" s="381">
        <v>0</v>
      </c>
      <c r="AH20" s="381">
        <v>0</v>
      </c>
      <c r="AI20" s="381">
        <v>0</v>
      </c>
      <c r="AJ20" s="381">
        <v>0</v>
      </c>
      <c r="AK20" s="382">
        <f t="shared" ref="AK20:AK25" si="8">R20*Y20</f>
        <v>0</v>
      </c>
      <c r="AL20" s="382">
        <f t="shared" si="4"/>
        <v>0</v>
      </c>
      <c r="AM20" s="382">
        <f t="shared" si="4"/>
        <v>0</v>
      </c>
      <c r="AN20" s="382">
        <f t="shared" si="4"/>
        <v>0</v>
      </c>
      <c r="AO20" s="383">
        <f t="shared" ref="AO20:AO25" si="9">AK20+AL20+AM20+AN20</f>
        <v>0</v>
      </c>
      <c r="AP20" s="426">
        <f t="shared" ref="AP20:AP25" si="10">AO20-Q20</f>
        <v>-950000</v>
      </c>
      <c r="AQ20" s="428" t="s">
        <v>880</v>
      </c>
      <c r="AR20" s="1"/>
      <c r="AS20" s="1"/>
      <c r="AT20" s="1"/>
      <c r="AU20" s="1"/>
      <c r="AV20" s="1"/>
    </row>
    <row r="21" spans="1:48" ht="95.25" customHeight="1">
      <c r="A21" s="38">
        <v>15</v>
      </c>
      <c r="B21" s="425" t="s">
        <v>57</v>
      </c>
      <c r="C21" s="377"/>
      <c r="D21" s="372" t="s">
        <v>63</v>
      </c>
      <c r="E21" s="373">
        <v>1</v>
      </c>
      <c r="F21" s="377" t="s">
        <v>64</v>
      </c>
      <c r="G21" s="385" t="s">
        <v>65</v>
      </c>
      <c r="H21" s="376" t="s">
        <v>60</v>
      </c>
      <c r="I21" s="377">
        <v>0</v>
      </c>
      <c r="J21" s="377">
        <v>0</v>
      </c>
      <c r="K21" s="377">
        <v>0</v>
      </c>
      <c r="L21" s="372" t="s">
        <v>775</v>
      </c>
      <c r="M21" s="373"/>
      <c r="N21" s="378">
        <v>80000</v>
      </c>
      <c r="O21" s="378">
        <v>165000</v>
      </c>
      <c r="P21" s="378">
        <v>0</v>
      </c>
      <c r="Q21" s="379">
        <f t="shared" si="5"/>
        <v>245000</v>
      </c>
      <c r="R21" s="380">
        <v>0</v>
      </c>
      <c r="S21" s="380">
        <v>0</v>
      </c>
      <c r="T21" s="380">
        <v>0</v>
      </c>
      <c r="U21" s="380">
        <v>0</v>
      </c>
      <c r="V21" s="373">
        <v>10695</v>
      </c>
      <c r="W21" s="373">
        <v>10695</v>
      </c>
      <c r="X21" s="373">
        <v>100</v>
      </c>
      <c r="Y21" s="373">
        <v>0</v>
      </c>
      <c r="Z21" s="373">
        <v>0</v>
      </c>
      <c r="AA21" s="373">
        <v>0</v>
      </c>
      <c r="AB21" s="373">
        <v>8</v>
      </c>
      <c r="AC21" s="373">
        <v>0</v>
      </c>
      <c r="AD21" s="373">
        <v>0</v>
      </c>
      <c r="AE21" s="373">
        <v>0</v>
      </c>
      <c r="AF21" s="380">
        <v>80000</v>
      </c>
      <c r="AG21" s="381">
        <v>0</v>
      </c>
      <c r="AH21" s="381">
        <v>0</v>
      </c>
      <c r="AI21" s="381">
        <v>0</v>
      </c>
      <c r="AJ21" s="381">
        <v>0</v>
      </c>
      <c r="AK21" s="382">
        <f t="shared" si="8"/>
        <v>0</v>
      </c>
      <c r="AL21" s="382">
        <f t="shared" si="4"/>
        <v>0</v>
      </c>
      <c r="AM21" s="382">
        <f t="shared" si="4"/>
        <v>0</v>
      </c>
      <c r="AN21" s="382">
        <f t="shared" si="4"/>
        <v>0</v>
      </c>
      <c r="AO21" s="383">
        <f t="shared" si="9"/>
        <v>0</v>
      </c>
      <c r="AP21" s="426">
        <f t="shared" si="10"/>
        <v>-245000</v>
      </c>
      <c r="AQ21" s="428" t="s">
        <v>75</v>
      </c>
      <c r="AR21" s="1"/>
      <c r="AS21" s="1"/>
      <c r="AT21" s="1"/>
      <c r="AU21" s="1"/>
      <c r="AV21" s="1"/>
    </row>
    <row r="22" spans="1:48" ht="95.25" customHeight="1">
      <c r="A22" s="38">
        <v>16</v>
      </c>
      <c r="B22" s="425" t="s">
        <v>57</v>
      </c>
      <c r="C22" s="377"/>
      <c r="D22" s="372" t="s">
        <v>76</v>
      </c>
      <c r="E22" s="373">
        <v>1</v>
      </c>
      <c r="F22" s="377" t="s">
        <v>66</v>
      </c>
      <c r="G22" s="385" t="s">
        <v>67</v>
      </c>
      <c r="H22" s="376" t="s">
        <v>60</v>
      </c>
      <c r="I22" s="377">
        <v>0</v>
      </c>
      <c r="J22" s="377">
        <v>0</v>
      </c>
      <c r="K22" s="377">
        <v>0</v>
      </c>
      <c r="L22" s="372" t="s">
        <v>775</v>
      </c>
      <c r="M22" s="373"/>
      <c r="N22" s="378">
        <v>150000</v>
      </c>
      <c r="O22" s="378">
        <v>450000</v>
      </c>
      <c r="P22" s="378">
        <v>0</v>
      </c>
      <c r="Q22" s="379">
        <f t="shared" si="5"/>
        <v>600000</v>
      </c>
      <c r="R22" s="380">
        <v>0</v>
      </c>
      <c r="S22" s="380">
        <v>0</v>
      </c>
      <c r="T22" s="380">
        <v>0</v>
      </c>
      <c r="U22" s="380">
        <v>0</v>
      </c>
      <c r="V22" s="373"/>
      <c r="W22" s="373">
        <v>0</v>
      </c>
      <c r="X22" s="373"/>
      <c r="Y22" s="373">
        <v>0</v>
      </c>
      <c r="Z22" s="373">
        <v>0</v>
      </c>
      <c r="AA22" s="373">
        <v>0</v>
      </c>
      <c r="AB22" s="373"/>
      <c r="AC22" s="373">
        <v>0</v>
      </c>
      <c r="AD22" s="373">
        <v>0</v>
      </c>
      <c r="AE22" s="373">
        <v>0</v>
      </c>
      <c r="AF22" s="380">
        <v>0</v>
      </c>
      <c r="AG22" s="381">
        <v>0</v>
      </c>
      <c r="AH22" s="381">
        <v>0</v>
      </c>
      <c r="AI22" s="381">
        <v>0</v>
      </c>
      <c r="AJ22" s="381">
        <v>2120000</v>
      </c>
      <c r="AK22" s="382">
        <f t="shared" si="8"/>
        <v>0</v>
      </c>
      <c r="AL22" s="382">
        <f t="shared" si="4"/>
        <v>0</v>
      </c>
      <c r="AM22" s="382">
        <f t="shared" si="4"/>
        <v>0</v>
      </c>
      <c r="AN22" s="382">
        <f t="shared" si="4"/>
        <v>0</v>
      </c>
      <c r="AO22" s="383">
        <f t="shared" si="9"/>
        <v>0</v>
      </c>
      <c r="AP22" s="426">
        <v>300000</v>
      </c>
      <c r="AQ22" s="428" t="s">
        <v>77</v>
      </c>
      <c r="AR22" s="1"/>
      <c r="AS22" s="1"/>
      <c r="AT22" s="1"/>
      <c r="AU22" s="1"/>
      <c r="AV22" s="1"/>
    </row>
    <row r="23" spans="1:48" ht="95.25" customHeight="1">
      <c r="A23" s="38">
        <v>17</v>
      </c>
      <c r="B23" s="425" t="s">
        <v>57</v>
      </c>
      <c r="C23" s="377"/>
      <c r="D23" s="372" t="s">
        <v>78</v>
      </c>
      <c r="E23" s="373">
        <v>1</v>
      </c>
      <c r="F23" s="377" t="s">
        <v>68</v>
      </c>
      <c r="G23" s="385" t="s">
        <v>69</v>
      </c>
      <c r="H23" s="376" t="s">
        <v>60</v>
      </c>
      <c r="I23" s="377">
        <v>0</v>
      </c>
      <c r="J23" s="377">
        <v>0</v>
      </c>
      <c r="K23" s="377">
        <v>0</v>
      </c>
      <c r="L23" s="372" t="s">
        <v>774</v>
      </c>
      <c r="M23" s="373"/>
      <c r="N23" s="378">
        <v>80000</v>
      </c>
      <c r="O23" s="378">
        <v>450000</v>
      </c>
      <c r="P23" s="378">
        <v>0</v>
      </c>
      <c r="Q23" s="379">
        <f t="shared" si="5"/>
        <v>530000</v>
      </c>
      <c r="R23" s="380">
        <v>0</v>
      </c>
      <c r="S23" s="380">
        <v>0</v>
      </c>
      <c r="T23" s="380">
        <v>0</v>
      </c>
      <c r="U23" s="380">
        <v>0</v>
      </c>
      <c r="V23" s="373"/>
      <c r="W23" s="373">
        <v>0</v>
      </c>
      <c r="X23" s="373"/>
      <c r="Y23" s="373">
        <v>0</v>
      </c>
      <c r="Z23" s="373">
        <v>0</v>
      </c>
      <c r="AA23" s="373">
        <v>0</v>
      </c>
      <c r="AB23" s="373"/>
      <c r="AC23" s="373">
        <v>0</v>
      </c>
      <c r="AD23" s="373">
        <v>0</v>
      </c>
      <c r="AE23" s="373">
        <v>0</v>
      </c>
      <c r="AF23" s="380">
        <v>0</v>
      </c>
      <c r="AG23" s="381">
        <v>0</v>
      </c>
      <c r="AH23" s="381">
        <v>0</v>
      </c>
      <c r="AI23" s="381">
        <v>0</v>
      </c>
      <c r="AJ23" s="381">
        <v>0</v>
      </c>
      <c r="AK23" s="382">
        <f t="shared" si="8"/>
        <v>0</v>
      </c>
      <c r="AL23" s="382">
        <f t="shared" si="4"/>
        <v>0</v>
      </c>
      <c r="AM23" s="382">
        <f t="shared" si="4"/>
        <v>0</v>
      </c>
      <c r="AN23" s="382">
        <v>90000</v>
      </c>
      <c r="AO23" s="383">
        <f t="shared" si="9"/>
        <v>90000</v>
      </c>
      <c r="AP23" s="426">
        <f t="shared" si="10"/>
        <v>-440000</v>
      </c>
      <c r="AQ23" s="428" t="s">
        <v>880</v>
      </c>
      <c r="AR23" s="1"/>
      <c r="AS23" s="1"/>
      <c r="AT23" s="1"/>
      <c r="AU23" s="1"/>
      <c r="AV23" s="1"/>
    </row>
    <row r="24" spans="1:48" ht="95.25" customHeight="1">
      <c r="A24" s="38">
        <v>18</v>
      </c>
      <c r="B24" s="425" t="s">
        <v>57</v>
      </c>
      <c r="C24" s="377"/>
      <c r="D24" s="372" t="s">
        <v>50</v>
      </c>
      <c r="E24" s="373">
        <v>1</v>
      </c>
      <c r="F24" s="377" t="s">
        <v>70</v>
      </c>
      <c r="G24" s="375" t="s">
        <v>71</v>
      </c>
      <c r="H24" s="376" t="s">
        <v>60</v>
      </c>
      <c r="I24" s="377">
        <v>0</v>
      </c>
      <c r="J24" s="377">
        <v>0</v>
      </c>
      <c r="K24" s="377">
        <v>0</v>
      </c>
      <c r="L24" s="372" t="s">
        <v>774</v>
      </c>
      <c r="M24" s="373"/>
      <c r="N24" s="378">
        <v>350000</v>
      </c>
      <c r="O24" s="378">
        <v>525000</v>
      </c>
      <c r="P24" s="378">
        <v>0</v>
      </c>
      <c r="Q24" s="379">
        <f t="shared" si="5"/>
        <v>875000</v>
      </c>
      <c r="R24" s="380">
        <v>0</v>
      </c>
      <c r="S24" s="380">
        <v>0</v>
      </c>
      <c r="T24" s="380">
        <v>0</v>
      </c>
      <c r="U24" s="380">
        <v>0</v>
      </c>
      <c r="V24" s="373">
        <v>10695</v>
      </c>
      <c r="W24" s="373">
        <v>10695</v>
      </c>
      <c r="X24" s="373">
        <v>100</v>
      </c>
      <c r="Y24" s="373">
        <v>0</v>
      </c>
      <c r="Z24" s="373">
        <v>0</v>
      </c>
      <c r="AA24" s="373">
        <v>400</v>
      </c>
      <c r="AB24" s="373"/>
      <c r="AC24" s="373">
        <v>0</v>
      </c>
      <c r="AD24" s="373">
        <v>0</v>
      </c>
      <c r="AE24" s="373">
        <v>0</v>
      </c>
      <c r="AF24" s="380">
        <v>0</v>
      </c>
      <c r="AG24" s="381">
        <v>0</v>
      </c>
      <c r="AH24" s="381">
        <v>0</v>
      </c>
      <c r="AI24" s="381">
        <v>0</v>
      </c>
      <c r="AJ24" s="381">
        <v>0</v>
      </c>
      <c r="AK24" s="382">
        <f t="shared" si="8"/>
        <v>0</v>
      </c>
      <c r="AL24" s="382">
        <f t="shared" si="4"/>
        <v>0</v>
      </c>
      <c r="AM24" s="382">
        <f t="shared" si="4"/>
        <v>0</v>
      </c>
      <c r="AN24" s="382">
        <f t="shared" si="4"/>
        <v>0</v>
      </c>
      <c r="AO24" s="383">
        <f t="shared" si="9"/>
        <v>0</v>
      </c>
      <c r="AP24" s="426">
        <f t="shared" si="10"/>
        <v>-875000</v>
      </c>
      <c r="AQ24" s="428" t="s">
        <v>79</v>
      </c>
      <c r="AR24" s="1"/>
      <c r="AS24" s="1"/>
      <c r="AT24" s="1"/>
      <c r="AU24" s="1"/>
      <c r="AV24" s="1"/>
    </row>
    <row r="25" spans="1:48" s="343" customFormat="1" ht="95.25" customHeight="1" thickBot="1">
      <c r="A25" s="38">
        <v>19</v>
      </c>
      <c r="B25" s="425" t="s">
        <v>57</v>
      </c>
      <c r="C25" s="377"/>
      <c r="D25" s="372" t="s">
        <v>48</v>
      </c>
      <c r="E25" s="373">
        <v>1</v>
      </c>
      <c r="F25" s="377" t="s">
        <v>72</v>
      </c>
      <c r="G25" s="375" t="s">
        <v>73</v>
      </c>
      <c r="H25" s="376" t="s">
        <v>60</v>
      </c>
      <c r="I25" s="377">
        <v>0</v>
      </c>
      <c r="J25" s="377">
        <v>0</v>
      </c>
      <c r="K25" s="377">
        <v>0</v>
      </c>
      <c r="L25" s="372" t="s">
        <v>775</v>
      </c>
      <c r="M25" s="373"/>
      <c r="N25" s="378">
        <v>700000</v>
      </c>
      <c r="O25" s="378">
        <v>850000</v>
      </c>
      <c r="P25" s="378">
        <v>0</v>
      </c>
      <c r="Q25" s="379">
        <f t="shared" si="5"/>
        <v>1550000</v>
      </c>
      <c r="R25" s="380">
        <v>0</v>
      </c>
      <c r="S25" s="380">
        <v>0</v>
      </c>
      <c r="T25" s="380">
        <v>0</v>
      </c>
      <c r="U25" s="380">
        <v>0</v>
      </c>
      <c r="V25" s="373"/>
      <c r="W25" s="373">
        <v>0</v>
      </c>
      <c r="X25" s="373"/>
      <c r="Y25" s="373">
        <v>0</v>
      </c>
      <c r="Z25" s="373">
        <v>0</v>
      </c>
      <c r="AA25" s="373">
        <v>0</v>
      </c>
      <c r="AB25" s="373"/>
      <c r="AC25" s="373">
        <v>0</v>
      </c>
      <c r="AD25" s="373">
        <v>0</v>
      </c>
      <c r="AE25" s="373">
        <v>0</v>
      </c>
      <c r="AF25" s="380">
        <v>0</v>
      </c>
      <c r="AG25" s="381">
        <v>0</v>
      </c>
      <c r="AH25" s="381">
        <v>0</v>
      </c>
      <c r="AI25" s="381">
        <v>0</v>
      </c>
      <c r="AJ25" s="381">
        <v>0</v>
      </c>
      <c r="AK25" s="382">
        <f t="shared" si="8"/>
        <v>0</v>
      </c>
      <c r="AL25" s="382">
        <f t="shared" si="4"/>
        <v>0</v>
      </c>
      <c r="AM25" s="382">
        <f t="shared" si="4"/>
        <v>0</v>
      </c>
      <c r="AN25" s="382">
        <v>2130000</v>
      </c>
      <c r="AO25" s="383">
        <f t="shared" si="9"/>
        <v>2130000</v>
      </c>
      <c r="AP25" s="426">
        <f t="shared" si="10"/>
        <v>580000</v>
      </c>
      <c r="AQ25" s="428" t="s">
        <v>80</v>
      </c>
      <c r="AR25" s="341"/>
      <c r="AS25" s="341"/>
      <c r="AT25" s="341"/>
      <c r="AU25" s="341"/>
      <c r="AV25" s="341"/>
    </row>
    <row r="26" spans="1:48" ht="99" customHeight="1">
      <c r="A26" s="38">
        <v>20</v>
      </c>
      <c r="B26" s="424" t="s">
        <v>625</v>
      </c>
      <c r="C26" s="52">
        <v>6</v>
      </c>
      <c r="D26" s="53" t="s">
        <v>881</v>
      </c>
      <c r="E26" s="52">
        <v>1</v>
      </c>
      <c r="F26" s="52" t="s">
        <v>871</v>
      </c>
      <c r="G26" s="52" t="s">
        <v>626</v>
      </c>
      <c r="H26" s="54" t="s">
        <v>882</v>
      </c>
      <c r="I26" s="52"/>
      <c r="J26" s="52"/>
      <c r="K26" s="52"/>
      <c r="L26" s="52" t="s">
        <v>128</v>
      </c>
      <c r="M26" s="52"/>
      <c r="N26" s="55">
        <v>2160</v>
      </c>
      <c r="O26" s="55">
        <v>430</v>
      </c>
      <c r="P26" s="55">
        <v>651.29999999999995</v>
      </c>
      <c r="Q26" s="56">
        <f>N26+O26+P26</f>
        <v>3241.3</v>
      </c>
      <c r="R26" s="57"/>
      <c r="S26" s="57"/>
      <c r="T26" s="57"/>
      <c r="U26" s="57">
        <v>10000</v>
      </c>
      <c r="V26" s="52">
        <v>1143</v>
      </c>
      <c r="W26" s="52">
        <v>105</v>
      </c>
      <c r="X26" s="52">
        <v>8.8000000000000007</v>
      </c>
      <c r="Y26" s="52"/>
      <c r="Z26" s="52">
        <v>13</v>
      </c>
      <c r="AA26" s="52">
        <v>9</v>
      </c>
      <c r="AB26" s="52"/>
      <c r="AC26" s="52"/>
      <c r="AD26" s="52"/>
      <c r="AE26" s="52"/>
      <c r="AF26" s="52">
        <v>459</v>
      </c>
      <c r="AG26" s="58"/>
      <c r="AH26" s="58"/>
      <c r="AI26" s="58"/>
      <c r="AJ26" s="58">
        <v>459</v>
      </c>
      <c r="AK26" s="59">
        <f>R26*Y26</f>
        <v>0</v>
      </c>
      <c r="AL26" s="59">
        <f t="shared" si="4"/>
        <v>0</v>
      </c>
      <c r="AM26" s="59">
        <f t="shared" si="4"/>
        <v>0</v>
      </c>
      <c r="AN26" s="59">
        <v>459</v>
      </c>
      <c r="AO26" s="13">
        <f>AK26+AL26+AM26+AN26</f>
        <v>459</v>
      </c>
      <c r="AP26" s="62">
        <f>AO26-Q26</f>
        <v>-2782.3</v>
      </c>
      <c r="AQ26" s="1"/>
      <c r="AR26" s="1"/>
      <c r="AS26" s="1"/>
      <c r="AT26" s="1"/>
      <c r="AU26" s="1"/>
      <c r="AV26" s="1"/>
    </row>
    <row r="27" spans="1:48" ht="95.25" customHeight="1">
      <c r="A27" s="38">
        <v>21</v>
      </c>
      <c r="B27" s="424" t="s">
        <v>99</v>
      </c>
      <c r="C27" s="39">
        <v>30</v>
      </c>
      <c r="D27" s="386" t="s">
        <v>48</v>
      </c>
      <c r="E27" s="387">
        <v>1</v>
      </c>
      <c r="F27" s="388">
        <v>44699</v>
      </c>
      <c r="G27" s="429" t="s">
        <v>100</v>
      </c>
      <c r="H27" s="40"/>
      <c r="I27" s="39"/>
      <c r="J27" s="39">
        <v>1</v>
      </c>
      <c r="K27" s="389"/>
      <c r="L27" s="430" t="s">
        <v>101</v>
      </c>
      <c r="M27" s="7" t="s">
        <v>776</v>
      </c>
      <c r="N27" s="42"/>
      <c r="O27" s="391">
        <f>T27*S27</f>
        <v>1911000</v>
      </c>
      <c r="P27" s="42">
        <v>3260420</v>
      </c>
      <c r="Q27" s="379">
        <f>SUM(N27:P27)</f>
        <v>5171420</v>
      </c>
      <c r="R27" s="43">
        <v>9</v>
      </c>
      <c r="S27" s="43">
        <v>490</v>
      </c>
      <c r="T27" s="43">
        <v>3900</v>
      </c>
      <c r="U27" s="43">
        <v>15000</v>
      </c>
      <c r="V27" s="39">
        <v>77756</v>
      </c>
      <c r="W27" s="39"/>
      <c r="X27" s="39">
        <f>SUM(W27*100/V27)</f>
        <v>0</v>
      </c>
      <c r="Y27" s="39"/>
      <c r="Z27" s="39"/>
      <c r="AA27" s="39"/>
      <c r="AB27" s="39">
        <f>SUM(O27/T27)</f>
        <v>490</v>
      </c>
      <c r="AC27" s="39"/>
      <c r="AD27" s="39"/>
      <c r="AE27" s="39"/>
      <c r="AF27" s="39"/>
      <c r="AG27" s="44"/>
      <c r="AH27" s="44"/>
      <c r="AI27" s="44"/>
      <c r="AJ27" s="44"/>
      <c r="AK27" s="382">
        <f t="shared" ref="AK27:AN40" si="11">R27*Y27</f>
        <v>0</v>
      </c>
      <c r="AL27" s="382">
        <f t="shared" si="11"/>
        <v>0</v>
      </c>
      <c r="AM27" s="45">
        <f t="shared" ref="AM27:AM34" si="12">U27*AA27</f>
        <v>0</v>
      </c>
      <c r="AN27" s="382">
        <f>U27*AB27</f>
        <v>7350000</v>
      </c>
      <c r="AO27" s="383">
        <f t="shared" ref="AO27:AO34" si="13">AK27+AL27+AM27+AN27</f>
        <v>7350000</v>
      </c>
      <c r="AP27" s="426">
        <f>AO27-Q27</f>
        <v>2178580</v>
      </c>
      <c r="AQ27" s="392"/>
      <c r="AR27" s="1"/>
      <c r="AS27" s="1"/>
      <c r="AT27" s="1"/>
      <c r="AU27" s="1"/>
      <c r="AV27" s="1"/>
    </row>
    <row r="28" spans="1:48" ht="95.25" customHeight="1">
      <c r="A28" s="38">
        <v>22</v>
      </c>
      <c r="B28" s="424" t="s">
        <v>99</v>
      </c>
      <c r="C28" s="39"/>
      <c r="D28" s="386" t="s">
        <v>48</v>
      </c>
      <c r="E28" s="387">
        <v>1</v>
      </c>
      <c r="F28" s="388" t="s">
        <v>102</v>
      </c>
      <c r="G28" s="77" t="s">
        <v>103</v>
      </c>
      <c r="H28" s="40" t="s">
        <v>60</v>
      </c>
      <c r="I28" s="39"/>
      <c r="J28" s="39">
        <v>1</v>
      </c>
      <c r="K28" s="389"/>
      <c r="L28" s="390" t="s">
        <v>104</v>
      </c>
      <c r="M28" s="7" t="s">
        <v>777</v>
      </c>
      <c r="N28" s="42">
        <v>621800</v>
      </c>
      <c r="O28" s="391">
        <f t="shared" ref="O28:O30" si="14">T28*S28</f>
        <v>1514700</v>
      </c>
      <c r="P28" s="42">
        <v>97500</v>
      </c>
      <c r="Q28" s="379">
        <f>SUM(N28:P28)</f>
        <v>2234000</v>
      </c>
      <c r="R28" s="43">
        <v>7.5</v>
      </c>
      <c r="S28" s="43">
        <v>495</v>
      </c>
      <c r="T28" s="43">
        <v>3060</v>
      </c>
      <c r="U28" s="43">
        <v>15000</v>
      </c>
      <c r="V28" s="39">
        <v>77756</v>
      </c>
      <c r="W28" s="39"/>
      <c r="X28" s="39">
        <f t="shared" ref="X28:X29" si="15">SUM(W28*100/V28)</f>
        <v>0</v>
      </c>
      <c r="Y28" s="39"/>
      <c r="Z28" s="39"/>
      <c r="AA28" s="39"/>
      <c r="AB28" s="39">
        <f>SUM(O28/T28)</f>
        <v>495</v>
      </c>
      <c r="AC28" s="39"/>
      <c r="AD28" s="39"/>
      <c r="AE28" s="39"/>
      <c r="AF28" s="39"/>
      <c r="AG28" s="44"/>
      <c r="AH28" s="44"/>
      <c r="AI28" s="44"/>
      <c r="AJ28" s="44"/>
      <c r="AK28" s="382">
        <f t="shared" si="11"/>
        <v>0</v>
      </c>
      <c r="AL28" s="382">
        <f t="shared" si="11"/>
        <v>0</v>
      </c>
      <c r="AM28" s="45">
        <f t="shared" si="12"/>
        <v>0</v>
      </c>
      <c r="AN28" s="382">
        <f t="shared" ref="AN28:AN34" si="16">U28*AB28</f>
        <v>7425000</v>
      </c>
      <c r="AO28" s="383">
        <f t="shared" si="13"/>
        <v>7425000</v>
      </c>
      <c r="AP28" s="426">
        <f t="shared" ref="AP28:AP34" si="17">AO28-Q28</f>
        <v>5191000</v>
      </c>
      <c r="AQ28" s="392"/>
      <c r="AR28" s="1"/>
      <c r="AS28" s="1"/>
      <c r="AT28" s="1"/>
      <c r="AU28" s="1"/>
      <c r="AV28" s="1"/>
    </row>
    <row r="29" spans="1:48" ht="95.25" customHeight="1">
      <c r="A29" s="38">
        <v>23</v>
      </c>
      <c r="B29" s="424" t="s">
        <v>99</v>
      </c>
      <c r="C29" s="39"/>
      <c r="D29" s="386" t="s">
        <v>48</v>
      </c>
      <c r="E29" s="387">
        <v>1</v>
      </c>
      <c r="F29" s="388" t="s">
        <v>102</v>
      </c>
      <c r="G29" s="77" t="s">
        <v>103</v>
      </c>
      <c r="H29" s="40" t="s">
        <v>60</v>
      </c>
      <c r="I29" s="39"/>
      <c r="J29" s="39">
        <v>1</v>
      </c>
      <c r="K29" s="389"/>
      <c r="L29" s="390" t="s">
        <v>104</v>
      </c>
      <c r="M29" s="7" t="s">
        <v>778</v>
      </c>
      <c r="N29" s="42">
        <v>523600</v>
      </c>
      <c r="O29" s="391">
        <f t="shared" si="14"/>
        <v>2325110</v>
      </c>
      <c r="P29" s="42">
        <v>98450</v>
      </c>
      <c r="Q29" s="379">
        <f>SUM(N29:P29)</f>
        <v>2947160</v>
      </c>
      <c r="R29" s="43">
        <v>7.5</v>
      </c>
      <c r="S29" s="43">
        <v>530</v>
      </c>
      <c r="T29" s="43">
        <v>4387</v>
      </c>
      <c r="U29" s="43">
        <v>15000</v>
      </c>
      <c r="V29" s="39">
        <v>77756</v>
      </c>
      <c r="W29" s="39"/>
      <c r="X29" s="39">
        <f t="shared" si="15"/>
        <v>0</v>
      </c>
      <c r="Y29" s="39"/>
      <c r="Z29" s="39"/>
      <c r="AA29" s="39"/>
      <c r="AB29" s="39">
        <f>SUM(O29/T29)</f>
        <v>530</v>
      </c>
      <c r="AC29" s="39"/>
      <c r="AD29" s="39"/>
      <c r="AE29" s="39"/>
      <c r="AF29" s="39"/>
      <c r="AG29" s="44"/>
      <c r="AH29" s="44"/>
      <c r="AI29" s="44"/>
      <c r="AJ29" s="44"/>
      <c r="AK29" s="382">
        <f t="shared" si="11"/>
        <v>0</v>
      </c>
      <c r="AL29" s="382">
        <f t="shared" si="11"/>
        <v>0</v>
      </c>
      <c r="AM29" s="45">
        <f t="shared" si="12"/>
        <v>0</v>
      </c>
      <c r="AN29" s="382">
        <f>U29*AB29</f>
        <v>7950000</v>
      </c>
      <c r="AO29" s="383">
        <f>AK29+AL29+AM29+AN29</f>
        <v>7950000</v>
      </c>
      <c r="AP29" s="426">
        <f>AO29-Q29</f>
        <v>5002840</v>
      </c>
      <c r="AQ29" s="392"/>
      <c r="AR29" s="1"/>
      <c r="AS29" s="1"/>
      <c r="AT29" s="1"/>
      <c r="AU29" s="1"/>
      <c r="AV29" s="1"/>
    </row>
    <row r="30" spans="1:48" ht="95.25" customHeight="1">
      <c r="A30" s="38">
        <v>24</v>
      </c>
      <c r="B30" s="424" t="s">
        <v>99</v>
      </c>
      <c r="C30" s="39"/>
      <c r="D30" s="431" t="s">
        <v>105</v>
      </c>
      <c r="E30" s="387">
        <v>1</v>
      </c>
      <c r="F30" s="388"/>
      <c r="G30" s="386" t="s">
        <v>106</v>
      </c>
      <c r="H30" s="40"/>
      <c r="I30" s="39"/>
      <c r="J30" s="39">
        <v>1</v>
      </c>
      <c r="K30" s="389"/>
      <c r="L30" s="390" t="s">
        <v>107</v>
      </c>
      <c r="M30" s="7" t="s">
        <v>777</v>
      </c>
      <c r="N30" s="42"/>
      <c r="O30" s="391">
        <f t="shared" si="14"/>
        <v>801900</v>
      </c>
      <c r="P30" s="42">
        <v>411600</v>
      </c>
      <c r="Q30" s="379">
        <f>SUM(N30:P30)</f>
        <v>1213500</v>
      </c>
      <c r="R30" s="43">
        <v>7.5</v>
      </c>
      <c r="S30" s="43">
        <v>495</v>
      </c>
      <c r="T30" s="43">
        <v>1620</v>
      </c>
      <c r="U30" s="43">
        <v>15000</v>
      </c>
      <c r="V30" s="39">
        <v>77756</v>
      </c>
      <c r="W30" s="39"/>
      <c r="X30" s="39"/>
      <c r="Y30" s="39"/>
      <c r="Z30" s="39"/>
      <c r="AA30" s="39"/>
      <c r="AB30" s="39">
        <f>SUM(O30/T30)</f>
        <v>495</v>
      </c>
      <c r="AC30" s="39"/>
      <c r="AD30" s="39"/>
      <c r="AE30" s="39"/>
      <c r="AF30" s="39"/>
      <c r="AG30" s="44"/>
      <c r="AH30" s="44"/>
      <c r="AI30" s="44"/>
      <c r="AJ30" s="44"/>
      <c r="AK30" s="382">
        <f t="shared" si="11"/>
        <v>0</v>
      </c>
      <c r="AL30" s="382">
        <f t="shared" si="11"/>
        <v>0</v>
      </c>
      <c r="AM30" s="45">
        <f t="shared" si="12"/>
        <v>0</v>
      </c>
      <c r="AN30" s="382">
        <f t="shared" ref="AN30" si="18">U30*AB30</f>
        <v>7425000</v>
      </c>
      <c r="AO30" s="383">
        <f t="shared" ref="AO30" si="19">AK30+AL30+AM30+AN30</f>
        <v>7425000</v>
      </c>
      <c r="AP30" s="426">
        <f t="shared" ref="AP30" si="20">AO30-Q30</f>
        <v>6211500</v>
      </c>
      <c r="AQ30" s="392"/>
      <c r="AR30" s="1"/>
      <c r="AS30" s="1"/>
      <c r="AT30" s="1"/>
      <c r="AU30" s="1"/>
      <c r="AV30" s="1"/>
    </row>
    <row r="31" spans="1:48" ht="95.25" customHeight="1">
      <c r="A31" s="38">
        <v>25</v>
      </c>
      <c r="B31" s="424" t="s">
        <v>99</v>
      </c>
      <c r="C31" s="39"/>
      <c r="D31" s="393" t="s">
        <v>108</v>
      </c>
      <c r="E31" s="394">
        <v>1</v>
      </c>
      <c r="F31" s="75">
        <v>44666</v>
      </c>
      <c r="G31" s="76" t="s">
        <v>779</v>
      </c>
      <c r="H31" s="54"/>
      <c r="I31" s="394">
        <v>1</v>
      </c>
      <c r="J31" s="52"/>
      <c r="K31" s="52"/>
      <c r="L31" s="395" t="s">
        <v>780</v>
      </c>
      <c r="M31" s="52"/>
      <c r="N31" s="41">
        <v>0</v>
      </c>
      <c r="O31" s="396">
        <v>0</v>
      </c>
      <c r="P31" s="41">
        <v>0</v>
      </c>
      <c r="Q31" s="379">
        <f t="shared" ref="Q31:Q34" si="21">N31+O31+P31</f>
        <v>0</v>
      </c>
      <c r="R31" s="57"/>
      <c r="S31" s="57"/>
      <c r="T31" s="43"/>
      <c r="U31" s="43"/>
      <c r="V31" s="39"/>
      <c r="W31" s="52"/>
      <c r="X31" s="52"/>
      <c r="Y31" s="52"/>
      <c r="Z31" s="52"/>
      <c r="AA31" s="52"/>
      <c r="AB31" s="39"/>
      <c r="AC31" s="52"/>
      <c r="AD31" s="52"/>
      <c r="AE31" s="52"/>
      <c r="AF31" s="52"/>
      <c r="AG31" s="58"/>
      <c r="AH31" s="58"/>
      <c r="AI31" s="58"/>
      <c r="AJ31" s="58"/>
      <c r="AK31" s="382">
        <f t="shared" si="11"/>
        <v>0</v>
      </c>
      <c r="AL31" s="382">
        <f t="shared" si="11"/>
        <v>0</v>
      </c>
      <c r="AM31" s="45">
        <f t="shared" si="12"/>
        <v>0</v>
      </c>
      <c r="AN31" s="382">
        <v>150000</v>
      </c>
      <c r="AO31" s="383">
        <f t="shared" si="13"/>
        <v>150000</v>
      </c>
      <c r="AP31" s="426">
        <f t="shared" si="17"/>
        <v>150000</v>
      </c>
      <c r="AQ31" s="397" t="s">
        <v>109</v>
      </c>
      <c r="AR31" s="1"/>
      <c r="AS31" s="1"/>
      <c r="AT31" s="1"/>
      <c r="AU31" s="1"/>
      <c r="AV31" s="1"/>
    </row>
    <row r="32" spans="1:48" ht="95.25" customHeight="1">
      <c r="A32" s="38">
        <v>26</v>
      </c>
      <c r="B32" s="424" t="s">
        <v>99</v>
      </c>
      <c r="C32" s="39"/>
      <c r="D32" s="393" t="s">
        <v>110</v>
      </c>
      <c r="E32" s="394">
        <v>1</v>
      </c>
      <c r="F32" s="75">
        <v>44666</v>
      </c>
      <c r="G32" s="398" t="s">
        <v>111</v>
      </c>
      <c r="H32" s="54"/>
      <c r="I32" s="52">
        <v>1</v>
      </c>
      <c r="J32" s="52"/>
      <c r="K32" s="52"/>
      <c r="L32" s="386" t="s">
        <v>780</v>
      </c>
      <c r="M32" s="52"/>
      <c r="N32" s="41">
        <v>0</v>
      </c>
      <c r="O32" s="399">
        <v>0</v>
      </c>
      <c r="P32" s="41">
        <v>0</v>
      </c>
      <c r="Q32" s="379">
        <f t="shared" si="21"/>
        <v>0</v>
      </c>
      <c r="R32" s="57"/>
      <c r="S32" s="57"/>
      <c r="T32" s="43"/>
      <c r="U32" s="43"/>
      <c r="V32" s="39"/>
      <c r="W32" s="52"/>
      <c r="X32" s="52"/>
      <c r="Y32" s="52"/>
      <c r="Z32" s="52"/>
      <c r="AA32" s="52"/>
      <c r="AB32" s="39"/>
      <c r="AC32" s="52"/>
      <c r="AD32" s="52"/>
      <c r="AE32" s="52"/>
      <c r="AF32" s="52"/>
      <c r="AG32" s="58"/>
      <c r="AH32" s="58"/>
      <c r="AI32" s="58"/>
      <c r="AJ32" s="58"/>
      <c r="AK32" s="382">
        <f t="shared" si="11"/>
        <v>0</v>
      </c>
      <c r="AL32" s="382">
        <f t="shared" si="11"/>
        <v>0</v>
      </c>
      <c r="AM32" s="45">
        <f t="shared" si="12"/>
        <v>0</v>
      </c>
      <c r="AN32" s="382">
        <f t="shared" si="16"/>
        <v>0</v>
      </c>
      <c r="AO32" s="383">
        <f t="shared" si="13"/>
        <v>0</v>
      </c>
      <c r="AP32" s="426">
        <f t="shared" si="17"/>
        <v>0</v>
      </c>
      <c r="AQ32" s="392"/>
      <c r="AR32" s="1"/>
      <c r="AS32" s="1"/>
      <c r="AT32" s="1"/>
      <c r="AU32" s="1"/>
      <c r="AV32" s="1"/>
    </row>
    <row r="33" spans="1:48" ht="95.25" customHeight="1">
      <c r="A33" s="38">
        <v>27</v>
      </c>
      <c r="B33" s="424" t="s">
        <v>99</v>
      </c>
      <c r="C33" s="39"/>
      <c r="D33" s="393" t="s">
        <v>112</v>
      </c>
      <c r="E33" s="394">
        <v>1</v>
      </c>
      <c r="F33" s="75">
        <v>44666</v>
      </c>
      <c r="G33" s="77" t="s">
        <v>113</v>
      </c>
      <c r="H33" s="54"/>
      <c r="I33" s="52">
        <v>1</v>
      </c>
      <c r="J33" s="52"/>
      <c r="K33" s="52"/>
      <c r="L33" s="386" t="s">
        <v>781</v>
      </c>
      <c r="M33" s="52"/>
      <c r="N33" s="41">
        <v>0</v>
      </c>
      <c r="O33" s="41">
        <v>0</v>
      </c>
      <c r="P33" s="41">
        <v>0</v>
      </c>
      <c r="Q33" s="379">
        <f t="shared" si="21"/>
        <v>0</v>
      </c>
      <c r="R33" s="57"/>
      <c r="S33" s="57"/>
      <c r="T33" s="43"/>
      <c r="U33" s="43"/>
      <c r="V33" s="39"/>
      <c r="W33" s="52"/>
      <c r="X33" s="52"/>
      <c r="Y33" s="52"/>
      <c r="Z33" s="52"/>
      <c r="AA33" s="52"/>
      <c r="AB33" s="39"/>
      <c r="AC33" s="52"/>
      <c r="AD33" s="52"/>
      <c r="AE33" s="52"/>
      <c r="AF33" s="52"/>
      <c r="AG33" s="58"/>
      <c r="AH33" s="58"/>
      <c r="AI33" s="58"/>
      <c r="AJ33" s="58"/>
      <c r="AK33" s="382">
        <f t="shared" si="11"/>
        <v>0</v>
      </c>
      <c r="AL33" s="382">
        <f t="shared" si="11"/>
        <v>0</v>
      </c>
      <c r="AM33" s="45">
        <f t="shared" si="12"/>
        <v>0</v>
      </c>
      <c r="AN33" s="382">
        <f t="shared" si="16"/>
        <v>0</v>
      </c>
      <c r="AO33" s="383">
        <f t="shared" si="13"/>
        <v>0</v>
      </c>
      <c r="AP33" s="426">
        <f t="shared" si="17"/>
        <v>0</v>
      </c>
      <c r="AQ33" s="392"/>
      <c r="AR33" s="1"/>
      <c r="AS33" s="1"/>
      <c r="AT33" s="1"/>
      <c r="AU33" s="1"/>
      <c r="AV33" s="1"/>
    </row>
    <row r="34" spans="1:48" s="343" customFormat="1" ht="95.25" customHeight="1" thickBot="1">
      <c r="A34" s="38">
        <v>28</v>
      </c>
      <c r="B34" s="424" t="s">
        <v>99</v>
      </c>
      <c r="C34" s="39"/>
      <c r="D34" s="393" t="s">
        <v>114</v>
      </c>
      <c r="E34" s="52">
        <v>1</v>
      </c>
      <c r="F34" s="75">
        <v>44666</v>
      </c>
      <c r="G34" s="77" t="s">
        <v>113</v>
      </c>
      <c r="H34" s="54"/>
      <c r="I34" s="52">
        <v>1</v>
      </c>
      <c r="J34" s="52"/>
      <c r="K34" s="52"/>
      <c r="L34" s="394" t="s">
        <v>780</v>
      </c>
      <c r="M34" s="52"/>
      <c r="N34" s="41">
        <v>0</v>
      </c>
      <c r="O34" s="41">
        <v>0</v>
      </c>
      <c r="P34" s="41">
        <v>0</v>
      </c>
      <c r="Q34" s="379">
        <f t="shared" si="21"/>
        <v>0</v>
      </c>
      <c r="R34" s="57"/>
      <c r="S34" s="57"/>
      <c r="T34" s="43"/>
      <c r="U34" s="43"/>
      <c r="V34" s="39"/>
      <c r="W34" s="52"/>
      <c r="X34" s="52"/>
      <c r="Y34" s="52"/>
      <c r="Z34" s="52"/>
      <c r="AA34" s="52"/>
      <c r="AB34" s="39"/>
      <c r="AC34" s="52"/>
      <c r="AD34" s="52"/>
      <c r="AE34" s="52"/>
      <c r="AF34" s="52"/>
      <c r="AG34" s="58"/>
      <c r="AH34" s="58"/>
      <c r="AI34" s="58"/>
      <c r="AJ34" s="58"/>
      <c r="AK34" s="382">
        <f t="shared" si="11"/>
        <v>0</v>
      </c>
      <c r="AL34" s="382">
        <f t="shared" si="11"/>
        <v>0</v>
      </c>
      <c r="AM34" s="45">
        <f t="shared" si="12"/>
        <v>0</v>
      </c>
      <c r="AN34" s="382">
        <f t="shared" si="16"/>
        <v>0</v>
      </c>
      <c r="AO34" s="383">
        <f t="shared" si="13"/>
        <v>0</v>
      </c>
      <c r="AP34" s="426">
        <f t="shared" si="17"/>
        <v>0</v>
      </c>
      <c r="AQ34" s="392"/>
      <c r="AR34" s="341"/>
      <c r="AS34" s="341"/>
      <c r="AT34" s="341"/>
      <c r="AU34" s="341"/>
      <c r="AV34" s="341"/>
    </row>
    <row r="35" spans="1:48" ht="95.25" customHeight="1">
      <c r="A35" s="38">
        <v>29</v>
      </c>
      <c r="B35" s="424" t="s">
        <v>45</v>
      </c>
      <c r="C35" s="39">
        <v>22</v>
      </c>
      <c r="D35" s="53" t="s">
        <v>46</v>
      </c>
      <c r="E35" s="52">
        <v>1</v>
      </c>
      <c r="F35" s="52"/>
      <c r="G35" s="52" t="s">
        <v>47</v>
      </c>
      <c r="H35" s="54"/>
      <c r="I35" s="52"/>
      <c r="J35" s="52"/>
      <c r="K35" s="52"/>
      <c r="L35" s="52"/>
      <c r="M35" s="52"/>
      <c r="N35" s="55">
        <v>0</v>
      </c>
      <c r="O35" s="55">
        <v>0</v>
      </c>
      <c r="P35" s="55"/>
      <c r="Q35" s="56" t="s">
        <v>782</v>
      </c>
      <c r="R35" s="57"/>
      <c r="S35" s="57"/>
      <c r="T35" s="57"/>
      <c r="U35" s="57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8"/>
      <c r="AH35" s="58"/>
      <c r="AI35" s="58"/>
      <c r="AJ35" s="58"/>
      <c r="AK35" s="59">
        <f>R35*Y35</f>
        <v>0</v>
      </c>
      <c r="AL35" s="59">
        <f t="shared" si="11"/>
        <v>0</v>
      </c>
      <c r="AM35" s="59">
        <f t="shared" si="11"/>
        <v>0</v>
      </c>
      <c r="AN35" s="59">
        <f t="shared" si="11"/>
        <v>0</v>
      </c>
      <c r="AO35" s="13">
        <f>AK35+AL35+AM35+AN35</f>
        <v>0</v>
      </c>
      <c r="AP35" s="62">
        <v>0</v>
      </c>
      <c r="AQ35" s="1"/>
      <c r="AR35" s="1"/>
      <c r="AS35" s="1"/>
      <c r="AT35" s="1"/>
      <c r="AU35" s="1"/>
      <c r="AV35" s="1"/>
    </row>
    <row r="36" spans="1:48" ht="95.25" customHeight="1">
      <c r="A36" s="38">
        <v>30</v>
      </c>
      <c r="B36" s="424" t="s">
        <v>45</v>
      </c>
      <c r="C36" s="39"/>
      <c r="D36" s="53" t="s">
        <v>48</v>
      </c>
      <c r="E36" s="52">
        <v>1</v>
      </c>
      <c r="F36" s="52"/>
      <c r="G36" s="52" t="s">
        <v>49</v>
      </c>
      <c r="H36" s="54"/>
      <c r="I36" s="52"/>
      <c r="J36" s="52"/>
      <c r="K36" s="52"/>
      <c r="L36" s="52"/>
      <c r="M36" s="52"/>
      <c r="N36" s="55"/>
      <c r="O36" s="55">
        <v>4065450</v>
      </c>
      <c r="P36" s="55">
        <v>4177500</v>
      </c>
      <c r="Q36" s="56">
        <v>8242950</v>
      </c>
      <c r="R36" s="57"/>
      <c r="S36" s="57"/>
      <c r="T36" s="57"/>
      <c r="U36" s="57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8"/>
      <c r="AH36" s="58"/>
      <c r="AI36" s="58"/>
      <c r="AJ36" s="58"/>
      <c r="AK36" s="59"/>
      <c r="AL36" s="59"/>
      <c r="AM36" s="59"/>
      <c r="AN36" s="59"/>
      <c r="AO36" s="13"/>
      <c r="AP36" s="62">
        <v>8919000</v>
      </c>
      <c r="AQ36" s="1"/>
      <c r="AR36" s="1"/>
      <c r="AS36" s="1"/>
      <c r="AT36" s="1"/>
      <c r="AU36" s="1"/>
      <c r="AV36" s="1"/>
    </row>
    <row r="37" spans="1:48" ht="95.25" customHeight="1">
      <c r="A37" s="38">
        <v>31</v>
      </c>
      <c r="B37" s="424" t="s">
        <v>45</v>
      </c>
      <c r="C37" s="39"/>
      <c r="D37" s="53" t="s">
        <v>50</v>
      </c>
      <c r="E37" s="52">
        <v>1</v>
      </c>
      <c r="F37" s="52"/>
      <c r="G37" s="52" t="s">
        <v>51</v>
      </c>
      <c r="H37" s="54"/>
      <c r="I37" s="52"/>
      <c r="J37" s="52"/>
      <c r="K37" s="52"/>
      <c r="L37" s="52"/>
      <c r="M37" s="52"/>
      <c r="N37" s="55"/>
      <c r="O37" s="55">
        <v>1189600</v>
      </c>
      <c r="P37" s="55">
        <v>2068000</v>
      </c>
      <c r="Q37" s="56">
        <v>3257600</v>
      </c>
      <c r="R37" s="57"/>
      <c r="S37" s="57"/>
      <c r="T37" s="57"/>
      <c r="U37" s="57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8"/>
      <c r="AH37" s="58"/>
      <c r="AI37" s="58"/>
      <c r="AJ37" s="58"/>
      <c r="AK37" s="59"/>
      <c r="AL37" s="59"/>
      <c r="AM37" s="59"/>
      <c r="AN37" s="59"/>
      <c r="AO37" s="13"/>
      <c r="AP37" s="62">
        <v>6176000</v>
      </c>
      <c r="AQ37" s="1"/>
      <c r="AR37" s="1"/>
      <c r="AS37" s="1"/>
      <c r="AT37" s="1"/>
      <c r="AU37" s="1"/>
      <c r="AV37" s="1"/>
    </row>
    <row r="38" spans="1:48" ht="95.25" customHeight="1">
      <c r="A38" s="38">
        <v>32</v>
      </c>
      <c r="B38" s="424" t="s">
        <v>45</v>
      </c>
      <c r="C38" s="39"/>
      <c r="D38" s="53" t="s">
        <v>52</v>
      </c>
      <c r="E38" s="52">
        <v>1</v>
      </c>
      <c r="F38" s="52"/>
      <c r="G38" s="52" t="s">
        <v>53</v>
      </c>
      <c r="H38" s="54"/>
      <c r="I38" s="52"/>
      <c r="J38" s="52"/>
      <c r="K38" s="52"/>
      <c r="L38" s="52"/>
      <c r="M38" s="52"/>
      <c r="N38" s="55"/>
      <c r="O38" s="55">
        <v>0</v>
      </c>
      <c r="P38" s="55">
        <v>0</v>
      </c>
      <c r="Q38" s="56">
        <v>0</v>
      </c>
      <c r="R38" s="57"/>
      <c r="S38" s="57"/>
      <c r="T38" s="57"/>
      <c r="U38" s="57"/>
      <c r="V38" s="131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8"/>
      <c r="AH38" s="58"/>
      <c r="AI38" s="58"/>
      <c r="AJ38" s="58"/>
      <c r="AK38" s="59"/>
      <c r="AL38" s="59"/>
      <c r="AM38" s="59"/>
      <c r="AN38" s="59"/>
      <c r="AO38" s="13"/>
      <c r="AP38" s="62">
        <v>0</v>
      </c>
      <c r="AQ38" s="1"/>
      <c r="AR38" s="1"/>
      <c r="AS38" s="1"/>
      <c r="AT38" s="1"/>
      <c r="AU38" s="1"/>
      <c r="AV38" s="1"/>
    </row>
    <row r="39" spans="1:48" ht="95.25" customHeight="1">
      <c r="A39" s="38">
        <v>33</v>
      </c>
      <c r="B39" s="424" t="s">
        <v>45</v>
      </c>
      <c r="C39" s="39"/>
      <c r="D39" s="53" t="s">
        <v>54</v>
      </c>
      <c r="E39" s="52">
        <v>1</v>
      </c>
      <c r="F39" s="52"/>
      <c r="G39" s="52" t="s">
        <v>55</v>
      </c>
      <c r="H39" s="54"/>
      <c r="I39" s="52"/>
      <c r="J39" s="52"/>
      <c r="K39" s="52"/>
      <c r="L39" s="52"/>
      <c r="M39" s="52"/>
      <c r="N39" s="55"/>
      <c r="O39" s="55">
        <v>1469540</v>
      </c>
      <c r="P39" s="55">
        <v>795500</v>
      </c>
      <c r="Q39" s="56">
        <v>2265040</v>
      </c>
      <c r="R39" s="57"/>
      <c r="S39" s="57"/>
      <c r="T39" s="57"/>
      <c r="U39" s="57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8"/>
      <c r="AH39" s="58"/>
      <c r="AI39" s="58"/>
      <c r="AJ39" s="58"/>
      <c r="AK39" s="59">
        <f t="shared" ref="AK39:AK40" si="22">R39*Y39</f>
        <v>0</v>
      </c>
      <c r="AL39" s="59">
        <f t="shared" si="11"/>
        <v>0</v>
      </c>
      <c r="AM39" s="59">
        <f t="shared" si="11"/>
        <v>0</v>
      </c>
      <c r="AN39" s="59">
        <f t="shared" si="11"/>
        <v>0</v>
      </c>
      <c r="AO39" s="13">
        <f t="shared" ref="AO39:AO40" si="23">AK39+AL39+AM39+AN39</f>
        <v>0</v>
      </c>
      <c r="AP39" s="62">
        <v>388880</v>
      </c>
      <c r="AQ39" s="1"/>
      <c r="AR39" s="1"/>
      <c r="AS39" s="1"/>
      <c r="AT39" s="1"/>
      <c r="AU39" s="1"/>
      <c r="AV39" s="1"/>
    </row>
    <row r="40" spans="1:48" ht="95.25" customHeight="1">
      <c r="A40" s="38">
        <v>34</v>
      </c>
      <c r="B40" s="424" t="s">
        <v>45</v>
      </c>
      <c r="C40" s="39"/>
      <c r="D40" s="52" t="s">
        <v>54</v>
      </c>
      <c r="E40" s="52">
        <v>1</v>
      </c>
      <c r="F40" s="52"/>
      <c r="G40" s="52" t="s">
        <v>55</v>
      </c>
      <c r="H40" s="54"/>
      <c r="I40" s="52"/>
      <c r="J40" s="52"/>
      <c r="K40" s="52"/>
      <c r="L40" s="52"/>
      <c r="M40" s="52"/>
      <c r="N40" s="55"/>
      <c r="O40" s="55">
        <v>2105590</v>
      </c>
      <c r="P40" s="55">
        <v>1182500</v>
      </c>
      <c r="Q40" s="56">
        <v>3288090</v>
      </c>
      <c r="R40" s="57"/>
      <c r="S40" s="57"/>
      <c r="T40" s="57"/>
      <c r="U40" s="57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8"/>
      <c r="AH40" s="58"/>
      <c r="AI40" s="58"/>
      <c r="AJ40" s="58"/>
      <c r="AK40" s="59">
        <f t="shared" si="22"/>
        <v>0</v>
      </c>
      <c r="AL40" s="59">
        <f t="shared" si="11"/>
        <v>0</v>
      </c>
      <c r="AM40" s="59">
        <f t="shared" si="11"/>
        <v>0</v>
      </c>
      <c r="AN40" s="59">
        <f t="shared" si="11"/>
        <v>0</v>
      </c>
      <c r="AO40" s="13">
        <f t="shared" si="23"/>
        <v>0</v>
      </c>
      <c r="AP40" s="62">
        <v>-275090</v>
      </c>
      <c r="AQ40" s="1"/>
      <c r="AR40" s="1"/>
      <c r="AS40" s="1"/>
      <c r="AT40" s="1"/>
      <c r="AU40" s="1"/>
      <c r="AV40" s="1"/>
    </row>
    <row r="41" spans="1:48" ht="95.25" customHeight="1">
      <c r="A41" s="38">
        <v>35</v>
      </c>
      <c r="B41" s="424" t="s">
        <v>45</v>
      </c>
      <c r="C41" s="39"/>
      <c r="D41" s="52" t="s">
        <v>81</v>
      </c>
      <c r="E41" s="52">
        <v>1</v>
      </c>
      <c r="F41" s="52"/>
      <c r="G41" s="52" t="s">
        <v>56</v>
      </c>
      <c r="H41" s="54"/>
      <c r="I41" s="52"/>
      <c r="J41" s="52"/>
      <c r="K41" s="52"/>
      <c r="L41" s="52"/>
      <c r="M41" s="52"/>
      <c r="N41" s="55"/>
      <c r="O41" s="55">
        <v>756800</v>
      </c>
      <c r="P41" s="55">
        <v>770000</v>
      </c>
      <c r="Q41" s="56">
        <v>1526800</v>
      </c>
      <c r="R41" s="57"/>
      <c r="S41" s="57"/>
      <c r="T41" s="57"/>
      <c r="U41" s="57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8"/>
      <c r="AH41" s="58"/>
      <c r="AI41" s="58"/>
      <c r="AJ41" s="58"/>
      <c r="AK41" s="59"/>
      <c r="AL41" s="59"/>
      <c r="AM41" s="59"/>
      <c r="AN41" s="59"/>
      <c r="AO41" s="13"/>
      <c r="AP41" s="62">
        <v>-558400</v>
      </c>
      <c r="AQ41" s="1"/>
      <c r="AR41" s="1"/>
      <c r="AS41" s="1"/>
      <c r="AT41" s="1"/>
      <c r="AU41" s="1"/>
      <c r="AV41" s="1"/>
    </row>
    <row r="42" spans="1:48" ht="45" customHeight="1" thickBot="1">
      <c r="A42" s="432"/>
      <c r="B42" s="195" t="s">
        <v>115</v>
      </c>
      <c r="C42" s="194">
        <f>SUM(C16:C41)</f>
        <v>70</v>
      </c>
      <c r="D42" s="194"/>
      <c r="E42" s="194">
        <f>SUM(E16:E41)</f>
        <v>27</v>
      </c>
      <c r="F42" s="194"/>
      <c r="G42" s="194"/>
      <c r="H42" s="194"/>
      <c r="I42" s="194"/>
      <c r="J42" s="194"/>
      <c r="K42" s="194"/>
      <c r="L42" s="194"/>
      <c r="M42" s="196"/>
      <c r="N42" s="346">
        <f t="shared" ref="N42:AF42" si="24">SUM(N7:N41)</f>
        <v>10893560</v>
      </c>
      <c r="O42" s="347">
        <f t="shared" si="24"/>
        <v>25387878</v>
      </c>
      <c r="P42" s="194">
        <f>SUM(P7:P41)</f>
        <v>13842471.300000001</v>
      </c>
      <c r="Q42" s="194">
        <f>SUM(Q7:Q41)</f>
        <v>50123909.299999997</v>
      </c>
      <c r="R42" s="194">
        <f t="shared" si="24"/>
        <v>31.5</v>
      </c>
      <c r="S42" s="194">
        <f t="shared" si="24"/>
        <v>2010</v>
      </c>
      <c r="T42" s="194">
        <f t="shared" si="24"/>
        <v>12967</v>
      </c>
      <c r="U42" s="194">
        <f t="shared" si="24"/>
        <v>70000</v>
      </c>
      <c r="V42" s="194">
        <f t="shared" si="24"/>
        <v>344546</v>
      </c>
      <c r="W42" s="194">
        <f t="shared" si="24"/>
        <v>21495</v>
      </c>
      <c r="X42" s="194">
        <f t="shared" si="24"/>
        <v>208.8</v>
      </c>
      <c r="Y42" s="194">
        <f t="shared" si="24"/>
        <v>0</v>
      </c>
      <c r="Z42" s="194">
        <f t="shared" si="24"/>
        <v>3703</v>
      </c>
      <c r="AA42" s="194">
        <f t="shared" si="24"/>
        <v>639</v>
      </c>
      <c r="AB42" s="194">
        <f t="shared" si="24"/>
        <v>7768</v>
      </c>
      <c r="AC42" s="194">
        <f t="shared" si="24"/>
        <v>0</v>
      </c>
      <c r="AD42" s="194">
        <f t="shared" si="24"/>
        <v>0</v>
      </c>
      <c r="AE42" s="194">
        <f t="shared" si="24"/>
        <v>0</v>
      </c>
      <c r="AF42" s="194">
        <f t="shared" si="24"/>
        <v>80459</v>
      </c>
      <c r="AG42" s="194">
        <f>SUM(AG16:AG41)</f>
        <v>0</v>
      </c>
      <c r="AH42" s="194">
        <f>SUM(AH7:AH41)</f>
        <v>0</v>
      </c>
      <c r="AI42" s="194">
        <f>SUM(AI16:AI41)</f>
        <v>0</v>
      </c>
      <c r="AJ42" s="194">
        <f t="shared" ref="AJ42:AP42" si="25">SUM(AJ7:AJ41)</f>
        <v>2120459</v>
      </c>
      <c r="AK42" s="194">
        <f t="shared" si="25"/>
        <v>0</v>
      </c>
      <c r="AL42" s="194">
        <f t="shared" si="25"/>
        <v>0</v>
      </c>
      <c r="AM42" s="194">
        <f t="shared" si="25"/>
        <v>0</v>
      </c>
      <c r="AN42" s="194">
        <f>SUM(AN7:AN41)</f>
        <v>32520459</v>
      </c>
      <c r="AO42" s="194">
        <f t="shared" si="25"/>
        <v>32520459</v>
      </c>
      <c r="AP42" s="199">
        <f t="shared" si="25"/>
        <v>16527419.699999999</v>
      </c>
      <c r="AQ42" s="1"/>
      <c r="AR42" s="1"/>
      <c r="AS42" s="1"/>
      <c r="AT42" s="1"/>
      <c r="AU42" s="1"/>
      <c r="AV42" s="1"/>
    </row>
    <row r="43" spans="1:48" ht="45" customHeight="1">
      <c r="B43" s="895" t="s">
        <v>116</v>
      </c>
      <c r="C43" s="895"/>
      <c r="D43" s="895"/>
      <c r="E43" s="895"/>
      <c r="F43" s="895"/>
      <c r="G43" s="895"/>
      <c r="H43" s="895"/>
      <c r="I43" s="895"/>
      <c r="J43" s="895"/>
      <c r="K43" s="895"/>
      <c r="L43" s="895"/>
      <c r="M43" s="895"/>
      <c r="N43" s="895"/>
      <c r="O43" s="895"/>
      <c r="P43" s="895"/>
      <c r="Q43" s="895"/>
      <c r="R43" s="895"/>
      <c r="S43" s="895"/>
      <c r="T43" s="895"/>
      <c r="U43" s="895"/>
      <c r="V43" s="895"/>
      <c r="W43" s="895"/>
      <c r="X43" s="895"/>
      <c r="Y43" s="895"/>
      <c r="Z43" s="895"/>
      <c r="AA43" s="895"/>
      <c r="AB43" s="895"/>
      <c r="AC43" s="895"/>
      <c r="AD43" s="895"/>
      <c r="AE43" s="895"/>
      <c r="AF43" s="895"/>
      <c r="AG43" s="348"/>
      <c r="AH43" s="348"/>
      <c r="AI43" s="348"/>
      <c r="AJ43" s="348"/>
      <c r="AK43" s="348"/>
      <c r="AL43" s="348"/>
      <c r="AM43" s="348"/>
      <c r="AN43" s="348"/>
    </row>
    <row r="44" spans="1:48" ht="14.25">
      <c r="B44" s="433"/>
      <c r="C44" s="116"/>
      <c r="D44" s="116"/>
      <c r="AG44" s="50"/>
      <c r="AH44" s="50"/>
      <c r="AI44" s="50"/>
      <c r="AJ44" s="50"/>
    </row>
    <row r="45" spans="1:48" ht="15" customHeight="1">
      <c r="B45" s="5"/>
      <c r="C45" s="111"/>
      <c r="D45" s="111"/>
      <c r="AG45" s="50"/>
      <c r="AH45" s="50"/>
      <c r="AI45" s="50"/>
      <c r="AJ45" s="50"/>
    </row>
    <row r="46" spans="1:48">
      <c r="AG46" s="50"/>
      <c r="AH46" s="50"/>
      <c r="AI46" s="50"/>
      <c r="AJ46" s="50"/>
    </row>
    <row r="47" spans="1:48">
      <c r="AG47" s="50"/>
      <c r="AH47" s="50"/>
      <c r="AI47" s="50"/>
      <c r="AJ47" s="50"/>
    </row>
    <row r="48" spans="1:48">
      <c r="AG48" s="50"/>
      <c r="AH48" s="50"/>
      <c r="AI48" s="50"/>
      <c r="AJ48" s="50"/>
    </row>
    <row r="49" spans="33:36">
      <c r="AG49" s="50"/>
      <c r="AH49" s="50"/>
      <c r="AI49" s="50"/>
      <c r="AJ49" s="50"/>
    </row>
    <row r="50" spans="33:36">
      <c r="AG50" s="50"/>
      <c r="AH50" s="50"/>
      <c r="AI50" s="50"/>
      <c r="AJ50" s="50"/>
    </row>
    <row r="51" spans="33:36">
      <c r="AG51" s="50"/>
      <c r="AH51" s="50"/>
      <c r="AI51" s="50"/>
      <c r="AJ51" s="50"/>
    </row>
    <row r="52" spans="33:36">
      <c r="AG52" s="50"/>
      <c r="AH52" s="50"/>
      <c r="AI52" s="50"/>
      <c r="AJ52" s="50"/>
    </row>
    <row r="53" spans="33:36">
      <c r="AG53" s="50"/>
      <c r="AH53" s="50"/>
      <c r="AI53" s="50"/>
      <c r="AJ53" s="50"/>
    </row>
    <row r="54" spans="33:36">
      <c r="AG54" s="50"/>
      <c r="AH54" s="50"/>
      <c r="AI54" s="50"/>
      <c r="AJ54" s="50"/>
    </row>
    <row r="55" spans="33:36">
      <c r="AG55" s="50"/>
      <c r="AH55" s="50"/>
      <c r="AI55" s="50"/>
      <c r="AJ55" s="50"/>
    </row>
    <row r="56" spans="33:36">
      <c r="AG56" s="50"/>
      <c r="AH56" s="50"/>
      <c r="AI56" s="50"/>
      <c r="AJ56" s="50"/>
    </row>
    <row r="57" spans="33:36">
      <c r="AG57" s="50"/>
      <c r="AH57" s="50"/>
      <c r="AI57" s="50"/>
      <c r="AJ57" s="50"/>
    </row>
    <row r="58" spans="33:36">
      <c r="AG58" s="50"/>
      <c r="AH58" s="50"/>
      <c r="AI58" s="50"/>
      <c r="AJ58" s="50"/>
    </row>
    <row r="59" spans="33:36">
      <c r="AG59" s="50"/>
      <c r="AH59" s="50"/>
      <c r="AI59" s="50"/>
      <c r="AJ59" s="50"/>
    </row>
    <row r="60" spans="33:36">
      <c r="AG60" s="50"/>
      <c r="AH60" s="50"/>
      <c r="AI60" s="50"/>
      <c r="AJ60" s="50"/>
    </row>
    <row r="61" spans="33:36">
      <c r="AG61" s="50"/>
      <c r="AH61" s="50"/>
      <c r="AI61" s="50"/>
      <c r="AJ61" s="50"/>
    </row>
    <row r="62" spans="33:36">
      <c r="AG62" s="50"/>
      <c r="AH62" s="50"/>
      <c r="AI62" s="50"/>
      <c r="AJ62" s="50"/>
    </row>
    <row r="63" spans="33:36">
      <c r="AG63" s="50"/>
      <c r="AH63" s="50"/>
      <c r="AI63" s="50"/>
      <c r="AJ63" s="50"/>
    </row>
    <row r="64" spans="33:36">
      <c r="AG64" s="50"/>
      <c r="AH64" s="50"/>
      <c r="AI64" s="50"/>
      <c r="AJ64" s="50"/>
    </row>
    <row r="65" spans="33:36">
      <c r="AG65" s="50"/>
      <c r="AH65" s="50"/>
      <c r="AI65" s="50"/>
      <c r="AJ65" s="50"/>
    </row>
    <row r="66" spans="33:36">
      <c r="AG66" s="50"/>
      <c r="AH66" s="50"/>
      <c r="AI66" s="50"/>
      <c r="AJ66" s="50"/>
    </row>
    <row r="67" spans="33:36">
      <c r="AG67" s="50"/>
      <c r="AH67" s="50"/>
      <c r="AI67" s="50"/>
      <c r="AJ67" s="50"/>
    </row>
    <row r="68" spans="33:36">
      <c r="AG68" s="50"/>
      <c r="AH68" s="50"/>
      <c r="AI68" s="50"/>
      <c r="AJ68" s="50"/>
    </row>
    <row r="69" spans="33:36">
      <c r="AG69" s="50"/>
      <c r="AH69" s="50"/>
      <c r="AI69" s="50"/>
      <c r="AJ69" s="50"/>
    </row>
    <row r="70" spans="33:36">
      <c r="AG70" s="50"/>
      <c r="AH70" s="50"/>
      <c r="AI70" s="50"/>
      <c r="AJ70" s="50"/>
    </row>
    <row r="71" spans="33:36">
      <c r="AG71" s="50"/>
      <c r="AH71" s="50"/>
      <c r="AI71" s="50"/>
      <c r="AJ71" s="50"/>
    </row>
    <row r="72" spans="33:36">
      <c r="AG72" s="50"/>
      <c r="AH72" s="50"/>
      <c r="AI72" s="50"/>
      <c r="AJ72" s="50"/>
    </row>
    <row r="73" spans="33:36">
      <c r="AG73" s="50"/>
      <c r="AH73" s="50"/>
      <c r="AI73" s="50"/>
      <c r="AJ73" s="50"/>
    </row>
    <row r="74" spans="33:36">
      <c r="AG74" s="50"/>
      <c r="AH74" s="50"/>
      <c r="AI74" s="50"/>
      <c r="AJ74" s="50"/>
    </row>
    <row r="75" spans="33:36">
      <c r="AG75" s="50"/>
      <c r="AH75" s="50"/>
      <c r="AI75" s="50"/>
      <c r="AJ75" s="50"/>
    </row>
    <row r="76" spans="33:36">
      <c r="AG76" s="50"/>
      <c r="AH76" s="50"/>
      <c r="AI76" s="50"/>
      <c r="AJ76" s="50"/>
    </row>
    <row r="77" spans="33:36">
      <c r="AG77" s="50"/>
      <c r="AH77" s="50"/>
      <c r="AI77" s="50"/>
      <c r="AJ77" s="50"/>
    </row>
    <row r="78" spans="33:36">
      <c r="AG78" s="50"/>
      <c r="AH78" s="50"/>
      <c r="AI78" s="50"/>
      <c r="AJ78" s="50"/>
    </row>
    <row r="79" spans="33:36">
      <c r="AG79" s="50"/>
      <c r="AH79" s="50"/>
      <c r="AI79" s="50"/>
      <c r="AJ79" s="50"/>
    </row>
    <row r="80" spans="33:36">
      <c r="AG80" s="50"/>
      <c r="AH80" s="50"/>
      <c r="AI80" s="50"/>
      <c r="AJ80" s="50"/>
    </row>
    <row r="81" spans="33:36">
      <c r="AG81" s="50"/>
      <c r="AH81" s="50"/>
      <c r="AI81" s="50"/>
      <c r="AJ81" s="50"/>
    </row>
    <row r="82" spans="33:36">
      <c r="AG82" s="50"/>
      <c r="AH82" s="50"/>
      <c r="AI82" s="50"/>
      <c r="AJ82" s="50"/>
    </row>
    <row r="83" spans="33:36">
      <c r="AG83" s="50"/>
      <c r="AH83" s="50"/>
      <c r="AI83" s="50"/>
      <c r="AJ83" s="50"/>
    </row>
    <row r="84" spans="33:36">
      <c r="AG84" s="50"/>
      <c r="AH84" s="50"/>
      <c r="AI84" s="50"/>
      <c r="AJ84" s="50"/>
    </row>
    <row r="85" spans="33:36">
      <c r="AG85" s="50"/>
      <c r="AH85" s="50"/>
      <c r="AI85" s="50"/>
      <c r="AJ85" s="50"/>
    </row>
    <row r="86" spans="33:36">
      <c r="AG86" s="50"/>
      <c r="AH86" s="50"/>
      <c r="AI86" s="50"/>
      <c r="AJ86" s="50"/>
    </row>
    <row r="87" spans="33:36">
      <c r="AG87" s="50"/>
      <c r="AH87" s="50"/>
      <c r="AI87" s="50"/>
      <c r="AJ87" s="50"/>
    </row>
    <row r="88" spans="33:36">
      <c r="AG88" s="50"/>
      <c r="AH88" s="50"/>
      <c r="AI88" s="50"/>
      <c r="AJ88" s="50"/>
    </row>
    <row r="89" spans="33:36">
      <c r="AG89" s="50"/>
      <c r="AH89" s="50"/>
      <c r="AI89" s="50"/>
      <c r="AJ89" s="50"/>
    </row>
    <row r="90" spans="33:36">
      <c r="AG90" s="50"/>
      <c r="AH90" s="50"/>
      <c r="AI90" s="50"/>
      <c r="AJ90" s="50"/>
    </row>
    <row r="91" spans="33:36">
      <c r="AG91" s="50"/>
      <c r="AH91" s="50"/>
      <c r="AI91" s="50"/>
      <c r="AJ91" s="50"/>
    </row>
    <row r="92" spans="33:36">
      <c r="AG92" s="50"/>
      <c r="AH92" s="50"/>
      <c r="AI92" s="50"/>
      <c r="AJ92" s="50"/>
    </row>
    <row r="93" spans="33:36">
      <c r="AG93" s="50"/>
      <c r="AH93" s="50"/>
      <c r="AI93" s="50"/>
      <c r="AJ93" s="50"/>
    </row>
    <row r="94" spans="33:36">
      <c r="AG94" s="50"/>
      <c r="AH94" s="50"/>
      <c r="AI94" s="50"/>
      <c r="AJ94" s="50"/>
    </row>
    <row r="95" spans="33:36">
      <c r="AG95" s="50"/>
      <c r="AH95" s="50"/>
      <c r="AI95" s="50"/>
      <c r="AJ95" s="50"/>
    </row>
    <row r="96" spans="33:36">
      <c r="AG96" s="50"/>
      <c r="AH96" s="50"/>
      <c r="AI96" s="50"/>
      <c r="AJ96" s="50"/>
    </row>
    <row r="97" spans="33:36">
      <c r="AG97" s="50"/>
      <c r="AH97" s="50"/>
      <c r="AI97" s="50"/>
      <c r="AJ97" s="50"/>
    </row>
    <row r="98" spans="33:36">
      <c r="AG98" s="50"/>
      <c r="AH98" s="50"/>
      <c r="AI98" s="50"/>
      <c r="AJ98" s="50"/>
    </row>
    <row r="99" spans="33:36">
      <c r="AG99" s="50"/>
      <c r="AH99" s="50"/>
      <c r="AI99" s="50"/>
      <c r="AJ99" s="50"/>
    </row>
    <row r="100" spans="33:36">
      <c r="AG100" s="50"/>
      <c r="AH100" s="50"/>
      <c r="AI100" s="50"/>
      <c r="AJ100" s="50"/>
    </row>
    <row r="101" spans="33:36">
      <c r="AG101" s="50"/>
      <c r="AH101" s="50"/>
      <c r="AI101" s="50"/>
      <c r="AJ101" s="50"/>
    </row>
    <row r="102" spans="33:36">
      <c r="AG102" s="50"/>
      <c r="AH102" s="50"/>
      <c r="AI102" s="50"/>
      <c r="AJ102" s="50"/>
    </row>
    <row r="103" spans="33:36">
      <c r="AG103" s="50"/>
      <c r="AH103" s="50"/>
      <c r="AI103" s="50"/>
      <c r="AJ103" s="50"/>
    </row>
    <row r="104" spans="33:36">
      <c r="AG104" s="50"/>
      <c r="AH104" s="50"/>
      <c r="AI104" s="50"/>
      <c r="AJ104" s="50"/>
    </row>
    <row r="105" spans="33:36">
      <c r="AG105" s="50"/>
      <c r="AH105" s="50"/>
      <c r="AI105" s="50"/>
      <c r="AJ105" s="50"/>
    </row>
    <row r="106" spans="33:36">
      <c r="AG106" s="50"/>
      <c r="AH106" s="50"/>
      <c r="AI106" s="50"/>
      <c r="AJ106" s="50"/>
    </row>
    <row r="107" spans="33:36">
      <c r="AG107" s="50"/>
      <c r="AH107" s="50"/>
      <c r="AI107" s="50"/>
      <c r="AJ107" s="50"/>
    </row>
    <row r="108" spans="33:36">
      <c r="AG108" s="50"/>
      <c r="AH108" s="50"/>
      <c r="AI108" s="50"/>
      <c r="AJ108" s="50"/>
    </row>
    <row r="109" spans="33:36">
      <c r="AG109" s="50"/>
      <c r="AH109" s="50"/>
      <c r="AI109" s="50"/>
      <c r="AJ109" s="50"/>
    </row>
    <row r="110" spans="33:36">
      <c r="AG110" s="50"/>
      <c r="AH110" s="50"/>
      <c r="AI110" s="50"/>
      <c r="AJ110" s="50"/>
    </row>
    <row r="111" spans="33:36">
      <c r="AG111" s="50"/>
      <c r="AH111" s="50"/>
      <c r="AI111" s="50"/>
      <c r="AJ111" s="50"/>
    </row>
    <row r="112" spans="33:36">
      <c r="AG112" s="50"/>
      <c r="AH112" s="50"/>
      <c r="AI112" s="50"/>
      <c r="AJ112" s="50"/>
    </row>
    <row r="113" spans="33:36">
      <c r="AG113" s="50"/>
      <c r="AH113" s="50"/>
      <c r="AI113" s="50"/>
      <c r="AJ113" s="50"/>
    </row>
    <row r="114" spans="33:36">
      <c r="AG114" s="50"/>
      <c r="AH114" s="50"/>
      <c r="AI114" s="50"/>
      <c r="AJ114" s="50"/>
    </row>
    <row r="115" spans="33:36">
      <c r="AG115" s="50"/>
      <c r="AH115" s="50"/>
      <c r="AI115" s="50"/>
      <c r="AJ115" s="50"/>
    </row>
    <row r="116" spans="33:36">
      <c r="AG116" s="50"/>
      <c r="AH116" s="50"/>
      <c r="AI116" s="50"/>
      <c r="AJ116" s="50"/>
    </row>
    <row r="117" spans="33:36">
      <c r="AG117" s="50"/>
      <c r="AH117" s="50"/>
      <c r="AI117" s="50"/>
      <c r="AJ117" s="50"/>
    </row>
    <row r="118" spans="33:36">
      <c r="AG118" s="50"/>
      <c r="AH118" s="50"/>
      <c r="AI118" s="50"/>
      <c r="AJ118" s="50"/>
    </row>
    <row r="119" spans="33:36">
      <c r="AG119" s="50"/>
      <c r="AH119" s="50"/>
      <c r="AI119" s="50"/>
      <c r="AJ119" s="50"/>
    </row>
    <row r="120" spans="33:36">
      <c r="AG120" s="50"/>
      <c r="AH120" s="50"/>
      <c r="AI120" s="50"/>
      <c r="AJ120" s="50"/>
    </row>
    <row r="121" spans="33:36">
      <c r="AG121" s="50"/>
      <c r="AH121" s="50"/>
      <c r="AI121" s="50"/>
      <c r="AJ121" s="50"/>
    </row>
    <row r="122" spans="33:36">
      <c r="AG122" s="50"/>
      <c r="AH122" s="50"/>
      <c r="AI122" s="50"/>
      <c r="AJ122" s="50"/>
    </row>
    <row r="123" spans="33:36">
      <c r="AG123" s="50"/>
      <c r="AH123" s="50"/>
      <c r="AI123" s="50"/>
      <c r="AJ123" s="50"/>
    </row>
    <row r="124" spans="33:36">
      <c r="AG124" s="50"/>
      <c r="AH124" s="50"/>
      <c r="AI124" s="50"/>
      <c r="AJ124" s="50"/>
    </row>
    <row r="125" spans="33:36">
      <c r="AG125" s="50"/>
      <c r="AH125" s="50"/>
      <c r="AI125" s="50"/>
      <c r="AJ125" s="50"/>
    </row>
    <row r="126" spans="33:36">
      <c r="AG126" s="50"/>
      <c r="AH126" s="50"/>
      <c r="AI126" s="50"/>
      <c r="AJ126" s="50"/>
    </row>
    <row r="127" spans="33:36">
      <c r="AG127" s="50"/>
      <c r="AH127" s="50"/>
      <c r="AI127" s="50"/>
      <c r="AJ127" s="50"/>
    </row>
    <row r="128" spans="33:36">
      <c r="AG128" s="50"/>
      <c r="AH128" s="50"/>
      <c r="AI128" s="50"/>
      <c r="AJ128" s="50"/>
    </row>
    <row r="129" spans="33:36">
      <c r="AG129" s="50"/>
      <c r="AH129" s="50"/>
      <c r="AI129" s="50"/>
      <c r="AJ129" s="50"/>
    </row>
    <row r="130" spans="33:36">
      <c r="AG130" s="50"/>
      <c r="AH130" s="50"/>
      <c r="AI130" s="50"/>
      <c r="AJ130" s="50"/>
    </row>
    <row r="131" spans="33:36">
      <c r="AG131" s="50"/>
      <c r="AH131" s="50"/>
      <c r="AI131" s="50"/>
      <c r="AJ131" s="50"/>
    </row>
    <row r="132" spans="33:36">
      <c r="AG132" s="50"/>
      <c r="AH132" s="50"/>
      <c r="AI132" s="50"/>
      <c r="AJ132" s="50"/>
    </row>
    <row r="133" spans="33:36">
      <c r="AG133" s="50"/>
      <c r="AH133" s="50"/>
      <c r="AI133" s="50"/>
      <c r="AJ133" s="50"/>
    </row>
    <row r="134" spans="33:36">
      <c r="AG134" s="50"/>
      <c r="AH134" s="50"/>
      <c r="AI134" s="50"/>
      <c r="AJ134" s="50"/>
    </row>
    <row r="135" spans="33:36">
      <c r="AG135" s="50"/>
      <c r="AH135" s="50"/>
      <c r="AI135" s="50"/>
      <c r="AJ135" s="50"/>
    </row>
    <row r="136" spans="33:36">
      <c r="AG136" s="50"/>
      <c r="AH136" s="50"/>
      <c r="AI136" s="50"/>
      <c r="AJ136" s="50"/>
    </row>
    <row r="137" spans="33:36">
      <c r="AG137" s="50"/>
      <c r="AH137" s="50"/>
      <c r="AI137" s="50"/>
      <c r="AJ137" s="50"/>
    </row>
    <row r="138" spans="33:36">
      <c r="AG138" s="50"/>
      <c r="AH138" s="50"/>
      <c r="AI138" s="50"/>
      <c r="AJ138" s="50"/>
    </row>
    <row r="139" spans="33:36">
      <c r="AG139" s="50"/>
      <c r="AH139" s="50"/>
      <c r="AI139" s="50"/>
      <c r="AJ139" s="50"/>
    </row>
    <row r="140" spans="33:36">
      <c r="AG140" s="50"/>
      <c r="AH140" s="50"/>
      <c r="AI140" s="50"/>
      <c r="AJ140" s="50"/>
    </row>
    <row r="141" spans="33:36">
      <c r="AG141" s="50"/>
      <c r="AH141" s="50"/>
      <c r="AI141" s="50"/>
      <c r="AJ141" s="50"/>
    </row>
    <row r="142" spans="33:36">
      <c r="AG142" s="50"/>
      <c r="AH142" s="50"/>
      <c r="AI142" s="50"/>
      <c r="AJ142" s="50"/>
    </row>
    <row r="143" spans="33:36">
      <c r="AG143" s="50"/>
      <c r="AH143" s="50"/>
      <c r="AI143" s="50"/>
      <c r="AJ143" s="50"/>
    </row>
    <row r="144" spans="33:36">
      <c r="AG144" s="50"/>
      <c r="AH144" s="50"/>
      <c r="AI144" s="50"/>
      <c r="AJ144" s="50"/>
    </row>
    <row r="145" spans="33:36">
      <c r="AG145" s="50"/>
      <c r="AH145" s="50"/>
      <c r="AI145" s="50"/>
      <c r="AJ145" s="50"/>
    </row>
    <row r="146" spans="33:36">
      <c r="AG146" s="50"/>
      <c r="AH146" s="50"/>
      <c r="AI146" s="50"/>
      <c r="AJ146" s="50"/>
    </row>
    <row r="147" spans="33:36">
      <c r="AG147" s="50"/>
      <c r="AH147" s="50"/>
      <c r="AI147" s="50"/>
      <c r="AJ147" s="50"/>
    </row>
    <row r="148" spans="33:36">
      <c r="AG148" s="50"/>
      <c r="AH148" s="50"/>
      <c r="AI148" s="50"/>
      <c r="AJ148" s="50"/>
    </row>
    <row r="149" spans="33:36">
      <c r="AG149" s="50"/>
      <c r="AH149" s="50"/>
      <c r="AI149" s="50"/>
      <c r="AJ149" s="50"/>
    </row>
    <row r="150" spans="33:36">
      <c r="AG150" s="50"/>
      <c r="AH150" s="50"/>
      <c r="AI150" s="50"/>
      <c r="AJ150" s="50"/>
    </row>
    <row r="151" spans="33:36">
      <c r="AG151" s="50"/>
      <c r="AH151" s="50"/>
      <c r="AI151" s="50"/>
      <c r="AJ151" s="50"/>
    </row>
    <row r="152" spans="33:36">
      <c r="AG152" s="50"/>
      <c r="AH152" s="50"/>
      <c r="AI152" s="50"/>
      <c r="AJ152" s="50"/>
    </row>
    <row r="153" spans="33:36">
      <c r="AG153" s="50"/>
      <c r="AH153" s="50"/>
      <c r="AI153" s="50"/>
      <c r="AJ153" s="50"/>
    </row>
    <row r="154" spans="33:36">
      <c r="AG154" s="50"/>
      <c r="AH154" s="50"/>
      <c r="AI154" s="50"/>
      <c r="AJ154" s="50"/>
    </row>
    <row r="155" spans="33:36">
      <c r="AG155" s="50"/>
      <c r="AH155" s="50"/>
      <c r="AI155" s="50"/>
      <c r="AJ155" s="50"/>
    </row>
    <row r="156" spans="33:36">
      <c r="AG156" s="50"/>
      <c r="AH156" s="50"/>
      <c r="AI156" s="50"/>
      <c r="AJ156" s="50"/>
    </row>
    <row r="157" spans="33:36">
      <c r="AG157" s="50"/>
      <c r="AH157" s="50"/>
      <c r="AI157" s="50"/>
      <c r="AJ157" s="50"/>
    </row>
    <row r="158" spans="33:36">
      <c r="AG158" s="50"/>
      <c r="AH158" s="50"/>
      <c r="AI158" s="50"/>
      <c r="AJ158" s="50"/>
    </row>
    <row r="159" spans="33:36">
      <c r="AG159" s="50"/>
      <c r="AH159" s="50"/>
      <c r="AI159" s="50"/>
      <c r="AJ159" s="50"/>
    </row>
    <row r="160" spans="33:36">
      <c r="AG160" s="50"/>
      <c r="AH160" s="50"/>
      <c r="AI160" s="50"/>
      <c r="AJ160" s="50"/>
    </row>
    <row r="161" spans="33:36">
      <c r="AG161" s="50"/>
      <c r="AH161" s="50"/>
      <c r="AI161" s="50"/>
      <c r="AJ161" s="50"/>
    </row>
    <row r="162" spans="33:36">
      <c r="AG162" s="50"/>
      <c r="AH162" s="50"/>
      <c r="AI162" s="50"/>
      <c r="AJ162" s="50"/>
    </row>
    <row r="163" spans="33:36">
      <c r="AG163" s="50"/>
      <c r="AH163" s="50"/>
      <c r="AI163" s="50"/>
      <c r="AJ163" s="50"/>
    </row>
    <row r="164" spans="33:36">
      <c r="AG164" s="50"/>
      <c r="AH164" s="50"/>
      <c r="AI164" s="50"/>
      <c r="AJ164" s="50"/>
    </row>
    <row r="165" spans="33:36">
      <c r="AG165" s="50"/>
      <c r="AH165" s="50"/>
      <c r="AI165" s="50"/>
      <c r="AJ165" s="50"/>
    </row>
    <row r="166" spans="33:36">
      <c r="AG166" s="50"/>
      <c r="AH166" s="50"/>
      <c r="AI166" s="50"/>
      <c r="AJ166" s="50"/>
    </row>
    <row r="167" spans="33:36">
      <c r="AG167" s="50"/>
      <c r="AH167" s="50"/>
      <c r="AI167" s="50"/>
      <c r="AJ167" s="50"/>
    </row>
    <row r="168" spans="33:36">
      <c r="AG168" s="50"/>
      <c r="AH168" s="50"/>
      <c r="AI168" s="50"/>
      <c r="AJ168" s="50"/>
    </row>
    <row r="169" spans="33:36">
      <c r="AG169" s="50"/>
      <c r="AH169" s="50"/>
      <c r="AI169" s="50"/>
      <c r="AJ169" s="50"/>
    </row>
    <row r="170" spans="33:36">
      <c r="AG170" s="50"/>
      <c r="AH170" s="50"/>
      <c r="AI170" s="50"/>
      <c r="AJ170" s="50"/>
    </row>
    <row r="171" spans="33:36">
      <c r="AG171" s="50"/>
      <c r="AH171" s="50"/>
      <c r="AI171" s="50"/>
      <c r="AJ171" s="50"/>
    </row>
    <row r="172" spans="33:36">
      <c r="AG172" s="50"/>
      <c r="AH172" s="50"/>
      <c r="AI172" s="50"/>
      <c r="AJ172" s="50"/>
    </row>
  </sheetData>
  <mergeCells count="33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O3:AO4"/>
    <mergeCell ref="AP3:AP4"/>
    <mergeCell ref="M3:M4"/>
    <mergeCell ref="N3:N4"/>
    <mergeCell ref="O3:O4"/>
    <mergeCell ref="P3:P4"/>
    <mergeCell ref="Q3:Q4"/>
    <mergeCell ref="V3:X3"/>
    <mergeCell ref="B43:AF43"/>
    <mergeCell ref="Y3:AB3"/>
    <mergeCell ref="AC3:AF3"/>
    <mergeCell ref="AG3:AJ3"/>
    <mergeCell ref="AK3:AN3"/>
  </mergeCells>
  <pageMargins left="0.22" right="0.2" top="0.4" bottom="0.17" header="0.3" footer="0.17"/>
  <pageSetup scale="6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639B4-202A-48AF-ADC3-6AB3236B292F}">
  <dimension ref="A1:AZ85"/>
  <sheetViews>
    <sheetView topLeftCell="A52" zoomScale="60" zoomScaleNormal="60" workbookViewId="0">
      <selection activeCell="V10" sqref="V10"/>
    </sheetView>
  </sheetViews>
  <sheetFormatPr defaultRowHeight="13.5"/>
  <cols>
    <col min="1" max="1" width="4.7109375" style="3" customWidth="1"/>
    <col min="2" max="2" width="17.28515625" style="3" customWidth="1"/>
    <col min="3" max="3" width="5.42578125" style="3" customWidth="1"/>
    <col min="4" max="4" width="21.140625" style="3" customWidth="1"/>
    <col min="5" max="5" width="5.85546875" style="3" customWidth="1"/>
    <col min="6" max="6" width="15" style="3" customWidth="1"/>
    <col min="7" max="7" width="17.140625" style="3" customWidth="1"/>
    <col min="8" max="8" width="10.85546875" style="3" customWidth="1"/>
    <col min="9" max="11" width="5.85546875" style="3" customWidth="1"/>
    <col min="12" max="12" width="13.28515625" style="3" customWidth="1"/>
    <col min="13" max="13" width="6.28515625" style="3" customWidth="1"/>
    <col min="14" max="14" width="17.140625" style="3" customWidth="1"/>
    <col min="15" max="15" width="12.7109375" style="3" customWidth="1"/>
    <col min="16" max="16" width="9.7109375" style="3" customWidth="1"/>
    <col min="17" max="18" width="14.5703125" style="3" customWidth="1"/>
    <col min="19" max="19" width="11.42578125" style="3" customWidth="1"/>
    <col min="20" max="20" width="7.42578125" style="3" customWidth="1"/>
    <col min="21" max="21" width="10.7109375" style="3" customWidth="1"/>
    <col min="22" max="22" width="15.5703125" style="3" customWidth="1"/>
    <col min="23" max="23" width="7.85546875" style="3" customWidth="1"/>
    <col min="24" max="24" width="5.42578125" style="3" customWidth="1"/>
    <col min="25" max="25" width="4.5703125" style="3" customWidth="1"/>
    <col min="26" max="26" width="5.42578125" style="3" customWidth="1"/>
    <col min="27" max="27" width="8" style="3" customWidth="1"/>
    <col min="28" max="28" width="6.28515625" style="3" customWidth="1"/>
    <col min="29" max="29" width="4.85546875" style="3" customWidth="1"/>
    <col min="30" max="30" width="5.42578125" style="3" customWidth="1"/>
    <col min="31" max="31" width="10.42578125" style="3" customWidth="1"/>
    <col min="32" max="32" width="10.7109375" style="3" customWidth="1"/>
    <col min="33" max="34" width="4.85546875" style="78" customWidth="1"/>
    <col min="35" max="35" width="5.5703125" style="78" customWidth="1"/>
    <col min="36" max="36" width="13.28515625" style="78" customWidth="1"/>
    <col min="37" max="37" width="10.85546875" style="3" customWidth="1"/>
    <col min="38" max="38" width="10.42578125" style="3" customWidth="1"/>
    <col min="39" max="39" width="8.7109375" style="3" customWidth="1"/>
    <col min="40" max="40" width="15.140625" style="3" customWidth="1"/>
    <col min="41" max="41" width="16" style="3" customWidth="1"/>
    <col min="42" max="42" width="14.85546875" style="3" customWidth="1"/>
    <col min="43" max="43" width="17.5703125" style="3" customWidth="1"/>
    <col min="44" max="44" width="9.28515625" style="3" customWidth="1"/>
    <col min="45" max="45" width="4.140625" style="3" customWidth="1"/>
    <col min="46" max="46" width="10.5703125" style="3" customWidth="1"/>
    <col min="47" max="47" width="16.42578125" style="3" customWidth="1"/>
    <col min="48" max="48" width="7.28515625" style="3" customWidth="1"/>
    <col min="49" max="49" width="8" style="3" customWidth="1"/>
    <col min="50" max="50" width="5" style="3" customWidth="1"/>
    <col min="51" max="51" width="6.140625" style="3" customWidth="1"/>
    <col min="52" max="52" width="4.28515625" style="3" customWidth="1"/>
    <col min="53" max="53" width="36.7109375" style="3" customWidth="1"/>
    <col min="54" max="16384" width="9.140625" style="3"/>
  </cols>
  <sheetData>
    <row r="1" spans="1:52" ht="59.25" customHeight="1" thickBot="1">
      <c r="A1" s="1008" t="s">
        <v>983</v>
      </c>
      <c r="B1" s="1008"/>
      <c r="C1" s="1008"/>
      <c r="D1" s="1008"/>
      <c r="E1" s="1008"/>
      <c r="F1" s="1008"/>
      <c r="G1" s="1008"/>
      <c r="H1" s="1008"/>
      <c r="I1" s="1008"/>
      <c r="J1" s="1008"/>
      <c r="K1" s="1008"/>
      <c r="L1" s="1008"/>
      <c r="M1" s="1008"/>
      <c r="N1" s="1008"/>
      <c r="O1" s="1008"/>
      <c r="P1" s="1008"/>
      <c r="Q1" s="1008"/>
      <c r="R1" s="1008"/>
      <c r="S1" s="1008"/>
      <c r="T1" s="1008"/>
      <c r="U1" s="1008"/>
      <c r="V1" s="1008"/>
      <c r="W1" s="1008"/>
      <c r="X1" s="1008"/>
      <c r="Y1" s="1008"/>
      <c r="Z1" s="1008"/>
      <c r="AA1" s="1008"/>
      <c r="AB1" s="1008"/>
      <c r="AC1" s="1008"/>
      <c r="AD1" s="1008"/>
      <c r="AE1" s="1008"/>
      <c r="AF1" s="1008"/>
      <c r="AG1" s="1008"/>
      <c r="AH1" s="1008"/>
      <c r="AI1" s="1008"/>
      <c r="AJ1" s="1008"/>
      <c r="AK1" s="1008"/>
      <c r="AL1" s="1008"/>
      <c r="AM1" s="1008"/>
      <c r="AN1" s="1008"/>
      <c r="AO1" s="1008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57" customHeight="1">
      <c r="A2" s="887" t="s">
        <v>0</v>
      </c>
      <c r="B2" s="880" t="s">
        <v>1</v>
      </c>
      <c r="C2" s="891" t="s">
        <v>2</v>
      </c>
      <c r="D2" s="880" t="s">
        <v>3</v>
      </c>
      <c r="E2" s="880"/>
      <c r="F2" s="880"/>
      <c r="G2" s="880"/>
      <c r="H2" s="880"/>
      <c r="I2" s="880" t="s">
        <v>4</v>
      </c>
      <c r="J2" s="880"/>
      <c r="K2" s="880"/>
      <c r="L2" s="880"/>
      <c r="M2" s="880"/>
      <c r="N2" s="892" t="s">
        <v>5</v>
      </c>
      <c r="O2" s="892"/>
      <c r="P2" s="892"/>
      <c r="Q2" s="892"/>
      <c r="R2" s="893" t="s">
        <v>6</v>
      </c>
      <c r="S2" s="893"/>
      <c r="T2" s="893"/>
      <c r="U2" s="893"/>
      <c r="V2" s="880" t="s">
        <v>7</v>
      </c>
      <c r="W2" s="880"/>
      <c r="X2" s="880"/>
      <c r="Y2" s="880" t="s">
        <v>8</v>
      </c>
      <c r="Z2" s="880"/>
      <c r="AA2" s="880"/>
      <c r="AB2" s="880"/>
      <c r="AC2" s="880"/>
      <c r="AD2" s="880"/>
      <c r="AE2" s="880"/>
      <c r="AF2" s="880"/>
      <c r="AG2" s="880" t="s">
        <v>9</v>
      </c>
      <c r="AH2" s="880"/>
      <c r="AI2" s="880"/>
      <c r="AJ2" s="880"/>
      <c r="AK2" s="880"/>
      <c r="AL2" s="880"/>
      <c r="AM2" s="880"/>
      <c r="AN2" s="880"/>
      <c r="AO2" s="880"/>
      <c r="AP2" s="881"/>
      <c r="AQ2" s="1"/>
      <c r="AR2" s="1"/>
      <c r="AS2" s="1"/>
      <c r="AT2" s="1"/>
      <c r="AU2" s="1"/>
      <c r="AV2" s="1"/>
    </row>
    <row r="3" spans="1:52" ht="136.5" customHeight="1">
      <c r="A3" s="888"/>
      <c r="B3" s="873"/>
      <c r="C3" s="882"/>
      <c r="D3" s="882" t="s">
        <v>10</v>
      </c>
      <c r="E3" s="873" t="s">
        <v>11</v>
      </c>
      <c r="F3" s="884" t="s">
        <v>12</v>
      </c>
      <c r="G3" s="882" t="s">
        <v>13</v>
      </c>
      <c r="H3" s="885" t="s">
        <v>123</v>
      </c>
      <c r="I3" s="882" t="s">
        <v>14</v>
      </c>
      <c r="J3" s="882" t="s">
        <v>15</v>
      </c>
      <c r="K3" s="882" t="s">
        <v>16</v>
      </c>
      <c r="L3" s="882" t="s">
        <v>17</v>
      </c>
      <c r="M3" s="873" t="s">
        <v>18</v>
      </c>
      <c r="N3" s="878" t="s">
        <v>19</v>
      </c>
      <c r="O3" s="878" t="s">
        <v>20</v>
      </c>
      <c r="P3" s="878" t="s">
        <v>21</v>
      </c>
      <c r="Q3" s="879" t="s">
        <v>22</v>
      </c>
      <c r="R3" s="894"/>
      <c r="S3" s="894"/>
      <c r="T3" s="894"/>
      <c r="U3" s="894"/>
      <c r="V3" s="873" t="s">
        <v>23</v>
      </c>
      <c r="W3" s="873"/>
      <c r="X3" s="873"/>
      <c r="Y3" s="873" t="s">
        <v>118</v>
      </c>
      <c r="Z3" s="873"/>
      <c r="AA3" s="873"/>
      <c r="AB3" s="873"/>
      <c r="AC3" s="873" t="s">
        <v>24</v>
      </c>
      <c r="AD3" s="873"/>
      <c r="AE3" s="873"/>
      <c r="AF3" s="873"/>
      <c r="AG3" s="874" t="s">
        <v>25</v>
      </c>
      <c r="AH3" s="874"/>
      <c r="AI3" s="874"/>
      <c r="AJ3" s="874"/>
      <c r="AK3" s="1005" t="s">
        <v>26</v>
      </c>
      <c r="AL3" s="1006"/>
      <c r="AM3" s="1006"/>
      <c r="AN3" s="1007"/>
      <c r="AO3" s="876" t="s">
        <v>22</v>
      </c>
      <c r="AP3" s="877" t="s">
        <v>27</v>
      </c>
      <c r="AQ3" s="88"/>
      <c r="AR3" s="88"/>
      <c r="AS3" s="88"/>
      <c r="AT3" s="88"/>
      <c r="AU3" s="88"/>
      <c r="AV3" s="88"/>
    </row>
    <row r="4" spans="1:52" ht="93.75" customHeight="1">
      <c r="A4" s="888"/>
      <c r="B4" s="873"/>
      <c r="C4" s="882"/>
      <c r="D4" s="882"/>
      <c r="E4" s="873"/>
      <c r="F4" s="884"/>
      <c r="G4" s="882"/>
      <c r="H4" s="885"/>
      <c r="I4" s="882"/>
      <c r="J4" s="882"/>
      <c r="K4" s="882"/>
      <c r="L4" s="882"/>
      <c r="M4" s="873"/>
      <c r="N4" s="878"/>
      <c r="O4" s="878"/>
      <c r="P4" s="878"/>
      <c r="Q4" s="879"/>
      <c r="R4" s="14" t="s">
        <v>28</v>
      </c>
      <c r="S4" s="14" t="s">
        <v>29</v>
      </c>
      <c r="T4" s="14" t="s">
        <v>30</v>
      </c>
      <c r="U4" s="14" t="s">
        <v>31</v>
      </c>
      <c r="V4" s="7" t="s">
        <v>119</v>
      </c>
      <c r="W4" s="7" t="s">
        <v>33</v>
      </c>
      <c r="X4" s="7" t="s">
        <v>34</v>
      </c>
      <c r="Y4" s="8" t="s">
        <v>35</v>
      </c>
      <c r="Z4" s="8" t="s">
        <v>36</v>
      </c>
      <c r="AA4" s="8" t="s">
        <v>37</v>
      </c>
      <c r="AB4" s="8" t="s">
        <v>18</v>
      </c>
      <c r="AC4" s="8" t="s">
        <v>35</v>
      </c>
      <c r="AD4" s="8" t="s">
        <v>36</v>
      </c>
      <c r="AE4" s="8" t="s">
        <v>37</v>
      </c>
      <c r="AF4" s="8" t="s">
        <v>18</v>
      </c>
      <c r="AG4" s="15" t="s">
        <v>35</v>
      </c>
      <c r="AH4" s="15" t="s">
        <v>36</v>
      </c>
      <c r="AI4" s="15" t="s">
        <v>37</v>
      </c>
      <c r="AJ4" s="16" t="s">
        <v>31</v>
      </c>
      <c r="AK4" s="17" t="s">
        <v>35</v>
      </c>
      <c r="AL4" s="17" t="s">
        <v>36</v>
      </c>
      <c r="AM4" s="17" t="s">
        <v>37</v>
      </c>
      <c r="AN4" s="18" t="s">
        <v>31</v>
      </c>
      <c r="AO4" s="876"/>
      <c r="AP4" s="877"/>
      <c r="AQ4" s="88"/>
      <c r="AR4" s="88"/>
      <c r="AS4" s="88"/>
      <c r="AT4" s="88"/>
      <c r="AU4" s="88"/>
      <c r="AV4" s="88"/>
    </row>
    <row r="5" spans="1:52" ht="47.25" customHeight="1" thickBot="1">
      <c r="A5" s="889"/>
      <c r="B5" s="890"/>
      <c r="C5" s="19" t="s">
        <v>38</v>
      </c>
      <c r="D5" s="883"/>
      <c r="E5" s="19" t="s">
        <v>38</v>
      </c>
      <c r="F5" s="21"/>
      <c r="G5" s="21"/>
      <c r="H5" s="22"/>
      <c r="I5" s="19"/>
      <c r="J5" s="19"/>
      <c r="K5" s="20"/>
      <c r="L5" s="19"/>
      <c r="M5" s="19"/>
      <c r="N5" s="23" t="s">
        <v>39</v>
      </c>
      <c r="O5" s="23" t="s">
        <v>39</v>
      </c>
      <c r="P5" s="23" t="s">
        <v>39</v>
      </c>
      <c r="Q5" s="24" t="s">
        <v>39</v>
      </c>
      <c r="R5" s="25" t="s">
        <v>40</v>
      </c>
      <c r="S5" s="25" t="s">
        <v>40</v>
      </c>
      <c r="T5" s="25" t="s">
        <v>40</v>
      </c>
      <c r="U5" s="25" t="s">
        <v>40</v>
      </c>
      <c r="V5" s="19" t="s">
        <v>41</v>
      </c>
      <c r="W5" s="19" t="s">
        <v>38</v>
      </c>
      <c r="X5" s="19" t="s">
        <v>34</v>
      </c>
      <c r="Y5" s="19" t="s">
        <v>42</v>
      </c>
      <c r="Z5" s="19" t="s">
        <v>43</v>
      </c>
      <c r="AA5" s="19" t="s">
        <v>44</v>
      </c>
      <c r="AB5" s="19"/>
      <c r="AC5" s="19" t="s">
        <v>42</v>
      </c>
      <c r="AD5" s="19" t="s">
        <v>43</v>
      </c>
      <c r="AE5" s="19" t="s">
        <v>44</v>
      </c>
      <c r="AF5" s="19"/>
      <c r="AG5" s="26" t="s">
        <v>40</v>
      </c>
      <c r="AH5" s="26" t="s">
        <v>40</v>
      </c>
      <c r="AI5" s="26" t="s">
        <v>40</v>
      </c>
      <c r="AJ5" s="26" t="s">
        <v>40</v>
      </c>
      <c r="AK5" s="27" t="s">
        <v>40</v>
      </c>
      <c r="AL5" s="27" t="s">
        <v>40</v>
      </c>
      <c r="AM5" s="27" t="s">
        <v>40</v>
      </c>
      <c r="AN5" s="27" t="s">
        <v>39</v>
      </c>
      <c r="AO5" s="28" t="s">
        <v>39</v>
      </c>
      <c r="AP5" s="96" t="s">
        <v>39</v>
      </c>
      <c r="AQ5" s="1"/>
      <c r="AR5" s="1"/>
      <c r="AS5" s="1"/>
      <c r="AT5" s="1"/>
      <c r="AU5" s="1"/>
      <c r="AV5" s="1"/>
    </row>
    <row r="6" spans="1:52" ht="19.5" customHeight="1">
      <c r="A6" s="97">
        <v>1</v>
      </c>
      <c r="B6" s="29">
        <v>2</v>
      </c>
      <c r="C6" s="98">
        <v>3</v>
      </c>
      <c r="D6" s="29">
        <v>4</v>
      </c>
      <c r="E6" s="98">
        <v>5</v>
      </c>
      <c r="F6" s="29">
        <v>6</v>
      </c>
      <c r="G6" s="98">
        <v>7</v>
      </c>
      <c r="H6" s="99">
        <v>8</v>
      </c>
      <c r="I6" s="98">
        <v>9</v>
      </c>
      <c r="J6" s="29">
        <v>10</v>
      </c>
      <c r="K6" s="98">
        <v>11</v>
      </c>
      <c r="L6" s="29">
        <v>12</v>
      </c>
      <c r="M6" s="98">
        <v>13</v>
      </c>
      <c r="N6" s="100">
        <v>14</v>
      </c>
      <c r="O6" s="101">
        <v>15</v>
      </c>
      <c r="P6" s="100">
        <v>16</v>
      </c>
      <c r="Q6" s="102">
        <v>17</v>
      </c>
      <c r="R6" s="103">
        <v>18</v>
      </c>
      <c r="S6" s="104">
        <v>19</v>
      </c>
      <c r="T6" s="103">
        <v>20</v>
      </c>
      <c r="U6" s="104">
        <v>21</v>
      </c>
      <c r="V6" s="29">
        <v>22</v>
      </c>
      <c r="W6" s="98">
        <v>23</v>
      </c>
      <c r="X6" s="29">
        <v>24</v>
      </c>
      <c r="Y6" s="98">
        <v>25</v>
      </c>
      <c r="Z6" s="29">
        <v>26</v>
      </c>
      <c r="AA6" s="98">
        <v>27</v>
      </c>
      <c r="AB6" s="29">
        <v>28</v>
      </c>
      <c r="AC6" s="98">
        <v>29</v>
      </c>
      <c r="AD6" s="29">
        <v>30</v>
      </c>
      <c r="AE6" s="98">
        <v>31</v>
      </c>
      <c r="AF6" s="29">
        <v>32</v>
      </c>
      <c r="AG6" s="105">
        <v>33</v>
      </c>
      <c r="AH6" s="106">
        <v>34</v>
      </c>
      <c r="AI6" s="105">
        <v>35</v>
      </c>
      <c r="AJ6" s="106">
        <v>36</v>
      </c>
      <c r="AK6" s="107">
        <v>37</v>
      </c>
      <c r="AL6" s="108">
        <v>38</v>
      </c>
      <c r="AM6" s="107">
        <v>39</v>
      </c>
      <c r="AN6" s="108">
        <v>40</v>
      </c>
      <c r="AO6" s="109">
        <v>41</v>
      </c>
      <c r="AP6" s="110">
        <v>42</v>
      </c>
      <c r="AQ6" s="2"/>
      <c r="AR6" s="5"/>
      <c r="AS6" s="2"/>
      <c r="AT6" s="5"/>
      <c r="AU6" s="2"/>
      <c r="AV6" s="5"/>
    </row>
    <row r="7" spans="1:52" ht="207" customHeight="1">
      <c r="A7" s="6">
        <v>1</v>
      </c>
      <c r="B7" s="943" t="s">
        <v>474</v>
      </c>
      <c r="C7" s="943">
        <v>19</v>
      </c>
      <c r="D7" s="7" t="s">
        <v>475</v>
      </c>
      <c r="E7" s="39">
        <v>9</v>
      </c>
      <c r="F7" s="7" t="s">
        <v>476</v>
      </c>
      <c r="G7" s="7" t="s">
        <v>477</v>
      </c>
      <c r="H7" s="132" t="s">
        <v>478</v>
      </c>
      <c r="I7" s="39" t="s">
        <v>193</v>
      </c>
      <c r="J7" s="39" t="s">
        <v>130</v>
      </c>
      <c r="K7" s="39"/>
      <c r="L7" s="39" t="s">
        <v>130</v>
      </c>
      <c r="M7" s="39"/>
      <c r="N7" s="129" t="s">
        <v>984</v>
      </c>
      <c r="O7" s="129" t="s">
        <v>985</v>
      </c>
      <c r="P7" s="129" t="s">
        <v>986</v>
      </c>
      <c r="Q7" s="130" t="s">
        <v>987</v>
      </c>
      <c r="R7" s="43" t="s">
        <v>193</v>
      </c>
      <c r="S7" s="43" t="s">
        <v>193</v>
      </c>
      <c r="T7" s="43" t="s">
        <v>193</v>
      </c>
      <c r="U7" s="10" t="s">
        <v>479</v>
      </c>
      <c r="V7" s="7">
        <v>47337</v>
      </c>
      <c r="W7" s="39">
        <v>0</v>
      </c>
      <c r="X7" s="39">
        <v>0</v>
      </c>
      <c r="Y7" s="39" t="s">
        <v>193</v>
      </c>
      <c r="Z7" s="39">
        <v>850</v>
      </c>
      <c r="AA7" s="39">
        <v>38</v>
      </c>
      <c r="AB7" s="7" t="s">
        <v>480</v>
      </c>
      <c r="AC7" s="39" t="s">
        <v>193</v>
      </c>
      <c r="AD7" s="39">
        <v>850</v>
      </c>
      <c r="AE7" s="39">
        <v>38</v>
      </c>
      <c r="AF7" s="7" t="s">
        <v>480</v>
      </c>
      <c r="AG7" s="44">
        <v>0</v>
      </c>
      <c r="AH7" s="44">
        <v>0</v>
      </c>
      <c r="AI7" s="44">
        <v>0</v>
      </c>
      <c r="AJ7" s="44">
        <v>0</v>
      </c>
      <c r="AK7" s="44">
        <v>0</v>
      </c>
      <c r="AL7" s="44">
        <v>0</v>
      </c>
      <c r="AM7" s="44">
        <v>0</v>
      </c>
      <c r="AN7" s="44">
        <v>0</v>
      </c>
      <c r="AO7" s="44">
        <v>1125500</v>
      </c>
      <c r="AP7" s="44">
        <v>0</v>
      </c>
      <c r="AQ7" s="1"/>
      <c r="AR7" s="1"/>
      <c r="AS7" s="1"/>
      <c r="AT7" s="1"/>
      <c r="AU7" s="1"/>
      <c r="AV7" s="1"/>
    </row>
    <row r="8" spans="1:52" ht="173.25" customHeight="1" thickBot="1">
      <c r="A8" s="49">
        <v>2</v>
      </c>
      <c r="B8" s="956"/>
      <c r="C8" s="956"/>
      <c r="D8" s="64" t="s">
        <v>481</v>
      </c>
      <c r="E8" s="61">
        <v>15</v>
      </c>
      <c r="F8" s="64" t="s">
        <v>482</v>
      </c>
      <c r="G8" s="64" t="s">
        <v>483</v>
      </c>
      <c r="H8" s="283" t="s">
        <v>484</v>
      </c>
      <c r="I8" s="61"/>
      <c r="J8" s="61"/>
      <c r="K8" s="61"/>
      <c r="L8" s="61"/>
      <c r="M8" s="284"/>
      <c r="N8" s="129">
        <v>0</v>
      </c>
      <c r="O8" s="41">
        <v>0</v>
      </c>
      <c r="P8" s="285">
        <v>0</v>
      </c>
      <c r="Q8" s="286">
        <v>0</v>
      </c>
      <c r="R8" s="287"/>
      <c r="S8" s="287"/>
      <c r="T8" s="287"/>
      <c r="U8" s="288"/>
      <c r="V8" s="289"/>
      <c r="W8" s="61"/>
      <c r="X8" s="61"/>
      <c r="Y8" s="61"/>
      <c r="Z8" s="289"/>
      <c r="AA8" s="289"/>
      <c r="AB8" s="289"/>
      <c r="AC8" s="289"/>
      <c r="AD8" s="289"/>
      <c r="AE8" s="289"/>
      <c r="AF8" s="289"/>
      <c r="AG8" s="290"/>
      <c r="AH8" s="290"/>
      <c r="AI8" s="290"/>
      <c r="AJ8" s="290"/>
      <c r="AK8" s="290"/>
      <c r="AL8" s="290"/>
      <c r="AM8" s="290"/>
      <c r="AN8" s="290"/>
      <c r="AO8" s="290"/>
      <c r="AP8" s="44"/>
      <c r="AQ8" s="1"/>
      <c r="AR8" s="1"/>
      <c r="AS8" s="1"/>
      <c r="AT8" s="1"/>
      <c r="AU8" s="1"/>
      <c r="AV8" s="1"/>
    </row>
    <row r="9" spans="1:52" ht="45" customHeight="1" thickBot="1">
      <c r="A9" s="136"/>
      <c r="B9" s="138" t="s">
        <v>115</v>
      </c>
      <c r="C9" s="138">
        <f>SUM(C7:C7)</f>
        <v>19</v>
      </c>
      <c r="D9" s="138">
        <v>9</v>
      </c>
      <c r="E9" s="138">
        <f>SUM(E7:E7)</f>
        <v>9</v>
      </c>
      <c r="F9" s="138"/>
      <c r="G9" s="138">
        <v>7</v>
      </c>
      <c r="H9" s="138"/>
      <c r="I9" s="138"/>
      <c r="J9" s="138"/>
      <c r="K9" s="138"/>
      <c r="L9" s="138"/>
      <c r="M9" s="147"/>
      <c r="N9" s="292">
        <v>8617006</v>
      </c>
      <c r="O9" s="293">
        <v>4933000</v>
      </c>
      <c r="P9" s="138">
        <v>3334310</v>
      </c>
      <c r="Q9" s="130">
        <v>16884316</v>
      </c>
      <c r="R9" s="138">
        <f>SUM(R7:R7)</f>
        <v>0</v>
      </c>
      <c r="S9" s="138">
        <f>SUM(S7:S7)</f>
        <v>0</v>
      </c>
      <c r="T9" s="138">
        <f>SUM(T7:T7)</f>
        <v>0</v>
      </c>
      <c r="U9" s="138">
        <v>25000</v>
      </c>
      <c r="V9" s="138">
        <v>47337</v>
      </c>
      <c r="W9" s="138">
        <f t="shared" ref="W9:AO9" si="0">SUM(W7:W7)</f>
        <v>0</v>
      </c>
      <c r="X9" s="138">
        <f t="shared" si="0"/>
        <v>0</v>
      </c>
      <c r="Y9" s="138">
        <f t="shared" si="0"/>
        <v>0</v>
      </c>
      <c r="Z9" s="138">
        <f t="shared" si="0"/>
        <v>850</v>
      </c>
      <c r="AA9" s="138">
        <f t="shared" si="0"/>
        <v>38</v>
      </c>
      <c r="AB9" s="138">
        <f t="shared" si="0"/>
        <v>0</v>
      </c>
      <c r="AC9" s="138">
        <f t="shared" si="0"/>
        <v>0</v>
      </c>
      <c r="AD9" s="138">
        <f t="shared" si="0"/>
        <v>850</v>
      </c>
      <c r="AE9" s="138">
        <f t="shared" si="0"/>
        <v>38</v>
      </c>
      <c r="AF9" s="138">
        <f t="shared" si="0"/>
        <v>0</v>
      </c>
      <c r="AG9" s="138">
        <f t="shared" si="0"/>
        <v>0</v>
      </c>
      <c r="AH9" s="138">
        <f t="shared" si="0"/>
        <v>0</v>
      </c>
      <c r="AI9" s="138">
        <f t="shared" si="0"/>
        <v>0</v>
      </c>
      <c r="AJ9" s="138">
        <f t="shared" si="0"/>
        <v>0</v>
      </c>
      <c r="AK9" s="138">
        <f t="shared" si="0"/>
        <v>0</v>
      </c>
      <c r="AL9" s="138">
        <f t="shared" si="0"/>
        <v>0</v>
      </c>
      <c r="AM9" s="138">
        <f t="shared" si="0"/>
        <v>0</v>
      </c>
      <c r="AN9" s="138">
        <f t="shared" si="0"/>
        <v>0</v>
      </c>
      <c r="AO9" s="138">
        <f t="shared" si="0"/>
        <v>1125500</v>
      </c>
      <c r="AP9" s="44">
        <v>0</v>
      </c>
      <c r="AQ9" s="1"/>
      <c r="AR9" s="1"/>
      <c r="AS9" s="1"/>
      <c r="AT9" s="1"/>
      <c r="AU9" s="1"/>
      <c r="AV9" s="1"/>
    </row>
    <row r="10" spans="1:52" s="152" customFormat="1" ht="57" customHeight="1">
      <c r="A10" s="280">
        <v>1</v>
      </c>
      <c r="B10" s="967" t="s">
        <v>496</v>
      </c>
      <c r="C10" s="1004">
        <v>7</v>
      </c>
      <c r="D10" s="48" t="s">
        <v>497</v>
      </c>
      <c r="E10" s="47">
        <v>2</v>
      </c>
      <c r="F10" s="277">
        <v>42767</v>
      </c>
      <c r="G10" s="48" t="s">
        <v>498</v>
      </c>
      <c r="H10" s="146" t="s">
        <v>127</v>
      </c>
      <c r="I10" s="210" t="s">
        <v>499</v>
      </c>
      <c r="J10" s="146"/>
      <c r="K10" s="210"/>
      <c r="L10" s="146"/>
      <c r="M10" s="210"/>
      <c r="N10" s="300">
        <f>(170000*12)+499950</f>
        <v>2539950</v>
      </c>
      <c r="O10" s="301">
        <v>5086495</v>
      </c>
      <c r="P10" s="300">
        <f>14400*12*2</f>
        <v>345600</v>
      </c>
      <c r="Q10" s="302">
        <f>N10+O10+P10</f>
        <v>7972045</v>
      </c>
      <c r="R10" s="36"/>
      <c r="S10" s="35"/>
      <c r="T10" s="36">
        <v>500</v>
      </c>
      <c r="U10" s="35"/>
      <c r="V10" s="146"/>
      <c r="W10" s="210"/>
      <c r="X10" s="146"/>
      <c r="Y10" s="210"/>
      <c r="Z10" s="146"/>
      <c r="AA10" s="210"/>
      <c r="AB10" s="146"/>
      <c r="AC10" s="210"/>
      <c r="AD10" s="146"/>
      <c r="AE10" s="210"/>
      <c r="AF10" s="146"/>
      <c r="AG10" s="301"/>
      <c r="AH10" s="300"/>
      <c r="AI10" s="301"/>
      <c r="AJ10" s="300"/>
      <c r="AK10" s="40">
        <f t="shared" ref="AK10:AN15" si="1">R10*Y10</f>
        <v>0</v>
      </c>
      <c r="AL10" s="40">
        <f t="shared" si="1"/>
        <v>0</v>
      </c>
      <c r="AM10" s="40">
        <f t="shared" si="1"/>
        <v>0</v>
      </c>
      <c r="AN10" s="40">
        <f t="shared" si="1"/>
        <v>0</v>
      </c>
      <c r="AO10" s="303">
        <v>0</v>
      </c>
      <c r="AP10" s="304">
        <f>AO10-Q10</f>
        <v>-7972045</v>
      </c>
      <c r="AQ10" s="295"/>
      <c r="AR10" s="296"/>
      <c r="AS10" s="295"/>
      <c r="AT10" s="296"/>
      <c r="AU10" s="295"/>
      <c r="AV10" s="740"/>
    </row>
    <row r="11" spans="1:52" s="152" customFormat="1" ht="72" customHeight="1">
      <c r="A11" s="280">
        <v>2</v>
      </c>
      <c r="B11" s="944"/>
      <c r="C11" s="944"/>
      <c r="D11" s="48" t="s">
        <v>500</v>
      </c>
      <c r="E11" s="47">
        <v>1</v>
      </c>
      <c r="F11" s="277">
        <v>42767</v>
      </c>
      <c r="G11" s="48" t="s">
        <v>501</v>
      </c>
      <c r="H11" s="146" t="s">
        <v>127</v>
      </c>
      <c r="I11" s="210"/>
      <c r="J11" s="146"/>
      <c r="K11" s="210"/>
      <c r="L11" s="146"/>
      <c r="M11" s="210"/>
      <c r="N11" s="300">
        <v>380000</v>
      </c>
      <c r="O11" s="301">
        <v>377500</v>
      </c>
      <c r="P11" s="300">
        <v>172800</v>
      </c>
      <c r="Q11" s="302">
        <f>N11+O11+P11</f>
        <v>930300</v>
      </c>
      <c r="R11" s="36"/>
      <c r="S11" s="35"/>
      <c r="T11" s="36"/>
      <c r="U11" s="35"/>
      <c r="V11" s="146"/>
      <c r="W11" s="210"/>
      <c r="X11" s="146"/>
      <c r="Y11" s="210"/>
      <c r="Z11" s="146"/>
      <c r="AA11" s="210"/>
      <c r="AB11" s="146"/>
      <c r="AC11" s="210"/>
      <c r="AD11" s="146"/>
      <c r="AE11" s="210"/>
      <c r="AF11" s="146"/>
      <c r="AG11" s="301"/>
      <c r="AH11" s="300"/>
      <c r="AI11" s="301"/>
      <c r="AJ11" s="300"/>
      <c r="AK11" s="40">
        <f t="shared" si="1"/>
        <v>0</v>
      </c>
      <c r="AL11" s="40">
        <f t="shared" si="1"/>
        <v>0</v>
      </c>
      <c r="AM11" s="40">
        <f t="shared" si="1"/>
        <v>0</v>
      </c>
      <c r="AN11" s="40">
        <f t="shared" si="1"/>
        <v>0</v>
      </c>
      <c r="AO11" s="303">
        <f>AK11+AL11+AM11+AN11</f>
        <v>0</v>
      </c>
      <c r="AP11" s="304">
        <f t="shared" ref="AP11:AP32" si="2">AO11-Q11</f>
        <v>-930300</v>
      </c>
      <c r="AQ11" s="295"/>
      <c r="AR11" s="296"/>
      <c r="AS11" s="295"/>
      <c r="AT11" s="296"/>
      <c r="AU11" s="295"/>
      <c r="AV11" s="740"/>
    </row>
    <row r="12" spans="1:52" s="152" customFormat="1" ht="86.25" customHeight="1">
      <c r="A12" s="280">
        <v>3</v>
      </c>
      <c r="B12" s="944"/>
      <c r="C12" s="944"/>
      <c r="D12" s="48" t="s">
        <v>195</v>
      </c>
      <c r="E12" s="47">
        <v>2</v>
      </c>
      <c r="F12" s="277">
        <v>42767</v>
      </c>
      <c r="G12" s="48" t="s">
        <v>502</v>
      </c>
      <c r="H12" s="146" t="s">
        <v>127</v>
      </c>
      <c r="I12" s="210"/>
      <c r="J12" s="146"/>
      <c r="K12" s="210"/>
      <c r="L12" s="146"/>
      <c r="M12" s="210"/>
      <c r="N12" s="300">
        <f>(170000*12)+561750</f>
        <v>2601750</v>
      </c>
      <c r="O12" s="301">
        <v>4267440</v>
      </c>
      <c r="P12" s="300">
        <v>345600</v>
      </c>
      <c r="Q12" s="302">
        <f t="shared" ref="Q12" si="3">N12+O12+P12</f>
        <v>7214790</v>
      </c>
      <c r="R12" s="36"/>
      <c r="S12" s="35">
        <v>15000</v>
      </c>
      <c r="T12" s="36"/>
      <c r="U12" s="35"/>
      <c r="V12" s="146"/>
      <c r="W12" s="210"/>
      <c r="X12" s="146"/>
      <c r="Y12" s="210"/>
      <c r="Z12" s="146"/>
      <c r="AA12" s="210"/>
      <c r="AB12" s="146"/>
      <c r="AC12" s="210"/>
      <c r="AD12" s="146"/>
      <c r="AE12" s="210"/>
      <c r="AF12" s="146"/>
      <c r="AG12" s="301"/>
      <c r="AH12" s="300"/>
      <c r="AI12" s="301"/>
      <c r="AJ12" s="300"/>
      <c r="AK12" s="40">
        <f t="shared" si="1"/>
        <v>0</v>
      </c>
      <c r="AL12" s="40">
        <f t="shared" si="1"/>
        <v>0</v>
      </c>
      <c r="AM12" s="40">
        <f t="shared" si="1"/>
        <v>0</v>
      </c>
      <c r="AN12" s="40">
        <f t="shared" si="1"/>
        <v>0</v>
      </c>
      <c r="AO12" s="303">
        <f>AK12+AL12+AM12+AN12</f>
        <v>0</v>
      </c>
      <c r="AP12" s="304">
        <f t="shared" si="2"/>
        <v>-7214790</v>
      </c>
      <c r="AQ12" s="295"/>
      <c r="AR12" s="296"/>
      <c r="AS12" s="295"/>
      <c r="AT12" s="296"/>
      <c r="AU12" s="295"/>
      <c r="AV12" s="740"/>
    </row>
    <row r="13" spans="1:52" s="152" customFormat="1" ht="74.25" customHeight="1">
      <c r="A13" s="280">
        <v>4</v>
      </c>
      <c r="B13" s="944"/>
      <c r="C13" s="944"/>
      <c r="D13" s="48" t="s">
        <v>503</v>
      </c>
      <c r="E13" s="47">
        <v>1</v>
      </c>
      <c r="F13" s="277">
        <v>42826</v>
      </c>
      <c r="G13" s="48" t="s">
        <v>504</v>
      </c>
      <c r="H13" s="146" t="s">
        <v>127</v>
      </c>
      <c r="I13" s="210"/>
      <c r="J13" s="146"/>
      <c r="K13" s="210"/>
      <c r="L13" s="146"/>
      <c r="M13" s="210"/>
      <c r="N13" s="300">
        <v>175000</v>
      </c>
      <c r="O13" s="301">
        <v>722500</v>
      </c>
      <c r="P13" s="300"/>
      <c r="Q13" s="302">
        <f>N13+O13+P13</f>
        <v>897500</v>
      </c>
      <c r="R13" s="36"/>
      <c r="S13" s="35"/>
      <c r="T13" s="36">
        <v>25000</v>
      </c>
      <c r="U13" s="35"/>
      <c r="V13" s="146"/>
      <c r="W13" s="210"/>
      <c r="X13" s="146"/>
      <c r="Y13" s="210"/>
      <c r="Z13" s="146"/>
      <c r="AA13" s="210"/>
      <c r="AB13" s="146"/>
      <c r="AC13" s="210"/>
      <c r="AD13" s="146"/>
      <c r="AE13" s="210"/>
      <c r="AF13" s="146"/>
      <c r="AG13" s="301"/>
      <c r="AH13" s="300"/>
      <c r="AI13" s="301"/>
      <c r="AJ13" s="300"/>
      <c r="AK13" s="40">
        <f t="shared" si="1"/>
        <v>0</v>
      </c>
      <c r="AL13" s="40">
        <f t="shared" si="1"/>
        <v>0</v>
      </c>
      <c r="AM13" s="40">
        <f t="shared" si="1"/>
        <v>0</v>
      </c>
      <c r="AN13" s="40">
        <f t="shared" si="1"/>
        <v>0</v>
      </c>
      <c r="AO13" s="303">
        <f>AK13+AL13+AM13+AN13</f>
        <v>0</v>
      </c>
      <c r="AP13" s="304">
        <f t="shared" si="2"/>
        <v>-897500</v>
      </c>
      <c r="AQ13" s="295"/>
      <c r="AR13" s="296"/>
      <c r="AS13" s="295"/>
      <c r="AT13" s="296"/>
      <c r="AU13" s="295"/>
      <c r="AV13" s="740"/>
    </row>
    <row r="14" spans="1:52" s="152" customFormat="1" ht="81.75" customHeight="1">
      <c r="A14" s="280">
        <v>5</v>
      </c>
      <c r="B14" s="944"/>
      <c r="C14" s="944"/>
      <c r="D14" s="48" t="s">
        <v>505</v>
      </c>
      <c r="E14" s="47">
        <v>2</v>
      </c>
      <c r="F14" s="277">
        <v>42826</v>
      </c>
      <c r="G14" s="48" t="s">
        <v>506</v>
      </c>
      <c r="H14" s="146" t="s">
        <v>127</v>
      </c>
      <c r="I14" s="210" t="s">
        <v>499</v>
      </c>
      <c r="J14" s="146"/>
      <c r="K14" s="210"/>
      <c r="L14" s="146"/>
      <c r="M14" s="210"/>
      <c r="N14" s="300">
        <f>(170000*12)+1007830</f>
        <v>3047830</v>
      </c>
      <c r="O14" s="301">
        <v>7039208</v>
      </c>
      <c r="P14" s="300">
        <f>14400*12*2</f>
        <v>345600</v>
      </c>
      <c r="Q14" s="302">
        <f>N14+O14+P14</f>
        <v>10432638</v>
      </c>
      <c r="R14" s="36"/>
      <c r="S14" s="35"/>
      <c r="T14" s="36">
        <v>100</v>
      </c>
      <c r="U14" s="35">
        <v>3000</v>
      </c>
      <c r="V14" s="146"/>
      <c r="W14" s="210"/>
      <c r="X14" s="146"/>
      <c r="Y14" s="210"/>
      <c r="Z14" s="146"/>
      <c r="AA14" s="210"/>
      <c r="AB14" s="146"/>
      <c r="AC14" s="210"/>
      <c r="AD14" s="146"/>
      <c r="AE14" s="210"/>
      <c r="AF14" s="146"/>
      <c r="AG14" s="301"/>
      <c r="AH14" s="300"/>
      <c r="AI14" s="301"/>
      <c r="AJ14" s="300"/>
      <c r="AK14" s="40">
        <f t="shared" si="1"/>
        <v>0</v>
      </c>
      <c r="AL14" s="40">
        <f t="shared" si="1"/>
        <v>0</v>
      </c>
      <c r="AM14" s="40">
        <f t="shared" si="1"/>
        <v>0</v>
      </c>
      <c r="AN14" s="40">
        <f t="shared" si="1"/>
        <v>0</v>
      </c>
      <c r="AO14" s="303">
        <f>AK14+AL14+AM14+AN14</f>
        <v>0</v>
      </c>
      <c r="AP14" s="304">
        <f t="shared" si="2"/>
        <v>-10432638</v>
      </c>
      <c r="AQ14" s="295"/>
      <c r="AR14" s="296"/>
      <c r="AS14" s="295"/>
      <c r="AT14" s="296"/>
      <c r="AU14" s="295"/>
      <c r="AV14" s="740"/>
    </row>
    <row r="15" spans="1:52" s="152" customFormat="1" ht="60" customHeight="1">
      <c r="A15" s="280">
        <v>6</v>
      </c>
      <c r="B15" s="944"/>
      <c r="C15" s="944"/>
      <c r="D15" s="48" t="s">
        <v>507</v>
      </c>
      <c r="E15" s="47">
        <v>1</v>
      </c>
      <c r="F15" s="277">
        <v>42917</v>
      </c>
      <c r="G15" s="48" t="s">
        <v>508</v>
      </c>
      <c r="H15" s="146" t="s">
        <v>127</v>
      </c>
      <c r="I15" s="210" t="s">
        <v>499</v>
      </c>
      <c r="J15" s="146"/>
      <c r="K15" s="210"/>
      <c r="L15" s="146"/>
      <c r="M15" s="210"/>
      <c r="N15" s="300">
        <f>(85000*9)+540180</f>
        <v>1305180</v>
      </c>
      <c r="O15" s="301">
        <v>440336</v>
      </c>
      <c r="P15" s="300">
        <f>14400*6</f>
        <v>86400</v>
      </c>
      <c r="Q15" s="302">
        <f>N15+O15+P15</f>
        <v>1831916</v>
      </c>
      <c r="R15" s="36"/>
      <c r="S15" s="35"/>
      <c r="T15" s="36">
        <v>30000</v>
      </c>
      <c r="U15" s="35"/>
      <c r="V15" s="146"/>
      <c r="W15" s="210"/>
      <c r="X15" s="146"/>
      <c r="Y15" s="210"/>
      <c r="Z15" s="146"/>
      <c r="AA15" s="210"/>
      <c r="AB15" s="146"/>
      <c r="AC15" s="210"/>
      <c r="AD15" s="146"/>
      <c r="AE15" s="210"/>
      <c r="AF15" s="146"/>
      <c r="AG15" s="301"/>
      <c r="AH15" s="300"/>
      <c r="AI15" s="301"/>
      <c r="AJ15" s="300"/>
      <c r="AK15" s="40">
        <f t="shared" si="1"/>
        <v>0</v>
      </c>
      <c r="AL15" s="40">
        <f t="shared" si="1"/>
        <v>0</v>
      </c>
      <c r="AM15" s="40">
        <f t="shared" si="1"/>
        <v>0</v>
      </c>
      <c r="AN15" s="40">
        <f t="shared" si="1"/>
        <v>0</v>
      </c>
      <c r="AO15" s="303">
        <f>AK15+AL15+AM15+AN15</f>
        <v>0</v>
      </c>
      <c r="AP15" s="304">
        <f t="shared" si="2"/>
        <v>-1831916</v>
      </c>
      <c r="AQ15" s="295"/>
      <c r="AR15" s="296"/>
      <c r="AS15" s="295"/>
      <c r="AT15" s="296"/>
      <c r="AU15" s="295"/>
      <c r="AV15" s="740"/>
    </row>
    <row r="16" spans="1:52" s="152" customFormat="1" ht="51.75" customHeight="1">
      <c r="A16" s="280">
        <v>7</v>
      </c>
      <c r="B16" s="944"/>
      <c r="C16" s="944"/>
      <c r="D16" s="48" t="s">
        <v>509</v>
      </c>
      <c r="E16" s="47">
        <v>1</v>
      </c>
      <c r="F16" s="277">
        <v>42917</v>
      </c>
      <c r="G16" s="48" t="s">
        <v>509</v>
      </c>
      <c r="H16" s="146" t="s">
        <v>127</v>
      </c>
      <c r="I16" s="210"/>
      <c r="J16" s="146"/>
      <c r="K16" s="210"/>
      <c r="L16" s="146"/>
      <c r="M16" s="210"/>
      <c r="N16" s="300"/>
      <c r="O16" s="301"/>
      <c r="P16" s="300"/>
      <c r="Q16" s="302"/>
      <c r="R16" s="36"/>
      <c r="S16" s="35"/>
      <c r="T16" s="36">
        <v>25000</v>
      </c>
      <c r="U16" s="35"/>
      <c r="V16" s="146"/>
      <c r="W16" s="210"/>
      <c r="X16" s="146"/>
      <c r="Y16" s="210"/>
      <c r="Z16" s="146"/>
      <c r="AA16" s="210"/>
      <c r="AB16" s="146"/>
      <c r="AC16" s="210"/>
      <c r="AD16" s="146"/>
      <c r="AE16" s="210"/>
      <c r="AF16" s="146"/>
      <c r="AG16" s="301"/>
      <c r="AH16" s="300"/>
      <c r="AI16" s="301"/>
      <c r="AJ16" s="300"/>
      <c r="AK16" s="40"/>
      <c r="AL16" s="40"/>
      <c r="AM16" s="40">
        <f>T16*AA16</f>
        <v>0</v>
      </c>
      <c r="AN16" s="40"/>
      <c r="AO16" s="303"/>
      <c r="AP16" s="304">
        <f t="shared" si="2"/>
        <v>0</v>
      </c>
      <c r="AQ16" s="295"/>
      <c r="AR16" s="296"/>
      <c r="AS16" s="295"/>
      <c r="AT16" s="296"/>
      <c r="AU16" s="295"/>
      <c r="AV16" s="740"/>
    </row>
    <row r="17" spans="1:48" s="152" customFormat="1" ht="33.75" customHeight="1">
      <c r="A17" s="280">
        <v>8</v>
      </c>
      <c r="B17" s="944"/>
      <c r="C17" s="944"/>
      <c r="D17" s="48" t="s">
        <v>510</v>
      </c>
      <c r="E17" s="47">
        <v>1</v>
      </c>
      <c r="F17" s="277">
        <v>42917</v>
      </c>
      <c r="G17" s="48" t="s">
        <v>510</v>
      </c>
      <c r="H17" s="146" t="s">
        <v>127</v>
      </c>
      <c r="I17" s="210" t="s">
        <v>511</v>
      </c>
      <c r="J17" s="146"/>
      <c r="K17" s="210"/>
      <c r="L17" s="146"/>
      <c r="M17" s="210"/>
      <c r="N17" s="300">
        <v>2503100</v>
      </c>
      <c r="O17" s="301">
        <v>1518240</v>
      </c>
      <c r="P17" s="300">
        <v>172800</v>
      </c>
      <c r="Q17" s="302">
        <f>N17+O17+P17</f>
        <v>4194140</v>
      </c>
      <c r="R17" s="36"/>
      <c r="S17" s="35"/>
      <c r="T17" s="36"/>
      <c r="U17" s="35"/>
      <c r="V17" s="146"/>
      <c r="W17" s="210"/>
      <c r="X17" s="146"/>
      <c r="Y17" s="210"/>
      <c r="Z17" s="146"/>
      <c r="AA17" s="210"/>
      <c r="AB17" s="146"/>
      <c r="AC17" s="210"/>
      <c r="AD17" s="146"/>
      <c r="AE17" s="210"/>
      <c r="AF17" s="146"/>
      <c r="AG17" s="301"/>
      <c r="AH17" s="300"/>
      <c r="AI17" s="301"/>
      <c r="AJ17" s="300"/>
      <c r="AK17" s="40"/>
      <c r="AL17" s="40"/>
      <c r="AM17" s="40">
        <f>T17*AA17</f>
        <v>0</v>
      </c>
      <c r="AN17" s="40"/>
      <c r="AO17" s="303"/>
      <c r="AP17" s="304">
        <f t="shared" si="2"/>
        <v>-4194140</v>
      </c>
      <c r="AQ17" s="295"/>
      <c r="AR17" s="296"/>
      <c r="AS17" s="295"/>
      <c r="AT17" s="296"/>
      <c r="AU17" s="295"/>
      <c r="AV17" s="740"/>
    </row>
    <row r="18" spans="1:48" s="152" customFormat="1" ht="43.5" customHeight="1">
      <c r="A18" s="280">
        <v>9</v>
      </c>
      <c r="B18" s="944"/>
      <c r="C18" s="944"/>
      <c r="D18" s="48" t="s">
        <v>512</v>
      </c>
      <c r="E18" s="47">
        <v>2</v>
      </c>
      <c r="F18" s="277">
        <v>43450</v>
      </c>
      <c r="G18" s="48" t="s">
        <v>512</v>
      </c>
      <c r="H18" s="146" t="s">
        <v>127</v>
      </c>
      <c r="I18" s="210"/>
      <c r="J18" s="146"/>
      <c r="K18" s="210"/>
      <c r="L18" s="146"/>
      <c r="M18" s="210"/>
      <c r="N18" s="300">
        <v>510000</v>
      </c>
      <c r="O18" s="301">
        <v>67500</v>
      </c>
      <c r="P18" s="300"/>
      <c r="Q18" s="302">
        <f>N18+O18</f>
        <v>577500</v>
      </c>
      <c r="R18" s="36"/>
      <c r="S18" s="35"/>
      <c r="T18" s="36"/>
      <c r="U18" s="35"/>
      <c r="V18" s="146"/>
      <c r="W18" s="210"/>
      <c r="X18" s="146"/>
      <c r="Y18" s="210"/>
      <c r="Z18" s="146"/>
      <c r="AA18" s="210"/>
      <c r="AB18" s="146"/>
      <c r="AC18" s="210"/>
      <c r="AD18" s="146"/>
      <c r="AE18" s="210"/>
      <c r="AF18" s="146"/>
      <c r="AG18" s="301"/>
      <c r="AH18" s="300"/>
      <c r="AI18" s="301"/>
      <c r="AJ18" s="300"/>
      <c r="AK18" s="40"/>
      <c r="AL18" s="40"/>
      <c r="AM18" s="40"/>
      <c r="AN18" s="40"/>
      <c r="AO18" s="303"/>
      <c r="AP18" s="304">
        <f t="shared" si="2"/>
        <v>-577500</v>
      </c>
      <c r="AQ18" s="295"/>
      <c r="AR18" s="296"/>
      <c r="AS18" s="295"/>
      <c r="AT18" s="296"/>
      <c r="AU18" s="295"/>
      <c r="AV18" s="740"/>
    </row>
    <row r="19" spans="1:48" s="152" customFormat="1" ht="75" customHeight="1">
      <c r="A19" s="280">
        <v>10</v>
      </c>
      <c r="B19" s="944"/>
      <c r="C19" s="944"/>
      <c r="D19" s="48" t="s">
        <v>513</v>
      </c>
      <c r="E19" s="47">
        <v>1</v>
      </c>
      <c r="F19" s="277">
        <v>43567</v>
      </c>
      <c r="G19" s="48" t="s">
        <v>514</v>
      </c>
      <c r="H19" s="146" t="s">
        <v>127</v>
      </c>
      <c r="I19" s="47" t="s">
        <v>511</v>
      </c>
      <c r="J19" s="47"/>
      <c r="K19" s="47"/>
      <c r="L19" s="47"/>
      <c r="M19" s="47"/>
      <c r="N19" s="302">
        <f>(170000*12)+822800</f>
        <v>2862800</v>
      </c>
      <c r="O19" s="302">
        <v>1682102</v>
      </c>
      <c r="P19" s="302"/>
      <c r="Q19" s="302">
        <f>N19+O19+P19</f>
        <v>4544902</v>
      </c>
      <c r="R19" s="44"/>
      <c r="S19" s="44"/>
      <c r="T19" s="44"/>
      <c r="U19" s="44">
        <v>30000</v>
      </c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302"/>
      <c r="AH19" s="302"/>
      <c r="AI19" s="302"/>
      <c r="AJ19" s="302"/>
      <c r="AK19" s="40">
        <f t="shared" ref="AK19:AN24" si="4">R19*Y19</f>
        <v>0</v>
      </c>
      <c r="AL19" s="40">
        <f t="shared" si="4"/>
        <v>0</v>
      </c>
      <c r="AM19" s="40">
        <f t="shared" si="4"/>
        <v>0</v>
      </c>
      <c r="AN19" s="40">
        <f t="shared" si="4"/>
        <v>0</v>
      </c>
      <c r="AO19" s="303">
        <f>AK19+AL19+AM19+AN19</f>
        <v>0</v>
      </c>
      <c r="AP19" s="304">
        <f t="shared" si="2"/>
        <v>-4544902</v>
      </c>
      <c r="AQ19" s="151"/>
      <c r="AR19" s="151"/>
      <c r="AS19" s="151"/>
      <c r="AT19" s="151"/>
      <c r="AU19" s="151"/>
      <c r="AV19" s="151"/>
    </row>
    <row r="20" spans="1:48" s="152" customFormat="1" ht="75" customHeight="1">
      <c r="A20" s="280">
        <v>11</v>
      </c>
      <c r="B20" s="944"/>
      <c r="C20" s="944"/>
      <c r="D20" s="48" t="s">
        <v>129</v>
      </c>
      <c r="E20" s="47"/>
      <c r="F20" s="277" t="s">
        <v>988</v>
      </c>
      <c r="G20" s="48" t="s">
        <v>989</v>
      </c>
      <c r="H20" s="146"/>
      <c r="I20" s="47"/>
      <c r="J20" s="47"/>
      <c r="K20" s="47"/>
      <c r="L20" s="47"/>
      <c r="M20" s="47"/>
      <c r="N20" s="302">
        <f>(170000*12)+1470130</f>
        <v>3510130</v>
      </c>
      <c r="O20" s="302">
        <v>4242030</v>
      </c>
      <c r="P20" s="300">
        <f>14400*12</f>
        <v>172800</v>
      </c>
      <c r="Q20" s="302">
        <f>N20+O20+P20</f>
        <v>7924960</v>
      </c>
      <c r="R20" s="44"/>
      <c r="S20" s="44"/>
      <c r="T20" s="44"/>
      <c r="U20" s="44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302"/>
      <c r="AH20" s="302"/>
      <c r="AI20" s="302"/>
      <c r="AJ20" s="302"/>
      <c r="AK20" s="40"/>
      <c r="AL20" s="40"/>
      <c r="AM20" s="40"/>
      <c r="AN20" s="40"/>
      <c r="AO20" s="303"/>
      <c r="AP20" s="304">
        <f t="shared" si="2"/>
        <v>-7924960</v>
      </c>
      <c r="AQ20" s="151"/>
      <c r="AR20" s="151"/>
      <c r="AS20" s="151"/>
      <c r="AT20" s="151"/>
      <c r="AU20" s="151"/>
      <c r="AV20" s="151"/>
    </row>
    <row r="21" spans="1:48" s="152" customFormat="1" ht="75" customHeight="1">
      <c r="A21" s="280">
        <v>12</v>
      </c>
      <c r="B21" s="944"/>
      <c r="C21" s="944"/>
      <c r="D21" s="48" t="s">
        <v>129</v>
      </c>
      <c r="E21" s="47"/>
      <c r="F21" s="277">
        <v>45222</v>
      </c>
      <c r="G21" s="48" t="s">
        <v>990</v>
      </c>
      <c r="H21" s="146"/>
      <c r="I21" s="47"/>
      <c r="J21" s="47"/>
      <c r="K21" s="47"/>
      <c r="L21" s="47"/>
      <c r="M21" s="47"/>
      <c r="N21" s="302">
        <f>(170000*12)+1003610</f>
        <v>3043610</v>
      </c>
      <c r="O21" s="302">
        <v>3895645</v>
      </c>
      <c r="P21" s="300">
        <f>14400*12</f>
        <v>172800</v>
      </c>
      <c r="Q21" s="302">
        <f>N21+O21+P21</f>
        <v>7112055</v>
      </c>
      <c r="R21" s="44"/>
      <c r="S21" s="44"/>
      <c r="T21" s="44"/>
      <c r="U21" s="44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302"/>
      <c r="AH21" s="302"/>
      <c r="AI21" s="302"/>
      <c r="AJ21" s="302"/>
      <c r="AK21" s="40"/>
      <c r="AL21" s="40"/>
      <c r="AM21" s="40"/>
      <c r="AN21" s="40"/>
      <c r="AO21" s="303"/>
      <c r="AP21" s="304">
        <f t="shared" si="2"/>
        <v>-7112055</v>
      </c>
      <c r="AQ21" s="151"/>
      <c r="AR21" s="151"/>
      <c r="AS21" s="151"/>
      <c r="AT21" s="151"/>
      <c r="AU21" s="151"/>
      <c r="AV21" s="151"/>
    </row>
    <row r="22" spans="1:48" s="152" customFormat="1" ht="75" customHeight="1">
      <c r="A22" s="280">
        <v>13</v>
      </c>
      <c r="B22" s="944"/>
      <c r="C22" s="944"/>
      <c r="D22" s="48" t="s">
        <v>129</v>
      </c>
      <c r="E22" s="47"/>
      <c r="F22" s="277">
        <v>44881</v>
      </c>
      <c r="G22" s="48" t="s">
        <v>991</v>
      </c>
      <c r="H22" s="146"/>
      <c r="I22" s="47"/>
      <c r="J22" s="47"/>
      <c r="K22" s="47"/>
      <c r="L22" s="47"/>
      <c r="M22" s="47"/>
      <c r="N22" s="302">
        <f>(170000*12)+1243470</f>
        <v>3283470</v>
      </c>
      <c r="O22" s="302">
        <v>2761590</v>
      </c>
      <c r="P22" s="300">
        <f>14400*12</f>
        <v>172800</v>
      </c>
      <c r="Q22" s="302">
        <f>N22+O22+P22</f>
        <v>6217860</v>
      </c>
      <c r="R22" s="44"/>
      <c r="S22" s="44"/>
      <c r="T22" s="44"/>
      <c r="U22" s="44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302"/>
      <c r="AH22" s="302"/>
      <c r="AI22" s="302"/>
      <c r="AJ22" s="302"/>
      <c r="AK22" s="40"/>
      <c r="AL22" s="40"/>
      <c r="AM22" s="40"/>
      <c r="AN22" s="40"/>
      <c r="AO22" s="303"/>
      <c r="AP22" s="304">
        <f t="shared" si="2"/>
        <v>-6217860</v>
      </c>
      <c r="AQ22" s="151"/>
      <c r="AR22" s="151"/>
      <c r="AS22" s="151"/>
      <c r="AT22" s="151"/>
      <c r="AU22" s="151"/>
      <c r="AV22" s="151"/>
    </row>
    <row r="23" spans="1:48" s="152" customFormat="1" ht="75" customHeight="1">
      <c r="A23" s="280">
        <v>14</v>
      </c>
      <c r="B23" s="944"/>
      <c r="C23" s="944"/>
      <c r="D23" s="48" t="s">
        <v>992</v>
      </c>
      <c r="E23" s="47"/>
      <c r="F23" s="277">
        <v>45492</v>
      </c>
      <c r="G23" s="48" t="s">
        <v>993</v>
      </c>
      <c r="H23" s="146"/>
      <c r="I23" s="47"/>
      <c r="J23" s="47"/>
      <c r="K23" s="47"/>
      <c r="L23" s="47"/>
      <c r="M23" s="47"/>
      <c r="N23" s="302"/>
      <c r="O23" s="302">
        <v>69860</v>
      </c>
      <c r="P23" s="302"/>
      <c r="Q23" s="302">
        <f>N23+O23+P23</f>
        <v>69860</v>
      </c>
      <c r="R23" s="44"/>
      <c r="S23" s="44"/>
      <c r="T23" s="44"/>
      <c r="U23" s="44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302"/>
      <c r="AH23" s="302"/>
      <c r="AI23" s="302"/>
      <c r="AJ23" s="302"/>
      <c r="AK23" s="40"/>
      <c r="AL23" s="40"/>
      <c r="AM23" s="40"/>
      <c r="AN23" s="40"/>
      <c r="AO23" s="303"/>
      <c r="AP23" s="304">
        <f t="shared" si="2"/>
        <v>-69860</v>
      </c>
      <c r="AQ23" s="151"/>
      <c r="AR23" s="151"/>
      <c r="AS23" s="151"/>
      <c r="AT23" s="151"/>
      <c r="AU23" s="151"/>
      <c r="AV23" s="151"/>
    </row>
    <row r="24" spans="1:48" s="152" customFormat="1" ht="124.5" customHeight="1">
      <c r="A24" s="280">
        <v>15</v>
      </c>
      <c r="B24" s="944"/>
      <c r="C24" s="944"/>
      <c r="D24" s="48" t="s">
        <v>515</v>
      </c>
      <c r="E24" s="47">
        <v>1</v>
      </c>
      <c r="F24" s="277">
        <v>43819</v>
      </c>
      <c r="G24" s="48" t="s">
        <v>516</v>
      </c>
      <c r="H24" s="146" t="s">
        <v>127</v>
      </c>
      <c r="I24" s="47"/>
      <c r="J24" s="47"/>
      <c r="K24" s="47"/>
      <c r="L24" s="47"/>
      <c r="M24" s="47"/>
      <c r="N24" s="302">
        <v>919780</v>
      </c>
      <c r="O24" s="302">
        <v>570000</v>
      </c>
      <c r="P24" s="302">
        <v>52500</v>
      </c>
      <c r="Q24" s="302">
        <f t="shared" ref="Q24:Q25" si="5">N24+O24+P24</f>
        <v>1542280</v>
      </c>
      <c r="R24" s="44"/>
      <c r="S24" s="44"/>
      <c r="T24" s="44"/>
      <c r="U24" s="44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302"/>
      <c r="AH24" s="302"/>
      <c r="AI24" s="302"/>
      <c r="AJ24" s="302"/>
      <c r="AK24" s="40">
        <f t="shared" si="4"/>
        <v>0</v>
      </c>
      <c r="AL24" s="40">
        <f t="shared" si="4"/>
        <v>0</v>
      </c>
      <c r="AM24" s="40">
        <f t="shared" si="4"/>
        <v>0</v>
      </c>
      <c r="AN24" s="40">
        <f t="shared" si="4"/>
        <v>0</v>
      </c>
      <c r="AO24" s="303">
        <f>AK24+AL24+AM24+AN24</f>
        <v>0</v>
      </c>
      <c r="AP24" s="304">
        <f t="shared" si="2"/>
        <v>-1542280</v>
      </c>
      <c r="AQ24" s="151"/>
      <c r="AR24" s="151"/>
      <c r="AS24" s="151"/>
      <c r="AT24" s="151"/>
      <c r="AU24" s="151"/>
      <c r="AV24" s="151"/>
    </row>
    <row r="25" spans="1:48" s="152" customFormat="1" ht="69" customHeight="1">
      <c r="A25" s="280">
        <v>16</v>
      </c>
      <c r="B25" s="944"/>
      <c r="C25" s="944"/>
      <c r="D25" s="48" t="s">
        <v>61</v>
      </c>
      <c r="E25" s="47">
        <v>1</v>
      </c>
      <c r="F25" s="277">
        <v>43223</v>
      </c>
      <c r="G25" s="48" t="s">
        <v>517</v>
      </c>
      <c r="H25" s="47" t="s">
        <v>518</v>
      </c>
      <c r="I25" s="47"/>
      <c r="J25" s="47"/>
      <c r="K25" s="47"/>
      <c r="L25" s="47"/>
      <c r="M25" s="47"/>
      <c r="N25" s="302">
        <v>27952490</v>
      </c>
      <c r="O25" s="302">
        <v>19169873</v>
      </c>
      <c r="P25" s="302">
        <v>864000</v>
      </c>
      <c r="Q25" s="302">
        <f t="shared" si="5"/>
        <v>47986363</v>
      </c>
      <c r="R25" s="44"/>
      <c r="S25" s="44"/>
      <c r="T25" s="44"/>
      <c r="U25" s="44">
        <v>100</v>
      </c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302"/>
      <c r="AH25" s="302"/>
      <c r="AI25" s="302"/>
      <c r="AJ25" s="302"/>
      <c r="AK25" s="40"/>
      <c r="AL25" s="40"/>
      <c r="AM25" s="303"/>
      <c r="AN25" s="40"/>
      <c r="AO25" s="303"/>
      <c r="AP25" s="304">
        <f>AO25-Q25</f>
        <v>-47986363</v>
      </c>
      <c r="AQ25" s="151"/>
      <c r="AR25" s="151"/>
      <c r="AS25" s="151"/>
      <c r="AT25" s="151"/>
      <c r="AU25" s="151"/>
      <c r="AV25" s="151"/>
    </row>
    <row r="26" spans="1:48" s="152" customFormat="1" ht="69" customHeight="1">
      <c r="A26" s="280">
        <v>17</v>
      </c>
      <c r="B26" s="944"/>
      <c r="C26" s="944"/>
      <c r="D26" s="48" t="s">
        <v>61</v>
      </c>
      <c r="E26" s="47">
        <v>1</v>
      </c>
      <c r="F26" s="277">
        <v>43223</v>
      </c>
      <c r="G26" s="48" t="s">
        <v>517</v>
      </c>
      <c r="H26" s="47" t="s">
        <v>518</v>
      </c>
      <c r="I26" s="47"/>
      <c r="J26" s="47"/>
      <c r="K26" s="47"/>
      <c r="L26" s="47"/>
      <c r="M26" s="47"/>
      <c r="N26" s="302"/>
      <c r="O26" s="302"/>
      <c r="P26" s="302"/>
      <c r="Q26" s="302"/>
      <c r="R26" s="44"/>
      <c r="S26" s="44"/>
      <c r="T26" s="44"/>
      <c r="U26" s="44">
        <v>150</v>
      </c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302"/>
      <c r="AH26" s="302"/>
      <c r="AI26" s="302"/>
      <c r="AJ26" s="302"/>
      <c r="AK26" s="40"/>
      <c r="AL26" s="40"/>
      <c r="AM26" s="303"/>
      <c r="AN26" s="40"/>
      <c r="AO26" s="303"/>
      <c r="AP26" s="304">
        <f t="shared" ref="AP26:AP31" si="6">AO26-Q26</f>
        <v>0</v>
      </c>
      <c r="AQ26" s="151"/>
      <c r="AR26" s="151"/>
      <c r="AS26" s="151"/>
      <c r="AT26" s="151"/>
      <c r="AU26" s="151"/>
      <c r="AV26" s="151"/>
    </row>
    <row r="27" spans="1:48" s="152" customFormat="1" ht="69" customHeight="1">
      <c r="A27" s="280">
        <v>18</v>
      </c>
      <c r="B27" s="944"/>
      <c r="C27" s="944"/>
      <c r="D27" s="48" t="s">
        <v>61</v>
      </c>
      <c r="E27" s="47">
        <v>1</v>
      </c>
      <c r="F27" s="277">
        <v>43223</v>
      </c>
      <c r="G27" s="48" t="s">
        <v>517</v>
      </c>
      <c r="H27" s="47" t="s">
        <v>518</v>
      </c>
      <c r="I27" s="47"/>
      <c r="J27" s="47"/>
      <c r="K27" s="47"/>
      <c r="L27" s="47"/>
      <c r="M27" s="47"/>
      <c r="N27" s="302"/>
      <c r="O27" s="302"/>
      <c r="P27" s="302"/>
      <c r="Q27" s="302"/>
      <c r="R27" s="44"/>
      <c r="S27" s="44"/>
      <c r="T27" s="44"/>
      <c r="U27" s="44">
        <v>200</v>
      </c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302"/>
      <c r="AH27" s="302"/>
      <c r="AI27" s="302"/>
      <c r="AJ27" s="302"/>
      <c r="AK27" s="40"/>
      <c r="AL27" s="40"/>
      <c r="AM27" s="303"/>
      <c r="AN27" s="40"/>
      <c r="AO27" s="303"/>
      <c r="AP27" s="304">
        <f t="shared" si="6"/>
        <v>0</v>
      </c>
      <c r="AQ27" s="151"/>
      <c r="AR27" s="151"/>
      <c r="AS27" s="151"/>
      <c r="AT27" s="151"/>
      <c r="AU27" s="151"/>
      <c r="AV27" s="151"/>
    </row>
    <row r="28" spans="1:48" s="152" customFormat="1" ht="69" customHeight="1">
      <c r="A28" s="280">
        <v>19</v>
      </c>
      <c r="B28" s="944"/>
      <c r="C28" s="944"/>
      <c r="D28" s="48" t="s">
        <v>61</v>
      </c>
      <c r="E28" s="47">
        <v>1</v>
      </c>
      <c r="F28" s="277">
        <v>43223</v>
      </c>
      <c r="G28" s="48" t="s">
        <v>517</v>
      </c>
      <c r="H28" s="47" t="s">
        <v>518</v>
      </c>
      <c r="I28" s="47"/>
      <c r="J28" s="47"/>
      <c r="K28" s="47"/>
      <c r="L28" s="47"/>
      <c r="M28" s="47"/>
      <c r="N28" s="302"/>
      <c r="O28" s="302"/>
      <c r="P28" s="302"/>
      <c r="Q28" s="302"/>
      <c r="R28" s="44"/>
      <c r="S28" s="44"/>
      <c r="T28" s="44"/>
      <c r="U28" s="44">
        <v>50</v>
      </c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302"/>
      <c r="AH28" s="302"/>
      <c r="AI28" s="302"/>
      <c r="AJ28" s="302"/>
      <c r="AK28" s="40"/>
      <c r="AL28" s="40"/>
      <c r="AM28" s="303"/>
      <c r="AN28" s="40"/>
      <c r="AO28" s="303"/>
      <c r="AP28" s="304">
        <f t="shared" si="6"/>
        <v>0</v>
      </c>
      <c r="AQ28" s="151"/>
      <c r="AR28" s="151"/>
      <c r="AS28" s="151"/>
      <c r="AT28" s="151"/>
      <c r="AU28" s="151"/>
      <c r="AV28" s="151"/>
    </row>
    <row r="29" spans="1:48" s="152" customFormat="1" ht="69" customHeight="1">
      <c r="A29" s="280">
        <v>20</v>
      </c>
      <c r="B29" s="944"/>
      <c r="C29" s="944"/>
      <c r="D29" s="48" t="s">
        <v>61</v>
      </c>
      <c r="E29" s="47">
        <v>1</v>
      </c>
      <c r="F29" s="277">
        <v>43223</v>
      </c>
      <c r="G29" s="48" t="s">
        <v>517</v>
      </c>
      <c r="H29" s="47" t="s">
        <v>518</v>
      </c>
      <c r="I29" s="47"/>
      <c r="J29" s="47"/>
      <c r="K29" s="47"/>
      <c r="L29" s="47"/>
      <c r="M29" s="47"/>
      <c r="N29" s="302"/>
      <c r="O29" s="302"/>
      <c r="P29" s="302"/>
      <c r="Q29" s="302"/>
      <c r="R29" s="44"/>
      <c r="S29" s="44"/>
      <c r="T29" s="44"/>
      <c r="U29" s="44">
        <v>30</v>
      </c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302"/>
      <c r="AH29" s="302"/>
      <c r="AI29" s="302"/>
      <c r="AJ29" s="302"/>
      <c r="AK29" s="40"/>
      <c r="AL29" s="40"/>
      <c r="AM29" s="303"/>
      <c r="AN29" s="40"/>
      <c r="AO29" s="303"/>
      <c r="AP29" s="304">
        <f t="shared" si="6"/>
        <v>0</v>
      </c>
      <c r="AQ29" s="151"/>
      <c r="AR29" s="151"/>
      <c r="AS29" s="151"/>
      <c r="AT29" s="151"/>
      <c r="AU29" s="151"/>
      <c r="AV29" s="151"/>
    </row>
    <row r="30" spans="1:48" s="152" customFormat="1" ht="69" customHeight="1">
      <c r="A30" s="366">
        <v>21</v>
      </c>
      <c r="B30" s="7"/>
      <c r="C30" s="7"/>
      <c r="D30" s="48" t="s">
        <v>392</v>
      </c>
      <c r="E30" s="47">
        <v>1</v>
      </c>
      <c r="F30" s="277" t="s">
        <v>994</v>
      </c>
      <c r="G30" s="48" t="s">
        <v>995</v>
      </c>
      <c r="H30" s="309" t="s">
        <v>554</v>
      </c>
      <c r="I30" s="309"/>
      <c r="J30" s="309"/>
      <c r="K30" s="309"/>
      <c r="L30" s="309"/>
      <c r="M30" s="309"/>
      <c r="N30" s="302">
        <v>4186892</v>
      </c>
      <c r="O30" s="302">
        <v>5418527</v>
      </c>
      <c r="P30" s="302">
        <v>129600</v>
      </c>
      <c r="Q30" s="302">
        <f>N30+O30+P30</f>
        <v>9735019</v>
      </c>
      <c r="R30" s="44"/>
      <c r="S30" s="44"/>
      <c r="T30" s="44"/>
      <c r="U30" s="44">
        <v>100</v>
      </c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302"/>
      <c r="AH30" s="302"/>
      <c r="AI30" s="302"/>
      <c r="AJ30" s="302"/>
      <c r="AK30" s="40"/>
      <c r="AL30" s="40"/>
      <c r="AM30" s="303"/>
      <c r="AN30" s="40"/>
      <c r="AO30" s="303"/>
      <c r="AP30" s="304">
        <f t="shared" si="6"/>
        <v>-9735019</v>
      </c>
      <c r="AQ30" s="151"/>
      <c r="AR30" s="151"/>
      <c r="AS30" s="151"/>
      <c r="AT30" s="151"/>
      <c r="AU30" s="151"/>
      <c r="AV30" s="151"/>
    </row>
    <row r="31" spans="1:48" s="152" customFormat="1" ht="69" customHeight="1" thickBot="1">
      <c r="A31" s="366">
        <v>22</v>
      </c>
      <c r="B31" s="369"/>
      <c r="C31" s="369"/>
      <c r="D31" s="48" t="s">
        <v>392</v>
      </c>
      <c r="E31" s="47">
        <v>1</v>
      </c>
      <c r="F31" s="277" t="s">
        <v>994</v>
      </c>
      <c r="G31" s="48" t="s">
        <v>996</v>
      </c>
      <c r="H31" s="47" t="s">
        <v>554</v>
      </c>
      <c r="I31" s="47"/>
      <c r="J31" s="47"/>
      <c r="K31" s="47"/>
      <c r="L31" s="47"/>
      <c r="M31" s="47"/>
      <c r="N31" s="302">
        <v>3472721</v>
      </c>
      <c r="O31" s="302">
        <v>5111978</v>
      </c>
      <c r="P31" s="302">
        <v>129600</v>
      </c>
      <c r="Q31" s="302">
        <f>N31+O31+P31</f>
        <v>8714299</v>
      </c>
      <c r="R31" s="44"/>
      <c r="S31" s="44"/>
      <c r="T31" s="44"/>
      <c r="U31" s="44">
        <v>100</v>
      </c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302"/>
      <c r="AH31" s="302"/>
      <c r="AI31" s="302"/>
      <c r="AJ31" s="302"/>
      <c r="AK31" s="40"/>
      <c r="AL31" s="40"/>
      <c r="AM31" s="303"/>
      <c r="AN31" s="40"/>
      <c r="AO31" s="303"/>
      <c r="AP31" s="304">
        <f t="shared" si="6"/>
        <v>-8714299</v>
      </c>
      <c r="AQ31" s="151"/>
      <c r="AR31" s="151"/>
      <c r="AS31" s="151"/>
      <c r="AT31" s="151"/>
      <c r="AU31" s="151"/>
      <c r="AV31" s="151"/>
    </row>
    <row r="32" spans="1:48" s="152" customFormat="1" ht="45" customHeight="1" thickBot="1">
      <c r="A32" s="136"/>
      <c r="B32" s="138" t="s">
        <v>115</v>
      </c>
      <c r="C32" s="138">
        <v>7</v>
      </c>
      <c r="D32" s="138"/>
      <c r="E32" s="138">
        <f>SUM(E10:E31)</f>
        <v>22</v>
      </c>
      <c r="F32" s="138"/>
      <c r="G32" s="138"/>
      <c r="H32" s="138"/>
      <c r="I32" s="138"/>
      <c r="J32" s="138"/>
      <c r="K32" s="138"/>
      <c r="L32" s="138"/>
      <c r="M32" s="147"/>
      <c r="N32" s="297">
        <f>SUM(N10:N31)</f>
        <v>62294703</v>
      </c>
      <c r="O32" s="297">
        <f>SUM(O10:O31)</f>
        <v>62440824</v>
      </c>
      <c r="P32" s="297">
        <f>SUM(P10:P31)</f>
        <v>3162900</v>
      </c>
      <c r="Q32" s="297">
        <f>SUM(Q10:Q31)</f>
        <v>127898427</v>
      </c>
      <c r="R32" s="297"/>
      <c r="S32" s="297"/>
      <c r="T32" s="297"/>
      <c r="U32" s="297"/>
      <c r="V32" s="292"/>
      <c r="W32" s="292"/>
      <c r="X32" s="292"/>
      <c r="Y32" s="292"/>
      <c r="Z32" s="292"/>
      <c r="AA32" s="292">
        <f t="shared" ref="AA32:AD32" si="7">SUM(AA10:AA29)</f>
        <v>0</v>
      </c>
      <c r="AB32" s="292">
        <f t="shared" si="7"/>
        <v>0</v>
      </c>
      <c r="AC32" s="292">
        <f t="shared" si="7"/>
        <v>0</v>
      </c>
      <c r="AD32" s="292">
        <f t="shared" si="7"/>
        <v>0</v>
      </c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304">
        <f t="shared" si="2"/>
        <v>-127898427</v>
      </c>
      <c r="AQ32" s="151"/>
      <c r="AR32" s="151"/>
      <c r="AS32" s="151"/>
      <c r="AT32" s="151"/>
      <c r="AU32" s="151"/>
      <c r="AV32" s="151"/>
    </row>
    <row r="33" spans="1:48" s="741" customFormat="1" ht="87" customHeight="1">
      <c r="A33" s="6">
        <v>1</v>
      </c>
      <c r="B33" s="1003" t="s">
        <v>519</v>
      </c>
      <c r="C33" s="1003">
        <v>19</v>
      </c>
      <c r="D33" s="7" t="s">
        <v>195</v>
      </c>
      <c r="E33" s="39">
        <v>5</v>
      </c>
      <c r="F33" s="305" t="s">
        <v>520</v>
      </c>
      <c r="G33" s="7" t="s">
        <v>521</v>
      </c>
      <c r="H33" s="132" t="s">
        <v>127</v>
      </c>
      <c r="I33" s="39"/>
      <c r="J33" s="39"/>
      <c r="K33" s="39"/>
      <c r="L33" s="39" t="s">
        <v>134</v>
      </c>
      <c r="M33" s="7"/>
      <c r="N33" s="7">
        <v>3350000</v>
      </c>
      <c r="O33" s="47">
        <v>2400000</v>
      </c>
      <c r="P33" s="41">
        <v>450000</v>
      </c>
      <c r="Q33" s="42">
        <f>N33+O33+P33</f>
        <v>6200000</v>
      </c>
      <c r="R33" s="43"/>
      <c r="S33" s="43"/>
      <c r="T33" s="43"/>
      <c r="U33" s="10">
        <v>15000</v>
      </c>
      <c r="V33" s="39">
        <v>16950</v>
      </c>
      <c r="W33" s="39">
        <v>280</v>
      </c>
      <c r="X33" s="39">
        <v>621</v>
      </c>
      <c r="Y33" s="39"/>
      <c r="Z33" s="39">
        <v>1100</v>
      </c>
      <c r="AA33" s="39">
        <v>850</v>
      </c>
      <c r="AB33" s="39"/>
      <c r="AC33" s="39"/>
      <c r="AD33" s="39">
        <v>120</v>
      </c>
      <c r="AE33" s="39">
        <v>100</v>
      </c>
      <c r="AF33" s="39"/>
      <c r="AG33" s="44"/>
      <c r="AH33" s="44"/>
      <c r="AI33" s="44"/>
      <c r="AJ33" s="44"/>
      <c r="AK33" s="45"/>
      <c r="AL33" s="45"/>
      <c r="AM33" s="45"/>
      <c r="AN33" s="45">
        <v>360000</v>
      </c>
      <c r="AO33" s="13">
        <f>AN33</f>
        <v>360000</v>
      </c>
      <c r="AP33" s="60">
        <f>AO33-Q33</f>
        <v>-5840000</v>
      </c>
      <c r="AQ33" s="355"/>
      <c r="AR33" s="355"/>
      <c r="AS33" s="355"/>
      <c r="AT33" s="355"/>
      <c r="AU33" s="355"/>
      <c r="AV33" s="355"/>
    </row>
    <row r="34" spans="1:48" s="741" customFormat="1" ht="63" customHeight="1">
      <c r="A34" s="6">
        <f>A33+1</f>
        <v>2</v>
      </c>
      <c r="B34" s="951"/>
      <c r="C34" s="951"/>
      <c r="D34" s="7" t="s">
        <v>446</v>
      </c>
      <c r="E34" s="39">
        <v>4</v>
      </c>
      <c r="F34" s="47" t="s">
        <v>522</v>
      </c>
      <c r="G34" s="7" t="s">
        <v>523</v>
      </c>
      <c r="H34" s="132" t="s">
        <v>127</v>
      </c>
      <c r="I34" s="39"/>
      <c r="J34" s="39"/>
      <c r="K34" s="39"/>
      <c r="L34" s="39" t="s">
        <v>134</v>
      </c>
      <c r="M34" s="7"/>
      <c r="N34" s="7">
        <v>1200000</v>
      </c>
      <c r="O34" s="47">
        <v>2900000</v>
      </c>
      <c r="P34" s="41">
        <v>2100000</v>
      </c>
      <c r="Q34" s="42">
        <f t="shared" ref="Q34:Q47" si="8">N34+O34+P34</f>
        <v>6200000</v>
      </c>
      <c r="R34" s="43"/>
      <c r="S34" s="43"/>
      <c r="T34" s="43"/>
      <c r="U34" s="10"/>
      <c r="V34" s="39"/>
      <c r="W34" s="39"/>
      <c r="X34" s="39"/>
      <c r="Y34" s="39"/>
      <c r="Z34" s="39"/>
      <c r="AA34" s="39">
        <v>9000</v>
      </c>
      <c r="AB34" s="39"/>
      <c r="AC34" s="39"/>
      <c r="AD34" s="39"/>
      <c r="AE34" s="39">
        <v>500</v>
      </c>
      <c r="AF34" s="39"/>
      <c r="AG34" s="44"/>
      <c r="AH34" s="44"/>
      <c r="AI34" s="44"/>
      <c r="AJ34" s="44"/>
      <c r="AK34" s="45"/>
      <c r="AL34" s="45"/>
      <c r="AM34" s="45"/>
      <c r="AN34" s="45">
        <f t="shared" ref="AN34:AN44" si="9">AJ34</f>
        <v>0</v>
      </c>
      <c r="AO34" s="13">
        <f t="shared" ref="AO34:AO47" si="10">AN34</f>
        <v>0</v>
      </c>
      <c r="AP34" s="60">
        <f t="shared" ref="AP34:AP47" si="11">AO34-Q34-M34</f>
        <v>-6200000</v>
      </c>
      <c r="AQ34" s="355"/>
      <c r="AR34" s="355"/>
      <c r="AS34" s="355"/>
      <c r="AT34" s="355"/>
      <c r="AU34" s="355"/>
      <c r="AV34" s="355"/>
    </row>
    <row r="35" spans="1:48" s="741" customFormat="1" ht="76.5" customHeight="1">
      <c r="A35" s="6">
        <f t="shared" ref="A35:A44" si="12">A34+1</f>
        <v>3</v>
      </c>
      <c r="B35" s="951"/>
      <c r="C35" s="951"/>
      <c r="D35" s="7" t="s">
        <v>61</v>
      </c>
      <c r="E35" s="39">
        <v>5</v>
      </c>
      <c r="F35" s="47" t="s">
        <v>524</v>
      </c>
      <c r="G35" s="7" t="s">
        <v>525</v>
      </c>
      <c r="H35" s="132" t="s">
        <v>127</v>
      </c>
      <c r="I35" s="39"/>
      <c r="J35" s="39"/>
      <c r="K35" s="39"/>
      <c r="L35" s="39" t="s">
        <v>134</v>
      </c>
      <c r="M35" s="7"/>
      <c r="N35" s="7">
        <v>1100000</v>
      </c>
      <c r="O35" s="47">
        <v>900000</v>
      </c>
      <c r="P35" s="41">
        <v>960000</v>
      </c>
      <c r="Q35" s="42">
        <f t="shared" si="8"/>
        <v>2960000</v>
      </c>
      <c r="R35" s="43"/>
      <c r="S35" s="43"/>
      <c r="T35" s="43">
        <v>200</v>
      </c>
      <c r="U35" s="10"/>
      <c r="V35" s="39"/>
      <c r="W35" s="39"/>
      <c r="X35" s="39"/>
      <c r="Y35" s="39"/>
      <c r="Z35" s="39"/>
      <c r="AA35" s="39">
        <v>15000</v>
      </c>
      <c r="AB35" s="39"/>
      <c r="AC35" s="39"/>
      <c r="AD35" s="39"/>
      <c r="AE35" s="39"/>
      <c r="AF35" s="39"/>
      <c r="AG35" s="44"/>
      <c r="AH35" s="44"/>
      <c r="AI35" s="44"/>
      <c r="AJ35" s="44">
        <v>1050000</v>
      </c>
      <c r="AK35" s="45"/>
      <c r="AL35" s="45"/>
      <c r="AM35" s="45"/>
      <c r="AN35" s="45">
        <v>200000</v>
      </c>
      <c r="AO35" s="13">
        <f t="shared" si="10"/>
        <v>200000</v>
      </c>
      <c r="AP35" s="60">
        <f t="shared" si="11"/>
        <v>-2760000</v>
      </c>
      <c r="AQ35" s="355"/>
      <c r="AR35" s="355"/>
      <c r="AS35" s="355"/>
      <c r="AT35" s="355"/>
      <c r="AU35" s="355"/>
      <c r="AV35" s="355"/>
    </row>
    <row r="36" spans="1:48" s="741" customFormat="1" ht="89.25" customHeight="1">
      <c r="A36" s="6">
        <f t="shared" si="12"/>
        <v>4</v>
      </c>
      <c r="B36" s="951"/>
      <c r="C36" s="951"/>
      <c r="D36" s="7" t="s">
        <v>526</v>
      </c>
      <c r="E36" s="39">
        <v>4</v>
      </c>
      <c r="F36" s="47" t="s">
        <v>527</v>
      </c>
      <c r="G36" s="7" t="s">
        <v>526</v>
      </c>
      <c r="H36" s="132" t="s">
        <v>127</v>
      </c>
      <c r="I36" s="39"/>
      <c r="J36" s="39"/>
      <c r="K36" s="39"/>
      <c r="L36" s="39" t="s">
        <v>134</v>
      </c>
      <c r="M36" s="7"/>
      <c r="N36" s="7">
        <v>1300000</v>
      </c>
      <c r="O36" s="47">
        <v>400000</v>
      </c>
      <c r="P36" s="41">
        <v>750000</v>
      </c>
      <c r="Q36" s="42">
        <f t="shared" si="8"/>
        <v>2450000</v>
      </c>
      <c r="R36" s="43"/>
      <c r="S36" s="43"/>
      <c r="T36" s="43">
        <v>3200</v>
      </c>
      <c r="U36" s="10"/>
      <c r="V36" s="39"/>
      <c r="W36" s="39"/>
      <c r="X36" s="39"/>
      <c r="Y36" s="39"/>
      <c r="Z36" s="39"/>
      <c r="AA36" s="39">
        <v>15000</v>
      </c>
      <c r="AB36" s="39"/>
      <c r="AC36" s="39"/>
      <c r="AD36" s="39"/>
      <c r="AE36" s="39">
        <v>860</v>
      </c>
      <c r="AF36" s="39"/>
      <c r="AG36" s="44"/>
      <c r="AH36" s="44"/>
      <c r="AI36" s="44"/>
      <c r="AJ36" s="44">
        <v>350000</v>
      </c>
      <c r="AK36" s="45"/>
      <c r="AL36" s="45"/>
      <c r="AM36" s="45"/>
      <c r="AN36" s="45">
        <v>0</v>
      </c>
      <c r="AO36" s="13">
        <f t="shared" si="10"/>
        <v>0</v>
      </c>
      <c r="AP36" s="60">
        <f t="shared" si="11"/>
        <v>-2450000</v>
      </c>
      <c r="AQ36" s="355"/>
      <c r="AR36" s="355"/>
      <c r="AS36" s="355"/>
      <c r="AT36" s="355"/>
      <c r="AU36" s="355"/>
      <c r="AV36" s="355"/>
    </row>
    <row r="37" spans="1:48" s="741" customFormat="1" ht="76.5" customHeight="1">
      <c r="A37" s="6">
        <f t="shared" si="12"/>
        <v>5</v>
      </c>
      <c r="B37" s="951"/>
      <c r="C37" s="951"/>
      <c r="D37" s="7" t="s">
        <v>528</v>
      </c>
      <c r="E37" s="39">
        <v>2</v>
      </c>
      <c r="F37" s="47" t="s">
        <v>529</v>
      </c>
      <c r="G37" s="7" t="s">
        <v>528</v>
      </c>
      <c r="H37" s="132" t="s">
        <v>127</v>
      </c>
      <c r="I37" s="7"/>
      <c r="J37" s="39"/>
      <c r="K37" s="39"/>
      <c r="L37" s="39" t="s">
        <v>134</v>
      </c>
      <c r="M37" s="39"/>
      <c r="N37" s="39">
        <v>120000</v>
      </c>
      <c r="O37" s="47">
        <v>400000</v>
      </c>
      <c r="P37" s="41">
        <v>170000</v>
      </c>
      <c r="Q37" s="42">
        <f t="shared" si="8"/>
        <v>690000</v>
      </c>
      <c r="R37" s="43"/>
      <c r="S37" s="43"/>
      <c r="T37" s="43"/>
      <c r="U37" s="10">
        <v>8000</v>
      </c>
      <c r="V37" s="39"/>
      <c r="W37" s="39"/>
      <c r="X37" s="39"/>
      <c r="Y37" s="39"/>
      <c r="Z37" s="39"/>
      <c r="AA37" s="39">
        <v>150</v>
      </c>
      <c r="AB37" s="39"/>
      <c r="AC37" s="39"/>
      <c r="AD37" s="39"/>
      <c r="AE37" s="39">
        <v>115</v>
      </c>
      <c r="AF37" s="39"/>
      <c r="AG37" s="44"/>
      <c r="AH37" s="44"/>
      <c r="AI37" s="44"/>
      <c r="AJ37" s="44"/>
      <c r="AK37" s="45"/>
      <c r="AL37" s="45"/>
      <c r="AM37" s="45"/>
      <c r="AN37" s="45">
        <f t="shared" si="9"/>
        <v>0</v>
      </c>
      <c r="AO37" s="13">
        <f t="shared" si="10"/>
        <v>0</v>
      </c>
      <c r="AP37" s="60">
        <f t="shared" si="11"/>
        <v>-690000</v>
      </c>
      <c r="AQ37" s="355"/>
      <c r="AR37" s="355"/>
      <c r="AS37" s="355"/>
      <c r="AT37" s="355"/>
      <c r="AU37" s="355"/>
      <c r="AV37" s="355"/>
    </row>
    <row r="38" spans="1:48" s="741" customFormat="1" ht="70.5" customHeight="1">
      <c r="A38" s="6">
        <f t="shared" si="12"/>
        <v>6</v>
      </c>
      <c r="B38" s="951"/>
      <c r="C38" s="951"/>
      <c r="D38" s="7" t="s">
        <v>126</v>
      </c>
      <c r="E38" s="39">
        <v>1</v>
      </c>
      <c r="F38" s="47" t="s">
        <v>530</v>
      </c>
      <c r="G38" s="7" t="s">
        <v>126</v>
      </c>
      <c r="H38" s="132" t="s">
        <v>127</v>
      </c>
      <c r="I38" s="39"/>
      <c r="J38" s="39"/>
      <c r="K38" s="39"/>
      <c r="L38" s="39" t="s">
        <v>134</v>
      </c>
      <c r="M38" s="39"/>
      <c r="N38" s="39">
        <v>700000</v>
      </c>
      <c r="O38" s="47">
        <v>1300000</v>
      </c>
      <c r="P38" s="41">
        <v>450000</v>
      </c>
      <c r="Q38" s="42">
        <f t="shared" si="8"/>
        <v>2450000</v>
      </c>
      <c r="R38" s="43"/>
      <c r="S38" s="43"/>
      <c r="T38" s="43"/>
      <c r="U38" s="10">
        <v>15000</v>
      </c>
      <c r="V38" s="39"/>
      <c r="W38" s="39"/>
      <c r="X38" s="39"/>
      <c r="Y38" s="39"/>
      <c r="Z38" s="39"/>
      <c r="AA38" s="39">
        <v>1700</v>
      </c>
      <c r="AB38" s="39"/>
      <c r="AC38" s="39"/>
      <c r="AD38" s="39"/>
      <c r="AE38" s="39">
        <v>450</v>
      </c>
      <c r="AF38" s="39"/>
      <c r="AG38" s="44"/>
      <c r="AH38" s="44"/>
      <c r="AI38" s="44"/>
      <c r="AJ38" s="44">
        <v>85000</v>
      </c>
      <c r="AK38" s="45"/>
      <c r="AL38" s="45"/>
      <c r="AM38" s="45"/>
      <c r="AN38" s="45"/>
      <c r="AO38" s="13">
        <f t="shared" si="10"/>
        <v>0</v>
      </c>
      <c r="AP38" s="60">
        <f t="shared" si="11"/>
        <v>-2450000</v>
      </c>
      <c r="AQ38" s="355"/>
      <c r="AR38" s="355"/>
      <c r="AS38" s="355"/>
      <c r="AT38" s="355"/>
      <c r="AU38" s="355"/>
      <c r="AV38" s="355"/>
    </row>
    <row r="39" spans="1:48" s="741" customFormat="1" ht="80.25" customHeight="1">
      <c r="A39" s="6">
        <f t="shared" si="12"/>
        <v>7</v>
      </c>
      <c r="B39" s="951"/>
      <c r="C39" s="951"/>
      <c r="D39" s="7" t="s">
        <v>236</v>
      </c>
      <c r="E39" s="39">
        <v>4</v>
      </c>
      <c r="F39" s="47" t="s">
        <v>531</v>
      </c>
      <c r="G39" s="7" t="s">
        <v>236</v>
      </c>
      <c r="H39" s="132" t="s">
        <v>127</v>
      </c>
      <c r="I39" s="39"/>
      <c r="J39" s="39"/>
      <c r="K39" s="39"/>
      <c r="L39" s="39" t="s">
        <v>134</v>
      </c>
      <c r="M39" s="39"/>
      <c r="N39" s="39"/>
      <c r="O39" s="47"/>
      <c r="P39" s="41"/>
      <c r="Q39" s="42">
        <f t="shared" si="8"/>
        <v>0</v>
      </c>
      <c r="R39" s="43"/>
      <c r="S39" s="43"/>
      <c r="T39" s="43"/>
      <c r="U39" s="43">
        <v>25000</v>
      </c>
      <c r="V39" s="39"/>
      <c r="W39" s="39"/>
      <c r="X39" s="39"/>
      <c r="Y39" s="39">
        <v>30</v>
      </c>
      <c r="Z39" s="39"/>
      <c r="AA39" s="39">
        <v>0</v>
      </c>
      <c r="AB39" s="39"/>
      <c r="AC39" s="39"/>
      <c r="AD39" s="39"/>
      <c r="AE39" s="39">
        <v>0</v>
      </c>
      <c r="AF39" s="39"/>
      <c r="AG39" s="44"/>
      <c r="AH39" s="44"/>
      <c r="AI39" s="44"/>
      <c r="AJ39" s="44">
        <v>0</v>
      </c>
      <c r="AK39" s="45"/>
      <c r="AL39" s="45"/>
      <c r="AM39" s="45"/>
      <c r="AN39" s="45">
        <f t="shared" si="9"/>
        <v>0</v>
      </c>
      <c r="AO39" s="13">
        <f t="shared" si="10"/>
        <v>0</v>
      </c>
      <c r="AP39" s="60">
        <f t="shared" si="11"/>
        <v>0</v>
      </c>
      <c r="AQ39" s="355"/>
      <c r="AR39" s="355"/>
      <c r="AS39" s="355"/>
      <c r="AT39" s="355"/>
      <c r="AU39" s="355"/>
      <c r="AV39" s="355"/>
    </row>
    <row r="40" spans="1:48" s="741" customFormat="1" ht="87" customHeight="1">
      <c r="A40" s="6">
        <f t="shared" si="12"/>
        <v>8</v>
      </c>
      <c r="B40" s="951"/>
      <c r="C40" s="951"/>
      <c r="D40" s="7" t="s">
        <v>532</v>
      </c>
      <c r="E40" s="39">
        <v>4</v>
      </c>
      <c r="F40" s="47" t="s">
        <v>533</v>
      </c>
      <c r="G40" s="7" t="s">
        <v>532</v>
      </c>
      <c r="H40" s="132" t="s">
        <v>127</v>
      </c>
      <c r="I40" s="39"/>
      <c r="J40" s="39"/>
      <c r="K40" s="39"/>
      <c r="L40" s="39" t="s">
        <v>134</v>
      </c>
      <c r="M40" s="39"/>
      <c r="N40" s="39"/>
      <c r="O40" s="47">
        <v>0</v>
      </c>
      <c r="P40" s="41"/>
      <c r="Q40" s="42">
        <f t="shared" si="8"/>
        <v>0</v>
      </c>
      <c r="R40" s="43"/>
      <c r="S40" s="43"/>
      <c r="T40" s="43"/>
      <c r="U40" s="43">
        <v>100</v>
      </c>
      <c r="V40" s="39"/>
      <c r="W40" s="39"/>
      <c r="X40" s="39"/>
      <c r="Y40" s="39"/>
      <c r="Z40" s="39"/>
      <c r="AA40" s="39">
        <v>0</v>
      </c>
      <c r="AB40" s="39"/>
      <c r="AC40" s="39"/>
      <c r="AD40" s="39"/>
      <c r="AE40" s="39">
        <v>0</v>
      </c>
      <c r="AF40" s="39"/>
      <c r="AG40" s="44"/>
      <c r="AH40" s="44"/>
      <c r="AI40" s="44"/>
      <c r="AJ40" s="44">
        <v>0</v>
      </c>
      <c r="AK40" s="45"/>
      <c r="AL40" s="45"/>
      <c r="AM40" s="45"/>
      <c r="AN40" s="45">
        <v>0</v>
      </c>
      <c r="AO40" s="13">
        <f t="shared" si="10"/>
        <v>0</v>
      </c>
      <c r="AP40" s="60">
        <f t="shared" si="11"/>
        <v>0</v>
      </c>
      <c r="AQ40" s="355"/>
      <c r="AR40" s="355"/>
      <c r="AS40" s="355"/>
      <c r="AT40" s="355"/>
      <c r="AU40" s="355"/>
      <c r="AV40" s="355"/>
    </row>
    <row r="41" spans="1:48" s="741" customFormat="1" ht="87" customHeight="1">
      <c r="A41" s="6">
        <f t="shared" si="12"/>
        <v>9</v>
      </c>
      <c r="B41" s="951"/>
      <c r="C41" s="951"/>
      <c r="D41" s="7" t="s">
        <v>534</v>
      </c>
      <c r="E41" s="39">
        <v>1</v>
      </c>
      <c r="F41" s="47" t="s">
        <v>535</v>
      </c>
      <c r="G41" s="7" t="s">
        <v>534</v>
      </c>
      <c r="H41" s="132" t="s">
        <v>127</v>
      </c>
      <c r="I41" s="39"/>
      <c r="J41" s="39"/>
      <c r="K41" s="39"/>
      <c r="L41" s="39" t="s">
        <v>134</v>
      </c>
      <c r="M41" s="39"/>
      <c r="N41" s="39"/>
      <c r="O41" s="47">
        <v>0</v>
      </c>
      <c r="P41" s="41"/>
      <c r="Q41" s="42">
        <f t="shared" si="8"/>
        <v>0</v>
      </c>
      <c r="R41" s="43">
        <v>35000</v>
      </c>
      <c r="S41" s="43"/>
      <c r="T41" s="43"/>
      <c r="U41" s="43"/>
      <c r="V41" s="39"/>
      <c r="W41" s="39"/>
      <c r="X41" s="39"/>
      <c r="Y41" s="39">
        <v>0</v>
      </c>
      <c r="Z41" s="39">
        <v>0</v>
      </c>
      <c r="AA41" s="39">
        <v>0</v>
      </c>
      <c r="AB41" s="39"/>
      <c r="AC41" s="39"/>
      <c r="AD41" s="39"/>
      <c r="AE41" s="39">
        <v>0</v>
      </c>
      <c r="AF41" s="39"/>
      <c r="AG41" s="44"/>
      <c r="AH41" s="44"/>
      <c r="AI41" s="44"/>
      <c r="AJ41" s="44">
        <v>0</v>
      </c>
      <c r="AK41" s="45"/>
      <c r="AL41" s="45"/>
      <c r="AM41" s="45"/>
      <c r="AN41" s="45">
        <f t="shared" si="9"/>
        <v>0</v>
      </c>
      <c r="AO41" s="13">
        <f t="shared" si="10"/>
        <v>0</v>
      </c>
      <c r="AP41" s="60">
        <f t="shared" si="11"/>
        <v>0</v>
      </c>
      <c r="AQ41" s="355"/>
      <c r="AR41" s="355"/>
      <c r="AS41" s="355"/>
      <c r="AT41" s="355"/>
      <c r="AU41" s="355"/>
      <c r="AV41" s="355"/>
    </row>
    <row r="42" spans="1:48" s="741" customFormat="1" ht="218.25" customHeight="1">
      <c r="A42" s="6">
        <f t="shared" si="12"/>
        <v>10</v>
      </c>
      <c r="B42" s="951"/>
      <c r="C42" s="951"/>
      <c r="D42" s="7" t="s">
        <v>534</v>
      </c>
      <c r="E42" s="39">
        <v>1</v>
      </c>
      <c r="F42" s="47" t="s">
        <v>531</v>
      </c>
      <c r="G42" s="7" t="s">
        <v>534</v>
      </c>
      <c r="H42" s="132" t="s">
        <v>127</v>
      </c>
      <c r="I42" s="39"/>
      <c r="J42" s="39"/>
      <c r="K42" s="39"/>
      <c r="L42" s="39" t="s">
        <v>134</v>
      </c>
      <c r="M42" s="39"/>
      <c r="N42" s="39"/>
      <c r="O42" s="47">
        <v>0</v>
      </c>
      <c r="P42" s="41"/>
      <c r="Q42" s="42">
        <f t="shared" si="8"/>
        <v>0</v>
      </c>
      <c r="R42" s="43">
        <v>32000</v>
      </c>
      <c r="S42" s="43"/>
      <c r="T42" s="43"/>
      <c r="U42" s="10"/>
      <c r="V42" s="39"/>
      <c r="W42" s="39"/>
      <c r="X42" s="39"/>
      <c r="Y42" s="39"/>
      <c r="Z42" s="39">
        <v>0</v>
      </c>
      <c r="AA42" s="39">
        <v>0</v>
      </c>
      <c r="AB42" s="39"/>
      <c r="AC42" s="39">
        <v>0</v>
      </c>
      <c r="AD42" s="39">
        <v>0</v>
      </c>
      <c r="AE42" s="39">
        <v>0</v>
      </c>
      <c r="AF42" s="39"/>
      <c r="AG42" s="44">
        <v>0</v>
      </c>
      <c r="AH42" s="44"/>
      <c r="AI42" s="44"/>
      <c r="AJ42" s="44">
        <v>0</v>
      </c>
      <c r="AK42" s="45"/>
      <c r="AL42" s="45"/>
      <c r="AM42" s="45"/>
      <c r="AN42" s="45">
        <v>0</v>
      </c>
      <c r="AO42" s="13">
        <f t="shared" si="10"/>
        <v>0</v>
      </c>
      <c r="AP42" s="60">
        <f t="shared" si="11"/>
        <v>0</v>
      </c>
      <c r="AQ42" s="355"/>
      <c r="AR42" s="355"/>
      <c r="AS42" s="355"/>
      <c r="AT42" s="355"/>
      <c r="AU42" s="355"/>
      <c r="AV42" s="355"/>
    </row>
    <row r="43" spans="1:48" s="741" customFormat="1" ht="202.5" customHeight="1">
      <c r="A43" s="6">
        <f t="shared" si="12"/>
        <v>11</v>
      </c>
      <c r="B43" s="951"/>
      <c r="C43" s="951"/>
      <c r="D43" s="7" t="s">
        <v>536</v>
      </c>
      <c r="E43" s="39">
        <v>1</v>
      </c>
      <c r="F43" s="47" t="s">
        <v>537</v>
      </c>
      <c r="G43" s="7" t="s">
        <v>536</v>
      </c>
      <c r="H43" s="132" t="s">
        <v>127</v>
      </c>
      <c r="I43" s="39"/>
      <c r="J43" s="39"/>
      <c r="K43" s="39"/>
      <c r="L43" s="39" t="s">
        <v>134</v>
      </c>
      <c r="M43" s="39"/>
      <c r="N43" s="39">
        <v>500000</v>
      </c>
      <c r="O43" s="47">
        <v>360000</v>
      </c>
      <c r="P43" s="41">
        <v>950000</v>
      </c>
      <c r="Q43" s="42">
        <f t="shared" si="8"/>
        <v>1810000</v>
      </c>
      <c r="R43" s="43"/>
      <c r="S43" s="43"/>
      <c r="T43" s="43"/>
      <c r="U43" s="10" t="s">
        <v>193</v>
      </c>
      <c r="V43" s="39"/>
      <c r="W43" s="39"/>
      <c r="X43" s="39"/>
      <c r="Y43" s="39"/>
      <c r="Z43" s="39"/>
      <c r="AA43" s="39">
        <v>0</v>
      </c>
      <c r="AB43" s="39"/>
      <c r="AC43" s="39"/>
      <c r="AD43" s="39"/>
      <c r="AE43" s="39">
        <v>0</v>
      </c>
      <c r="AF43" s="39"/>
      <c r="AG43" s="44"/>
      <c r="AH43" s="44"/>
      <c r="AI43" s="44"/>
      <c r="AJ43" s="44">
        <v>0</v>
      </c>
      <c r="AK43" s="45"/>
      <c r="AL43" s="45"/>
      <c r="AM43" s="45"/>
      <c r="AN43" s="45">
        <f t="shared" si="9"/>
        <v>0</v>
      </c>
      <c r="AO43" s="13">
        <f t="shared" si="10"/>
        <v>0</v>
      </c>
      <c r="AP43" s="60">
        <f t="shared" si="11"/>
        <v>-1810000</v>
      </c>
      <c r="AQ43" s="355"/>
      <c r="AR43" s="355"/>
      <c r="AS43" s="355"/>
      <c r="AT43" s="355"/>
      <c r="AU43" s="355"/>
      <c r="AV43" s="355"/>
    </row>
    <row r="44" spans="1:48" s="741" customFormat="1" ht="59.25" customHeight="1">
      <c r="A44" s="6">
        <f t="shared" si="12"/>
        <v>12</v>
      </c>
      <c r="B44" s="951"/>
      <c r="C44" s="951"/>
      <c r="D44" s="7" t="s">
        <v>538</v>
      </c>
      <c r="E44" s="39">
        <v>2</v>
      </c>
      <c r="F44" s="47" t="s">
        <v>537</v>
      </c>
      <c r="G44" s="7" t="s">
        <v>538</v>
      </c>
      <c r="H44" s="132" t="s">
        <v>127</v>
      </c>
      <c r="I44" s="39"/>
      <c r="J44" s="39"/>
      <c r="K44" s="39"/>
      <c r="L44" s="39" t="s">
        <v>134</v>
      </c>
      <c r="M44" s="39"/>
      <c r="N44" s="39"/>
      <c r="O44" s="47">
        <v>0</v>
      </c>
      <c r="P44" s="41"/>
      <c r="Q44" s="42">
        <f t="shared" si="8"/>
        <v>0</v>
      </c>
      <c r="R44" s="43"/>
      <c r="S44" s="43"/>
      <c r="T44" s="43"/>
      <c r="U44" s="43" t="s">
        <v>193</v>
      </c>
      <c r="V44" s="39"/>
      <c r="W44" s="39"/>
      <c r="X44" s="39"/>
      <c r="Y44" s="39"/>
      <c r="Z44" s="39"/>
      <c r="AA44" s="39">
        <v>0</v>
      </c>
      <c r="AB44" s="39"/>
      <c r="AC44" s="39"/>
      <c r="AD44" s="39"/>
      <c r="AE44" s="39">
        <v>0</v>
      </c>
      <c r="AF44" s="39"/>
      <c r="AG44" s="44"/>
      <c r="AH44" s="44"/>
      <c r="AI44" s="44"/>
      <c r="AJ44" s="44">
        <v>0</v>
      </c>
      <c r="AK44" s="45"/>
      <c r="AL44" s="45"/>
      <c r="AM44" s="45"/>
      <c r="AN44" s="45">
        <f t="shared" si="9"/>
        <v>0</v>
      </c>
      <c r="AO44" s="13">
        <f t="shared" si="10"/>
        <v>0</v>
      </c>
      <c r="AP44" s="60">
        <f t="shared" si="11"/>
        <v>0</v>
      </c>
      <c r="AQ44" s="355"/>
      <c r="AR44" s="355"/>
      <c r="AS44" s="355"/>
      <c r="AT44" s="355"/>
      <c r="AU44" s="355"/>
      <c r="AV44" s="355"/>
    </row>
    <row r="45" spans="1:48" s="741" customFormat="1" ht="59.25" customHeight="1">
      <c r="A45" s="6">
        <v>13</v>
      </c>
      <c r="B45" s="951"/>
      <c r="C45" s="951"/>
      <c r="D45" s="7" t="s">
        <v>126</v>
      </c>
      <c r="E45" s="39"/>
      <c r="F45" s="47"/>
      <c r="G45" s="7"/>
      <c r="H45" s="132"/>
      <c r="I45" s="39"/>
      <c r="J45" s="39"/>
      <c r="K45" s="39"/>
      <c r="L45" s="39"/>
      <c r="M45" s="39"/>
      <c r="N45" s="39"/>
      <c r="O45" s="47"/>
      <c r="P45" s="41"/>
      <c r="Q45" s="42">
        <f t="shared" si="8"/>
        <v>0</v>
      </c>
      <c r="R45" s="43"/>
      <c r="S45" s="43"/>
      <c r="T45" s="43"/>
      <c r="U45" s="43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44"/>
      <c r="AH45" s="44"/>
      <c r="AI45" s="44"/>
      <c r="AJ45" s="44"/>
      <c r="AK45" s="45"/>
      <c r="AL45" s="45"/>
      <c r="AM45" s="45"/>
      <c r="AN45" s="45"/>
      <c r="AO45" s="13"/>
      <c r="AP45" s="60"/>
      <c r="AQ45" s="355"/>
      <c r="AR45" s="355"/>
      <c r="AS45" s="355"/>
      <c r="AT45" s="355"/>
      <c r="AU45" s="355"/>
      <c r="AV45" s="355"/>
    </row>
    <row r="46" spans="1:48" s="741" customFormat="1" ht="59.25" customHeight="1">
      <c r="A46" s="6">
        <v>14</v>
      </c>
      <c r="B46" s="951"/>
      <c r="C46" s="951"/>
      <c r="D46" s="7" t="s">
        <v>539</v>
      </c>
      <c r="E46" s="39">
        <v>1</v>
      </c>
      <c r="F46" s="47" t="s">
        <v>537</v>
      </c>
      <c r="G46" s="7" t="s">
        <v>539</v>
      </c>
      <c r="H46" s="132" t="s">
        <v>127</v>
      </c>
      <c r="I46" s="39"/>
      <c r="J46" s="39"/>
      <c r="K46" s="39"/>
      <c r="L46" s="39" t="s">
        <v>134</v>
      </c>
      <c r="M46" s="39"/>
      <c r="N46" s="39"/>
      <c r="O46" s="47">
        <v>0</v>
      </c>
      <c r="P46" s="41"/>
      <c r="Q46" s="42">
        <f t="shared" si="8"/>
        <v>0</v>
      </c>
      <c r="R46" s="43"/>
      <c r="S46" s="43"/>
      <c r="T46" s="43"/>
      <c r="U46" s="43" t="s">
        <v>193</v>
      </c>
      <c r="V46" s="39"/>
      <c r="W46" s="39"/>
      <c r="X46" s="39"/>
      <c r="Y46" s="39"/>
      <c r="Z46" s="39"/>
      <c r="AA46" s="39">
        <v>0</v>
      </c>
      <c r="AB46" s="39"/>
      <c r="AC46" s="39"/>
      <c r="AD46" s="39"/>
      <c r="AE46" s="39">
        <v>0</v>
      </c>
      <c r="AF46" s="39"/>
      <c r="AG46" s="44"/>
      <c r="AH46" s="44"/>
      <c r="AI46" s="44"/>
      <c r="AJ46" s="44">
        <v>0</v>
      </c>
      <c r="AK46" s="45"/>
      <c r="AL46" s="45"/>
      <c r="AM46" s="45"/>
      <c r="AN46" s="45">
        <f t="shared" ref="AN46" si="13">AJ46</f>
        <v>0</v>
      </c>
      <c r="AO46" s="13">
        <f t="shared" ref="AO46" si="14">AN46</f>
        <v>0</v>
      </c>
      <c r="AP46" s="60">
        <f t="shared" ref="AP46" si="15">AO46-Q46-M46</f>
        <v>0</v>
      </c>
      <c r="AQ46" s="355"/>
      <c r="AR46" s="355"/>
      <c r="AS46" s="355"/>
      <c r="AT46" s="355"/>
      <c r="AU46" s="355"/>
      <c r="AV46" s="355"/>
    </row>
    <row r="47" spans="1:48" s="741" customFormat="1" ht="62.25" customHeight="1" thickBot="1">
      <c r="A47" s="6">
        <v>15</v>
      </c>
      <c r="B47" s="956"/>
      <c r="C47" s="956"/>
      <c r="D47" s="7" t="s">
        <v>323</v>
      </c>
      <c r="E47" s="39">
        <v>1</v>
      </c>
      <c r="F47" s="47" t="s">
        <v>233</v>
      </c>
      <c r="G47" s="7" t="s">
        <v>540</v>
      </c>
      <c r="H47" s="132" t="s">
        <v>127</v>
      </c>
      <c r="I47" s="39"/>
      <c r="J47" s="39"/>
      <c r="K47" s="39"/>
      <c r="L47" s="39" t="s">
        <v>134</v>
      </c>
      <c r="M47" s="39"/>
      <c r="N47" s="39">
        <v>500000</v>
      </c>
      <c r="O47" s="47">
        <v>3000000</v>
      </c>
      <c r="P47" s="41">
        <v>2900000</v>
      </c>
      <c r="Q47" s="42">
        <f t="shared" si="8"/>
        <v>6400000</v>
      </c>
      <c r="R47" s="43"/>
      <c r="S47" s="43"/>
      <c r="T47" s="43"/>
      <c r="U47" s="43">
        <v>1000</v>
      </c>
      <c r="V47" s="39"/>
      <c r="W47" s="39"/>
      <c r="X47" s="39"/>
      <c r="Y47" s="39"/>
      <c r="Z47" s="39"/>
      <c r="AA47" s="39">
        <v>1600</v>
      </c>
      <c r="AB47" s="39"/>
      <c r="AC47" s="39"/>
      <c r="AD47" s="39"/>
      <c r="AE47" s="39">
        <v>900</v>
      </c>
      <c r="AF47" s="39"/>
      <c r="AG47" s="44"/>
      <c r="AH47" s="44"/>
      <c r="AI47" s="44"/>
      <c r="AJ47" s="44">
        <v>0</v>
      </c>
      <c r="AK47" s="45"/>
      <c r="AL47" s="45"/>
      <c r="AM47" s="45"/>
      <c r="AN47" s="45">
        <v>950000</v>
      </c>
      <c r="AO47" s="13">
        <f t="shared" si="10"/>
        <v>950000</v>
      </c>
      <c r="AP47" s="60">
        <f t="shared" si="11"/>
        <v>-5450000</v>
      </c>
      <c r="AQ47" s="355"/>
      <c r="AR47" s="355"/>
      <c r="AS47" s="355"/>
      <c r="AT47" s="355"/>
      <c r="AU47" s="355"/>
      <c r="AV47" s="355"/>
    </row>
    <row r="48" spans="1:48" s="741" customFormat="1" ht="45" customHeight="1" thickBot="1">
      <c r="A48" s="291"/>
      <c r="B48" s="138" t="s">
        <v>115</v>
      </c>
      <c r="C48" s="138">
        <f>SUM(C33:C47)</f>
        <v>19</v>
      </c>
      <c r="D48" s="138"/>
      <c r="E48" s="138">
        <f>SUM(E33:E47)</f>
        <v>36</v>
      </c>
      <c r="F48" s="138"/>
      <c r="G48" s="138"/>
      <c r="H48" s="138"/>
      <c r="I48" s="138"/>
      <c r="J48" s="138"/>
      <c r="K48" s="138"/>
      <c r="L48" s="138"/>
      <c r="M48" s="147"/>
      <c r="N48" s="297">
        <f t="shared" ref="N48:AP48" si="16">SUM(N33:N47)</f>
        <v>8770000</v>
      </c>
      <c r="O48" s="306">
        <f t="shared" si="16"/>
        <v>11660000</v>
      </c>
      <c r="P48" s="138">
        <f t="shared" si="16"/>
        <v>8730000</v>
      </c>
      <c r="Q48" s="138">
        <f t="shared" si="16"/>
        <v>29160000</v>
      </c>
      <c r="R48" s="138">
        <f t="shared" si="16"/>
        <v>67000</v>
      </c>
      <c r="S48" s="138">
        <f t="shared" si="16"/>
        <v>0</v>
      </c>
      <c r="T48" s="138">
        <f t="shared" si="16"/>
        <v>3400</v>
      </c>
      <c r="U48" s="138">
        <f t="shared" si="16"/>
        <v>64100</v>
      </c>
      <c r="V48" s="138">
        <f t="shared" si="16"/>
        <v>16950</v>
      </c>
      <c r="W48" s="138">
        <f t="shared" si="16"/>
        <v>280</v>
      </c>
      <c r="X48" s="138">
        <f t="shared" si="16"/>
        <v>621</v>
      </c>
      <c r="Y48" s="138">
        <f t="shared" si="16"/>
        <v>30</v>
      </c>
      <c r="Z48" s="138">
        <f t="shared" si="16"/>
        <v>1100</v>
      </c>
      <c r="AA48" s="307">
        <f t="shared" si="16"/>
        <v>43300</v>
      </c>
      <c r="AB48" s="138">
        <f t="shared" si="16"/>
        <v>0</v>
      </c>
      <c r="AC48" s="138">
        <f t="shared" si="16"/>
        <v>0</v>
      </c>
      <c r="AD48" s="138">
        <f t="shared" si="16"/>
        <v>120</v>
      </c>
      <c r="AE48" s="307">
        <f t="shared" si="16"/>
        <v>2925</v>
      </c>
      <c r="AF48" s="138">
        <f t="shared" si="16"/>
        <v>0</v>
      </c>
      <c r="AG48" s="138">
        <f t="shared" si="16"/>
        <v>0</v>
      </c>
      <c r="AH48" s="138">
        <f t="shared" si="16"/>
        <v>0</v>
      </c>
      <c r="AI48" s="138">
        <f t="shared" si="16"/>
        <v>0</v>
      </c>
      <c r="AJ48" s="138">
        <f t="shared" si="16"/>
        <v>1485000</v>
      </c>
      <c r="AK48" s="138">
        <f t="shared" si="16"/>
        <v>0</v>
      </c>
      <c r="AL48" s="138">
        <f t="shared" si="16"/>
        <v>0</v>
      </c>
      <c r="AM48" s="138">
        <f t="shared" si="16"/>
        <v>0</v>
      </c>
      <c r="AN48" s="138">
        <f t="shared" si="16"/>
        <v>1510000</v>
      </c>
      <c r="AO48" s="138">
        <f t="shared" si="16"/>
        <v>1510000</v>
      </c>
      <c r="AP48" s="299">
        <f t="shared" si="16"/>
        <v>-27650000</v>
      </c>
      <c r="AQ48" s="355"/>
      <c r="AR48" s="355"/>
      <c r="AS48" s="355"/>
      <c r="AT48" s="355"/>
      <c r="AU48" s="355"/>
      <c r="AV48" s="355"/>
    </row>
    <row r="49" spans="1:48" s="152" customFormat="1" ht="39" customHeight="1">
      <c r="A49" s="143">
        <v>1</v>
      </c>
      <c r="B49" s="1003" t="s">
        <v>485</v>
      </c>
      <c r="C49" s="1003">
        <v>17</v>
      </c>
      <c r="D49" s="7" t="s">
        <v>486</v>
      </c>
      <c r="E49" s="7">
        <v>1</v>
      </c>
      <c r="F49" s="294" t="s">
        <v>487</v>
      </c>
      <c r="G49" s="7" t="s">
        <v>488</v>
      </c>
      <c r="H49" s="132" t="s">
        <v>489</v>
      </c>
      <c r="I49" s="7"/>
      <c r="J49" s="7"/>
      <c r="K49" s="7"/>
      <c r="L49" s="7"/>
      <c r="M49" s="7"/>
      <c r="N49" s="129">
        <v>0</v>
      </c>
      <c r="O49" s="129">
        <v>0</v>
      </c>
      <c r="P49" s="129">
        <v>0</v>
      </c>
      <c r="Q49" s="130">
        <v>0</v>
      </c>
      <c r="R49" s="10">
        <v>0</v>
      </c>
      <c r="S49" s="10">
        <v>0</v>
      </c>
      <c r="T49" s="10">
        <v>0</v>
      </c>
      <c r="U49" s="10">
        <v>0</v>
      </c>
      <c r="V49" s="7">
        <v>32269</v>
      </c>
      <c r="W49" s="7">
        <v>17160</v>
      </c>
      <c r="X49" s="7">
        <v>53</v>
      </c>
      <c r="Y49" s="7">
        <v>0</v>
      </c>
      <c r="Z49" s="7">
        <v>0</v>
      </c>
      <c r="AA49" s="7">
        <v>0</v>
      </c>
      <c r="AB49" s="7"/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11">
        <v>0</v>
      </c>
      <c r="AI49" s="11">
        <v>0</v>
      </c>
      <c r="AJ49" s="11">
        <v>0</v>
      </c>
      <c r="AK49" s="12">
        <v>0</v>
      </c>
      <c r="AL49" s="12">
        <f t="shared" ref="AL49:AN49" si="17">S49*Z49</f>
        <v>0</v>
      </c>
      <c r="AM49" s="12">
        <f t="shared" si="17"/>
        <v>0</v>
      </c>
      <c r="AN49" s="12">
        <f t="shared" si="17"/>
        <v>0</v>
      </c>
      <c r="AO49" s="13">
        <f>AK49+AL49+AM49+AN49</f>
        <v>0</v>
      </c>
      <c r="AP49" s="60">
        <v>0</v>
      </c>
      <c r="AQ49" s="295"/>
      <c r="AR49" s="296"/>
      <c r="AS49" s="295"/>
      <c r="AT49" s="296"/>
      <c r="AU49" s="295"/>
      <c r="AV49" s="740"/>
    </row>
    <row r="50" spans="1:48" s="152" customFormat="1" ht="64.5" customHeight="1">
      <c r="A50" s="143">
        <v>2</v>
      </c>
      <c r="B50" s="951"/>
      <c r="C50" s="951"/>
      <c r="D50" s="7" t="s">
        <v>50</v>
      </c>
      <c r="E50" s="7">
        <v>1</v>
      </c>
      <c r="F50" s="294" t="s">
        <v>490</v>
      </c>
      <c r="G50" s="7" t="s">
        <v>491</v>
      </c>
      <c r="H50" s="132" t="s">
        <v>60</v>
      </c>
      <c r="I50" s="7"/>
      <c r="J50" s="7"/>
      <c r="K50" s="7"/>
      <c r="L50" s="7" t="s">
        <v>492</v>
      </c>
      <c r="M50" s="7"/>
      <c r="N50" s="129"/>
      <c r="O50" s="129">
        <v>1030600</v>
      </c>
      <c r="P50" s="129"/>
      <c r="Q50" s="129">
        <f>N50+O50+P50</f>
        <v>1030600</v>
      </c>
      <c r="R50" s="10">
        <v>0</v>
      </c>
      <c r="S50" s="10">
        <v>15000</v>
      </c>
      <c r="T50" s="10"/>
      <c r="U50" s="10">
        <v>0</v>
      </c>
      <c r="V50" s="7">
        <v>32269</v>
      </c>
      <c r="W50" s="7">
        <v>17160</v>
      </c>
      <c r="X50" s="7">
        <v>53</v>
      </c>
      <c r="Y50" s="7">
        <v>0</v>
      </c>
      <c r="Z50" s="7">
        <v>1200</v>
      </c>
      <c r="AA50" s="7">
        <v>11.7</v>
      </c>
      <c r="AB50" s="7"/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11">
        <v>0</v>
      </c>
      <c r="AI50" s="11">
        <v>0</v>
      </c>
      <c r="AJ50" s="11">
        <v>0</v>
      </c>
      <c r="AK50" s="12">
        <v>0</v>
      </c>
      <c r="AL50" s="12">
        <v>0</v>
      </c>
      <c r="AM50" s="12">
        <v>0</v>
      </c>
      <c r="AN50" s="12">
        <v>0</v>
      </c>
      <c r="AO50" s="13">
        <v>0</v>
      </c>
      <c r="AP50" s="60">
        <v>0</v>
      </c>
      <c r="AQ50" s="295"/>
      <c r="AR50" s="296"/>
      <c r="AS50" s="295"/>
      <c r="AT50" s="296"/>
      <c r="AU50" s="295"/>
      <c r="AV50" s="740"/>
    </row>
    <row r="51" spans="1:48" s="152" customFormat="1" ht="56.25" customHeight="1">
      <c r="A51" s="143">
        <v>3</v>
      </c>
      <c r="B51" s="951"/>
      <c r="C51" s="951"/>
      <c r="D51" s="7" t="s">
        <v>138</v>
      </c>
      <c r="E51" s="7">
        <v>2</v>
      </c>
      <c r="F51" s="294" t="s">
        <v>493</v>
      </c>
      <c r="G51" s="294" t="s">
        <v>494</v>
      </c>
      <c r="H51" s="132" t="s">
        <v>60</v>
      </c>
      <c r="I51" s="7"/>
      <c r="J51" s="7"/>
      <c r="K51" s="7"/>
      <c r="L51" s="7" t="s">
        <v>492</v>
      </c>
      <c r="M51" s="7"/>
      <c r="N51" s="129">
        <v>240100</v>
      </c>
      <c r="O51" s="129">
        <v>573000</v>
      </c>
      <c r="P51" s="129"/>
      <c r="Q51" s="129">
        <f t="shared" ref="Q51:Q52" si="18">N51+O51+P51</f>
        <v>813100</v>
      </c>
      <c r="R51" s="10">
        <v>0</v>
      </c>
      <c r="S51" s="10">
        <v>0</v>
      </c>
      <c r="T51" s="10">
        <v>1200</v>
      </c>
      <c r="U51" s="10">
        <v>0</v>
      </c>
      <c r="V51" s="7">
        <v>32269</v>
      </c>
      <c r="W51" s="7">
        <v>17160</v>
      </c>
      <c r="X51" s="7">
        <v>53</v>
      </c>
      <c r="Y51" s="7">
        <v>0</v>
      </c>
      <c r="Z51" s="7">
        <v>1200</v>
      </c>
      <c r="AA51" s="7">
        <v>11.7</v>
      </c>
      <c r="AB51" s="7"/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11">
        <v>0</v>
      </c>
      <c r="AI51" s="11">
        <v>0</v>
      </c>
      <c r="AJ51" s="11">
        <v>0</v>
      </c>
      <c r="AK51" s="12">
        <v>0</v>
      </c>
      <c r="AL51" s="12">
        <v>0</v>
      </c>
      <c r="AM51" s="12">
        <v>0</v>
      </c>
      <c r="AN51" s="12">
        <v>85500</v>
      </c>
      <c r="AO51" s="13">
        <v>0</v>
      </c>
      <c r="AP51" s="60">
        <v>0</v>
      </c>
      <c r="AQ51" s="295"/>
      <c r="AR51" s="296"/>
      <c r="AS51" s="295"/>
      <c r="AT51" s="296"/>
      <c r="AU51" s="295"/>
      <c r="AV51" s="740"/>
    </row>
    <row r="52" spans="1:48" s="152" customFormat="1" ht="50.25" customHeight="1" thickBot="1">
      <c r="A52" s="143">
        <v>4</v>
      </c>
      <c r="B52" s="958"/>
      <c r="C52" s="956"/>
      <c r="D52" s="7" t="s">
        <v>48</v>
      </c>
      <c r="E52" s="7">
        <v>1</v>
      </c>
      <c r="F52" s="294" t="s">
        <v>493</v>
      </c>
      <c r="G52" s="7" t="s">
        <v>495</v>
      </c>
      <c r="H52" s="132" t="s">
        <v>60</v>
      </c>
      <c r="I52" s="7"/>
      <c r="J52" s="7"/>
      <c r="K52" s="7"/>
      <c r="L52" s="7" t="s">
        <v>492</v>
      </c>
      <c r="M52" s="7"/>
      <c r="N52" s="129"/>
      <c r="O52" s="129">
        <v>1498000</v>
      </c>
      <c r="P52" s="129"/>
      <c r="Q52" s="129">
        <f t="shared" si="18"/>
        <v>1498000</v>
      </c>
      <c r="R52" s="10">
        <v>0</v>
      </c>
      <c r="S52" s="10">
        <v>15000</v>
      </c>
      <c r="T52" s="10">
        <v>0</v>
      </c>
      <c r="U52" s="10">
        <v>0</v>
      </c>
      <c r="V52" s="7">
        <v>32269</v>
      </c>
      <c r="W52" s="7">
        <v>17160</v>
      </c>
      <c r="X52" s="7">
        <v>53</v>
      </c>
      <c r="Y52" s="7">
        <v>0</v>
      </c>
      <c r="Z52" s="294"/>
      <c r="AA52" s="7">
        <v>11.7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11">
        <v>0</v>
      </c>
      <c r="AI52" s="11">
        <v>0</v>
      </c>
      <c r="AJ52" s="11">
        <v>0</v>
      </c>
      <c r="AK52" s="12">
        <v>0</v>
      </c>
      <c r="AL52" s="12">
        <v>0</v>
      </c>
      <c r="AM52" s="12">
        <v>0</v>
      </c>
      <c r="AN52" s="12">
        <v>750000</v>
      </c>
      <c r="AO52" s="13">
        <v>0</v>
      </c>
      <c r="AP52" s="60">
        <v>0</v>
      </c>
      <c r="AQ52" s="295"/>
      <c r="AR52" s="296"/>
      <c r="AS52" s="295"/>
      <c r="AT52" s="296"/>
      <c r="AU52" s="295"/>
      <c r="AV52" s="740"/>
    </row>
    <row r="53" spans="1:48" s="152" customFormat="1" ht="41.25" customHeight="1" thickBot="1">
      <c r="A53" s="143"/>
      <c r="B53" s="133" t="s">
        <v>115</v>
      </c>
      <c r="C53" s="138">
        <v>17</v>
      </c>
      <c r="D53" s="138"/>
      <c r="E53" s="138">
        <f>SUM(E49:E52)</f>
        <v>5</v>
      </c>
      <c r="F53" s="138"/>
      <c r="G53" s="138"/>
      <c r="H53" s="138"/>
      <c r="I53" s="138"/>
      <c r="J53" s="138"/>
      <c r="K53" s="138"/>
      <c r="L53" s="138"/>
      <c r="M53" s="147"/>
      <c r="N53" s="297">
        <f>SUM(N50:N52)</f>
        <v>240100</v>
      </c>
      <c r="O53" s="298">
        <f>SUM(O50:O52)</f>
        <v>3101600</v>
      </c>
      <c r="P53" s="138">
        <f>SUM(P49:P52)</f>
        <v>0</v>
      </c>
      <c r="Q53" s="138">
        <f>SUM(Q49:Q52)</f>
        <v>3341700</v>
      </c>
      <c r="R53" s="138">
        <f t="shared" ref="R53:AP55" si="19">SUM(R49:R52)</f>
        <v>0</v>
      </c>
      <c r="S53" s="138">
        <f t="shared" si="19"/>
        <v>30000</v>
      </c>
      <c r="T53" s="138">
        <f t="shared" si="19"/>
        <v>1200</v>
      </c>
      <c r="U53" s="138">
        <f t="shared" si="19"/>
        <v>0</v>
      </c>
      <c r="V53" s="138">
        <v>32269</v>
      </c>
      <c r="W53" s="138">
        <v>17160</v>
      </c>
      <c r="X53" s="138">
        <v>53</v>
      </c>
      <c r="Y53" s="138">
        <v>0</v>
      </c>
      <c r="Z53" s="138"/>
      <c r="AA53" s="138">
        <v>0</v>
      </c>
      <c r="AB53" s="138">
        <f t="shared" si="19"/>
        <v>0</v>
      </c>
      <c r="AC53" s="138">
        <v>0</v>
      </c>
      <c r="AD53" s="138">
        <f t="shared" si="19"/>
        <v>0</v>
      </c>
      <c r="AE53" s="138">
        <f t="shared" si="19"/>
        <v>0</v>
      </c>
      <c r="AF53" s="138">
        <f t="shared" si="19"/>
        <v>0</v>
      </c>
      <c r="AG53" s="138">
        <f t="shared" si="19"/>
        <v>0</v>
      </c>
      <c r="AH53" s="138">
        <v>0</v>
      </c>
      <c r="AI53" s="138">
        <f t="shared" si="19"/>
        <v>0</v>
      </c>
      <c r="AJ53" s="138">
        <f t="shared" si="19"/>
        <v>0</v>
      </c>
      <c r="AK53" s="138">
        <f t="shared" si="19"/>
        <v>0</v>
      </c>
      <c r="AL53" s="138">
        <f t="shared" si="19"/>
        <v>0</v>
      </c>
      <c r="AM53" s="138">
        <f t="shared" si="19"/>
        <v>0</v>
      </c>
      <c r="AN53" s="138">
        <f t="shared" si="19"/>
        <v>835500</v>
      </c>
      <c r="AO53" s="138">
        <f t="shared" si="19"/>
        <v>0</v>
      </c>
      <c r="AP53" s="299">
        <f t="shared" si="19"/>
        <v>0</v>
      </c>
      <c r="AQ53" s="295"/>
      <c r="AR53" s="296"/>
      <c r="AS53" s="295"/>
      <c r="AT53" s="296"/>
      <c r="AU53" s="295"/>
      <c r="AV53" s="740"/>
    </row>
    <row r="54" spans="1:48" ht="41.25" customHeight="1" thickBot="1">
      <c r="AG54" s="3"/>
      <c r="AH54" s="3"/>
      <c r="AI54" s="3"/>
      <c r="AJ54" s="3"/>
    </row>
    <row r="55" spans="1:48" s="152" customFormat="1" ht="41.25" customHeight="1" thickBot="1">
      <c r="A55" s="143"/>
      <c r="B55" s="133" t="s">
        <v>115</v>
      </c>
      <c r="C55" s="138">
        <f>C53+C48+C32+C9</f>
        <v>62</v>
      </c>
      <c r="D55" s="138"/>
      <c r="E55" s="138">
        <f t="shared" ref="D55:AP55" si="20">E53+E48+E32+E9</f>
        <v>72</v>
      </c>
      <c r="F55" s="138"/>
      <c r="G55" s="138"/>
      <c r="H55" s="138"/>
      <c r="I55" s="138"/>
      <c r="J55" s="138"/>
      <c r="K55" s="138"/>
      <c r="L55" s="138"/>
      <c r="M55" s="138"/>
      <c r="N55" s="138">
        <f t="shared" si="20"/>
        <v>79921809</v>
      </c>
      <c r="O55" s="138">
        <f t="shared" si="20"/>
        <v>82135424</v>
      </c>
      <c r="P55" s="138">
        <f t="shared" si="20"/>
        <v>15227210</v>
      </c>
      <c r="Q55" s="138">
        <f t="shared" si="20"/>
        <v>177284443</v>
      </c>
      <c r="R55" s="138">
        <f t="shared" si="20"/>
        <v>67000</v>
      </c>
      <c r="S55" s="138">
        <f t="shared" si="20"/>
        <v>30000</v>
      </c>
      <c r="T55" s="138">
        <f t="shared" si="20"/>
        <v>4600</v>
      </c>
      <c r="U55" s="138">
        <f t="shared" si="20"/>
        <v>89100</v>
      </c>
      <c r="V55" s="138">
        <f>V53+V48+V32+V9</f>
        <v>96556</v>
      </c>
      <c r="W55" s="138">
        <f t="shared" si="20"/>
        <v>17440</v>
      </c>
      <c r="X55" s="138">
        <f t="shared" si="20"/>
        <v>674</v>
      </c>
      <c r="Y55" s="138">
        <f t="shared" si="20"/>
        <v>30</v>
      </c>
      <c r="Z55" s="138">
        <f t="shared" si="20"/>
        <v>1950</v>
      </c>
      <c r="AA55" s="138">
        <f t="shared" si="20"/>
        <v>43338</v>
      </c>
      <c r="AB55" s="138">
        <f t="shared" si="20"/>
        <v>0</v>
      </c>
      <c r="AC55" s="138">
        <f t="shared" si="20"/>
        <v>0</v>
      </c>
      <c r="AD55" s="138">
        <f t="shared" si="20"/>
        <v>970</v>
      </c>
      <c r="AE55" s="138">
        <f t="shared" si="20"/>
        <v>2963</v>
      </c>
      <c r="AF55" s="138">
        <f t="shared" si="20"/>
        <v>0</v>
      </c>
      <c r="AG55" s="138">
        <f t="shared" si="20"/>
        <v>0</v>
      </c>
      <c r="AH55" s="138">
        <f t="shared" si="20"/>
        <v>0</v>
      </c>
      <c r="AI55" s="138">
        <f t="shared" si="20"/>
        <v>0</v>
      </c>
      <c r="AJ55" s="138">
        <f t="shared" si="20"/>
        <v>1485000</v>
      </c>
      <c r="AK55" s="138">
        <f t="shared" si="20"/>
        <v>0</v>
      </c>
      <c r="AL55" s="138">
        <f t="shared" si="20"/>
        <v>0</v>
      </c>
      <c r="AM55" s="138">
        <f t="shared" si="20"/>
        <v>0</v>
      </c>
      <c r="AN55" s="138">
        <f t="shared" si="20"/>
        <v>2345500</v>
      </c>
      <c r="AO55" s="138">
        <f t="shared" si="20"/>
        <v>2635500</v>
      </c>
      <c r="AP55" s="138">
        <f t="shared" si="20"/>
        <v>-155548427</v>
      </c>
      <c r="AQ55" s="295"/>
      <c r="AR55" s="296"/>
      <c r="AS55" s="295"/>
      <c r="AT55" s="296"/>
      <c r="AU55" s="295"/>
      <c r="AV55" s="740"/>
    </row>
    <row r="56" spans="1:48">
      <c r="AG56" s="3"/>
      <c r="AH56" s="3"/>
      <c r="AI56" s="3"/>
      <c r="AJ56" s="3"/>
    </row>
    <row r="57" spans="1:48">
      <c r="AG57" s="3"/>
      <c r="AH57" s="3"/>
      <c r="AI57" s="3"/>
      <c r="AJ57" s="3"/>
    </row>
    <row r="58" spans="1:48">
      <c r="AG58" s="3"/>
      <c r="AH58" s="3"/>
      <c r="AI58" s="3"/>
      <c r="AJ58" s="3"/>
    </row>
    <row r="59" spans="1:48">
      <c r="AG59" s="3"/>
      <c r="AH59" s="3"/>
      <c r="AI59" s="3"/>
      <c r="AJ59" s="3"/>
    </row>
    <row r="60" spans="1:48">
      <c r="AG60" s="3"/>
      <c r="AH60" s="3"/>
      <c r="AI60" s="3"/>
      <c r="AJ60" s="3"/>
    </row>
    <row r="61" spans="1:48">
      <c r="AG61" s="3"/>
      <c r="AH61" s="3"/>
      <c r="AI61" s="3"/>
      <c r="AJ61" s="3"/>
    </row>
    <row r="62" spans="1:48">
      <c r="AG62" s="3"/>
      <c r="AH62" s="3"/>
      <c r="AI62" s="3"/>
      <c r="AJ62" s="3"/>
    </row>
    <row r="63" spans="1:48">
      <c r="AG63" s="3"/>
      <c r="AH63" s="3"/>
      <c r="AI63" s="3"/>
      <c r="AJ63" s="3"/>
    </row>
    <row r="64" spans="1:48">
      <c r="AG64" s="3"/>
      <c r="AH64" s="3"/>
      <c r="AI64" s="3"/>
      <c r="AJ64" s="3"/>
    </row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</sheetData>
  <mergeCells count="40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B49:B52"/>
    <mergeCell ref="C49:C52"/>
    <mergeCell ref="B7:B8"/>
    <mergeCell ref="C7:C8"/>
    <mergeCell ref="B10:B29"/>
    <mergeCell ref="C10:C29"/>
    <mergeCell ref="B33:B47"/>
    <mergeCell ref="C33:C47"/>
  </mergeCells>
  <pageMargins left="0.22" right="0.2" top="0.4" bottom="0.17" header="0.3" footer="0.17"/>
  <pageSetup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B9F55-458A-4CEC-BB16-54D2A347BE4B}">
  <sheetPr filterMode="1"/>
  <dimension ref="A1:AZ328"/>
  <sheetViews>
    <sheetView tabSelected="1" topLeftCell="A7" zoomScale="90" zoomScaleNormal="90" workbookViewId="0">
      <selection activeCell="V16" sqref="V16"/>
    </sheetView>
  </sheetViews>
  <sheetFormatPr defaultRowHeight="13.5"/>
  <cols>
    <col min="1" max="1" width="12" style="3" customWidth="1"/>
    <col min="2" max="2" width="18" style="50" customWidth="1"/>
    <col min="3" max="3" width="6.42578125" style="50" customWidth="1"/>
    <col min="4" max="4" width="5.28515625" style="50" customWidth="1"/>
    <col min="5" max="5" width="5.7109375" style="50" customWidth="1"/>
    <col min="6" max="6" width="7.42578125" style="50" customWidth="1"/>
    <col min="7" max="7" width="5" style="50" customWidth="1"/>
    <col min="8" max="12" width="5.85546875" style="50" customWidth="1"/>
    <col min="13" max="13" width="4.85546875" style="50" customWidth="1"/>
    <col min="14" max="14" width="13.7109375" style="50" customWidth="1"/>
    <col min="15" max="15" width="13.140625" style="50" customWidth="1"/>
    <col min="16" max="16" width="13.5703125" style="50" customWidth="1"/>
    <col min="17" max="17" width="15.42578125" style="50" customWidth="1"/>
    <col min="18" max="20" width="9" style="50" bestFit="1" customWidth="1"/>
    <col min="21" max="21" width="10.28515625" style="50" bestFit="1" customWidth="1"/>
    <col min="22" max="22" width="10.42578125" style="50" customWidth="1"/>
    <col min="23" max="23" width="12" style="50" bestFit="1" customWidth="1"/>
    <col min="24" max="24" width="15.5703125" style="50" bestFit="1" customWidth="1"/>
    <col min="25" max="25" width="10.140625" style="50" customWidth="1"/>
    <col min="26" max="26" width="11.5703125" style="50" bestFit="1" customWidth="1"/>
    <col min="27" max="27" width="14.28515625" style="50" bestFit="1" customWidth="1"/>
    <col min="28" max="28" width="15.5703125" style="50" bestFit="1" customWidth="1"/>
    <col min="29" max="29" width="11.5703125" style="50" bestFit="1" customWidth="1"/>
    <col min="30" max="30" width="6.42578125" style="50" bestFit="1" customWidth="1"/>
    <col min="31" max="31" width="6.85546875" style="50" customWidth="1"/>
    <col min="32" max="32" width="13.42578125" style="50" customWidth="1"/>
    <col min="33" max="34" width="10.28515625" style="117" bestFit="1" customWidth="1"/>
    <col min="35" max="35" width="11.7109375" style="117" customWidth="1"/>
    <col min="36" max="36" width="11.5703125" style="117" bestFit="1" customWidth="1"/>
    <col min="37" max="37" width="10.28515625" style="50" bestFit="1" customWidth="1"/>
    <col min="38" max="38" width="11.5703125" style="50" bestFit="1" customWidth="1"/>
    <col min="39" max="39" width="16" style="50" customWidth="1"/>
    <col min="40" max="40" width="18.85546875" style="50" customWidth="1"/>
    <col min="41" max="41" width="12.85546875" style="50" customWidth="1"/>
    <col min="42" max="42" width="17.85546875" style="50" customWidth="1"/>
    <col min="43" max="43" width="8.85546875" style="50" customWidth="1"/>
    <col min="44" max="44" width="9.28515625" style="50" customWidth="1"/>
    <col min="45" max="45" width="4.140625" style="50" customWidth="1"/>
    <col min="46" max="46" width="6.5703125" style="50" customWidth="1"/>
    <col min="47" max="47" width="5.42578125" style="50" customWidth="1"/>
    <col min="48" max="48" width="5" style="50" customWidth="1"/>
    <col min="49" max="49" width="8" style="50" customWidth="1"/>
    <col min="50" max="50" width="5" style="50" customWidth="1"/>
    <col min="51" max="51" width="6.140625" style="50" customWidth="1"/>
    <col min="52" max="52" width="4.28515625" style="50" customWidth="1"/>
    <col min="53" max="53" width="36.7109375" style="50" customWidth="1"/>
    <col min="54" max="16384" width="9.140625" style="50"/>
  </cols>
  <sheetData>
    <row r="1" spans="1:52" ht="33" customHeight="1" thickBot="1">
      <c r="A1" s="886" t="s">
        <v>541</v>
      </c>
      <c r="B1" s="886"/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86"/>
      <c r="O1" s="886"/>
      <c r="P1" s="886"/>
      <c r="Q1" s="886"/>
      <c r="R1" s="886"/>
      <c r="S1" s="886"/>
      <c r="T1" s="886"/>
      <c r="U1" s="886"/>
      <c r="V1" s="886"/>
      <c r="W1" s="886"/>
      <c r="X1" s="886"/>
      <c r="Y1" s="886"/>
      <c r="Z1" s="886"/>
      <c r="AA1" s="886"/>
      <c r="AB1" s="886"/>
      <c r="AC1" s="886"/>
      <c r="AD1" s="886"/>
      <c r="AE1" s="886"/>
      <c r="AF1" s="886"/>
      <c r="AG1" s="886"/>
      <c r="AH1" s="886"/>
      <c r="AI1" s="886"/>
      <c r="AJ1" s="886"/>
      <c r="AK1" s="886"/>
      <c r="AL1" s="886"/>
      <c r="AM1" s="886"/>
      <c r="AN1" s="886"/>
      <c r="AO1" s="886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</row>
    <row r="2" spans="1:52" ht="60.75" customHeight="1">
      <c r="A2" s="841" t="s">
        <v>0</v>
      </c>
      <c r="B2" s="880" t="s">
        <v>147</v>
      </c>
      <c r="C2" s="976" t="s">
        <v>2</v>
      </c>
      <c r="D2" s="880" t="s">
        <v>3</v>
      </c>
      <c r="E2" s="880"/>
      <c r="F2" s="880"/>
      <c r="G2" s="880"/>
      <c r="H2" s="880"/>
      <c r="I2" s="880" t="s">
        <v>4</v>
      </c>
      <c r="J2" s="880"/>
      <c r="K2" s="880"/>
      <c r="L2" s="880"/>
      <c r="M2" s="880"/>
      <c r="N2" s="980" t="s">
        <v>5</v>
      </c>
      <c r="O2" s="981"/>
      <c r="P2" s="981"/>
      <c r="Q2" s="982"/>
      <c r="R2" s="893" t="s">
        <v>6</v>
      </c>
      <c r="S2" s="893"/>
      <c r="T2" s="893"/>
      <c r="U2" s="893"/>
      <c r="V2" s="880" t="s">
        <v>7</v>
      </c>
      <c r="W2" s="880"/>
      <c r="X2" s="880"/>
      <c r="Y2" s="880" t="s">
        <v>8</v>
      </c>
      <c r="Z2" s="880"/>
      <c r="AA2" s="880"/>
      <c r="AB2" s="880"/>
      <c r="AC2" s="880"/>
      <c r="AD2" s="880"/>
      <c r="AE2" s="880"/>
      <c r="AF2" s="880"/>
      <c r="AG2" s="973" t="s">
        <v>9</v>
      </c>
      <c r="AH2" s="974"/>
      <c r="AI2" s="974"/>
      <c r="AJ2" s="974"/>
      <c r="AK2" s="974"/>
      <c r="AL2" s="974"/>
      <c r="AM2" s="974"/>
      <c r="AN2" s="974"/>
      <c r="AO2" s="974"/>
      <c r="AP2" s="975"/>
      <c r="AQ2" s="74"/>
      <c r="AR2" s="74"/>
      <c r="AS2" s="74"/>
      <c r="AT2" s="74"/>
      <c r="AU2" s="74"/>
      <c r="AV2" s="74"/>
    </row>
    <row r="3" spans="1:52" ht="141" customHeight="1">
      <c r="A3" s="842"/>
      <c r="B3" s="873"/>
      <c r="C3" s="977"/>
      <c r="D3" s="976" t="s">
        <v>10</v>
      </c>
      <c r="E3" s="873" t="s">
        <v>148</v>
      </c>
      <c r="F3" s="884" t="s">
        <v>12</v>
      </c>
      <c r="G3" s="882" t="s">
        <v>13</v>
      </c>
      <c r="H3" s="882" t="s">
        <v>123</v>
      </c>
      <c r="I3" s="882" t="s">
        <v>14</v>
      </c>
      <c r="J3" s="882" t="s">
        <v>15</v>
      </c>
      <c r="K3" s="882" t="s">
        <v>16</v>
      </c>
      <c r="L3" s="882" t="s">
        <v>17</v>
      </c>
      <c r="M3" s="873" t="s">
        <v>18</v>
      </c>
      <c r="N3" s="878" t="s">
        <v>19</v>
      </c>
      <c r="O3" s="878" t="s">
        <v>20</v>
      </c>
      <c r="P3" s="878" t="s">
        <v>21</v>
      </c>
      <c r="Q3" s="971" t="s">
        <v>22</v>
      </c>
      <c r="R3" s="894"/>
      <c r="S3" s="894"/>
      <c r="T3" s="894"/>
      <c r="U3" s="894"/>
      <c r="V3" s="873" t="s">
        <v>23</v>
      </c>
      <c r="W3" s="873"/>
      <c r="X3" s="873"/>
      <c r="Y3" s="873" t="s">
        <v>118</v>
      </c>
      <c r="Z3" s="873"/>
      <c r="AA3" s="873"/>
      <c r="AB3" s="873"/>
      <c r="AC3" s="873" t="s">
        <v>24</v>
      </c>
      <c r="AD3" s="873"/>
      <c r="AE3" s="873"/>
      <c r="AF3" s="873"/>
      <c r="AG3" s="874" t="s">
        <v>25</v>
      </c>
      <c r="AH3" s="874"/>
      <c r="AI3" s="874"/>
      <c r="AJ3" s="874"/>
      <c r="AK3" s="875" t="s">
        <v>26</v>
      </c>
      <c r="AL3" s="875"/>
      <c r="AM3" s="875"/>
      <c r="AN3" s="875"/>
      <c r="AO3" s="876" t="s">
        <v>22</v>
      </c>
      <c r="AP3" s="969" t="s">
        <v>27</v>
      </c>
      <c r="AQ3" s="81"/>
      <c r="AR3" s="81"/>
      <c r="AS3" s="81"/>
      <c r="AT3" s="81"/>
      <c r="AU3" s="81"/>
      <c r="AV3" s="81"/>
    </row>
    <row r="4" spans="1:52" ht="93" customHeight="1">
      <c r="A4" s="842"/>
      <c r="B4" s="873"/>
      <c r="C4" s="978"/>
      <c r="D4" s="977"/>
      <c r="E4" s="873"/>
      <c r="F4" s="884"/>
      <c r="G4" s="882"/>
      <c r="H4" s="882"/>
      <c r="I4" s="882"/>
      <c r="J4" s="882"/>
      <c r="K4" s="882"/>
      <c r="L4" s="882"/>
      <c r="M4" s="873"/>
      <c r="N4" s="878"/>
      <c r="O4" s="878"/>
      <c r="P4" s="878"/>
      <c r="Q4" s="972"/>
      <c r="R4" s="118" t="s">
        <v>28</v>
      </c>
      <c r="S4" s="118" t="s">
        <v>29</v>
      </c>
      <c r="T4" s="118" t="s">
        <v>30</v>
      </c>
      <c r="U4" s="118" t="s">
        <v>31</v>
      </c>
      <c r="V4" s="8" t="s">
        <v>119</v>
      </c>
      <c r="W4" s="8" t="s">
        <v>33</v>
      </c>
      <c r="X4" s="7" t="s">
        <v>34</v>
      </c>
      <c r="Y4" s="119" t="s">
        <v>35</v>
      </c>
      <c r="Z4" s="119" t="s">
        <v>36</v>
      </c>
      <c r="AA4" s="119" t="s">
        <v>37</v>
      </c>
      <c r="AB4" s="119" t="s">
        <v>18</v>
      </c>
      <c r="AC4" s="119" t="s">
        <v>35</v>
      </c>
      <c r="AD4" s="119" t="s">
        <v>36</v>
      </c>
      <c r="AE4" s="119" t="s">
        <v>37</v>
      </c>
      <c r="AF4" s="119" t="s">
        <v>18</v>
      </c>
      <c r="AG4" s="120" t="s">
        <v>35</v>
      </c>
      <c r="AH4" s="120" t="s">
        <v>36</v>
      </c>
      <c r="AI4" s="120" t="s">
        <v>37</v>
      </c>
      <c r="AJ4" s="121" t="s">
        <v>31</v>
      </c>
      <c r="AK4" s="122" t="s">
        <v>35</v>
      </c>
      <c r="AL4" s="122" t="s">
        <v>36</v>
      </c>
      <c r="AM4" s="122" t="s">
        <v>37</v>
      </c>
      <c r="AN4" s="123" t="s">
        <v>31</v>
      </c>
      <c r="AO4" s="876"/>
      <c r="AP4" s="970"/>
      <c r="AQ4" s="88"/>
      <c r="AR4" s="88"/>
      <c r="AS4" s="81"/>
      <c r="AT4" s="88"/>
      <c r="AU4" s="88"/>
      <c r="AV4" s="88"/>
    </row>
    <row r="5" spans="1:52" ht="54.75" customHeight="1">
      <c r="A5" s="1010"/>
      <c r="B5" s="873"/>
      <c r="C5" s="30" t="s">
        <v>38</v>
      </c>
      <c r="D5" s="978"/>
      <c r="E5" s="53" t="s">
        <v>38</v>
      </c>
      <c r="F5" s="153"/>
      <c r="G5" s="153"/>
      <c r="H5" s="7"/>
      <c r="I5" s="7"/>
      <c r="J5" s="7"/>
      <c r="K5" s="8"/>
      <c r="L5" s="7"/>
      <c r="M5" s="7"/>
      <c r="N5" s="129" t="s">
        <v>39</v>
      </c>
      <c r="O5" s="129" t="s">
        <v>39</v>
      </c>
      <c r="P5" s="129" t="s">
        <v>39</v>
      </c>
      <c r="Q5" s="130" t="s">
        <v>39</v>
      </c>
      <c r="R5" s="154" t="s">
        <v>40</v>
      </c>
      <c r="S5" s="154" t="s">
        <v>40</v>
      </c>
      <c r="T5" s="154" t="s">
        <v>40</v>
      </c>
      <c r="U5" s="154" t="s">
        <v>40</v>
      </c>
      <c r="V5" s="7" t="s">
        <v>41</v>
      </c>
      <c r="W5" s="7" t="s">
        <v>38</v>
      </c>
      <c r="X5" s="7" t="s">
        <v>34</v>
      </c>
      <c r="Y5" s="155" t="s">
        <v>42</v>
      </c>
      <c r="Z5" s="155" t="s">
        <v>43</v>
      </c>
      <c r="AA5" s="155" t="s">
        <v>44</v>
      </c>
      <c r="AB5" s="155"/>
      <c r="AC5" s="155" t="s">
        <v>42</v>
      </c>
      <c r="AD5" s="155" t="s">
        <v>43</v>
      </c>
      <c r="AE5" s="155" t="s">
        <v>44</v>
      </c>
      <c r="AF5" s="155"/>
      <c r="AG5" s="156" t="s">
        <v>40</v>
      </c>
      <c r="AH5" s="156" t="s">
        <v>40</v>
      </c>
      <c r="AI5" s="156" t="s">
        <v>40</v>
      </c>
      <c r="AJ5" s="156" t="s">
        <v>40</v>
      </c>
      <c r="AK5" s="157" t="s">
        <v>40</v>
      </c>
      <c r="AL5" s="157" t="s">
        <v>40</v>
      </c>
      <c r="AM5" s="157" t="s">
        <v>40</v>
      </c>
      <c r="AN5" s="12" t="s">
        <v>39</v>
      </c>
      <c r="AO5" s="13" t="s">
        <v>39</v>
      </c>
      <c r="AP5" s="60" t="s">
        <v>39</v>
      </c>
      <c r="AQ5" s="1"/>
      <c r="AR5" s="1"/>
      <c r="AS5" s="1"/>
      <c r="AT5" s="1"/>
      <c r="AU5" s="1"/>
      <c r="AV5" s="1"/>
    </row>
    <row r="6" spans="1:52" ht="19.5" customHeight="1" thickBot="1">
      <c r="A6" s="158">
        <v>1</v>
      </c>
      <c r="B6" s="4">
        <v>2</v>
      </c>
      <c r="C6" s="144">
        <v>3</v>
      </c>
      <c r="D6" s="4">
        <v>4</v>
      </c>
      <c r="E6" s="144">
        <v>5</v>
      </c>
      <c r="F6" s="4">
        <v>6</v>
      </c>
      <c r="G6" s="144">
        <v>7</v>
      </c>
      <c r="H6" s="144">
        <v>8</v>
      </c>
      <c r="I6" s="144">
        <v>9</v>
      </c>
      <c r="J6" s="4">
        <v>10</v>
      </c>
      <c r="K6" s="144">
        <v>11</v>
      </c>
      <c r="L6" s="4">
        <v>12</v>
      </c>
      <c r="M6" s="144">
        <v>13</v>
      </c>
      <c r="N6" s="160">
        <v>14</v>
      </c>
      <c r="O6" s="161">
        <v>15</v>
      </c>
      <c r="P6" s="160">
        <v>16</v>
      </c>
      <c r="Q6" s="162">
        <v>17</v>
      </c>
      <c r="R6" s="163">
        <v>18</v>
      </c>
      <c r="S6" s="164">
        <v>19</v>
      </c>
      <c r="T6" s="163">
        <v>20</v>
      </c>
      <c r="U6" s="164">
        <v>21</v>
      </c>
      <c r="V6" s="4">
        <v>22</v>
      </c>
      <c r="W6" s="144">
        <v>23</v>
      </c>
      <c r="X6" s="4">
        <v>24</v>
      </c>
      <c r="Y6" s="144">
        <v>25</v>
      </c>
      <c r="Z6" s="4">
        <v>26</v>
      </c>
      <c r="AA6" s="144">
        <v>27</v>
      </c>
      <c r="AB6" s="4">
        <v>28</v>
      </c>
      <c r="AC6" s="144">
        <v>29</v>
      </c>
      <c r="AD6" s="4">
        <v>30</v>
      </c>
      <c r="AE6" s="144">
        <v>31</v>
      </c>
      <c r="AF6" s="4">
        <v>32</v>
      </c>
      <c r="AG6" s="165">
        <v>33</v>
      </c>
      <c r="AH6" s="166">
        <v>34</v>
      </c>
      <c r="AI6" s="165">
        <v>35</v>
      </c>
      <c r="AJ6" s="166">
        <v>36</v>
      </c>
      <c r="AK6" s="167">
        <v>37</v>
      </c>
      <c r="AL6" s="168">
        <v>38</v>
      </c>
      <c r="AM6" s="167">
        <v>39</v>
      </c>
      <c r="AN6" s="168">
        <v>40</v>
      </c>
      <c r="AO6" s="169">
        <v>41</v>
      </c>
      <c r="AP6" s="311">
        <v>42</v>
      </c>
      <c r="AQ6" s="2"/>
      <c r="AR6" s="5"/>
      <c r="AS6" s="2"/>
      <c r="AT6" s="5"/>
      <c r="AU6" s="2"/>
      <c r="AV6" s="111"/>
    </row>
    <row r="7" spans="1:52" ht="43.5" customHeight="1" thickBot="1">
      <c r="A7" s="183">
        <v>1</v>
      </c>
      <c r="B7" s="172" t="s">
        <v>542</v>
      </c>
      <c r="C7" s="184">
        <f>Արագածոտն!C42</f>
        <v>70</v>
      </c>
      <c r="D7" s="184">
        <f>Արագածոտն!D42</f>
        <v>0</v>
      </c>
      <c r="E7" s="184">
        <f>Արագածոտն!E42</f>
        <v>27</v>
      </c>
      <c r="F7" s="184">
        <f>Արագածոտն!F42</f>
        <v>0</v>
      </c>
      <c r="G7" s="184">
        <f>Արագածոտն!G42</f>
        <v>0</v>
      </c>
      <c r="H7" s="184">
        <f>Արագածոտն!H42</f>
        <v>0</v>
      </c>
      <c r="I7" s="184">
        <f>Արագածոտն!I42</f>
        <v>0</v>
      </c>
      <c r="J7" s="184">
        <f>Արագածոտն!J42</f>
        <v>0</v>
      </c>
      <c r="K7" s="184">
        <f>Արագածոտն!K42</f>
        <v>0</v>
      </c>
      <c r="L7" s="184">
        <f>Արագածոտն!L42</f>
        <v>0</v>
      </c>
      <c r="M7" s="184">
        <f>Արագածոտն!M42</f>
        <v>0</v>
      </c>
      <c r="N7" s="160">
        <f>Արագածոտն!N42</f>
        <v>10893560</v>
      </c>
      <c r="O7" s="161">
        <f>Արագածոտն!O42</f>
        <v>25387878</v>
      </c>
      <c r="P7" s="160">
        <f>Արագածոտն!P42</f>
        <v>13842471.300000001</v>
      </c>
      <c r="Q7" s="162">
        <f>Արագածոտն!Q42</f>
        <v>50123909.299999997</v>
      </c>
      <c r="R7" s="163">
        <f>Արագածոտն!R42</f>
        <v>31.5</v>
      </c>
      <c r="S7" s="164">
        <f>Արագածոտն!S42</f>
        <v>2010</v>
      </c>
      <c r="T7" s="163">
        <f>Արագածոտն!T42</f>
        <v>12967</v>
      </c>
      <c r="U7" s="164">
        <f>Արագածոտն!U42</f>
        <v>70000</v>
      </c>
      <c r="V7" s="4">
        <f>Արագածոտն!V42</f>
        <v>344546</v>
      </c>
      <c r="W7" s="144">
        <f>Արագածոտն!W42</f>
        <v>21495</v>
      </c>
      <c r="X7" s="4">
        <f>Արագածոտն!X42</f>
        <v>208.8</v>
      </c>
      <c r="Y7" s="144">
        <f>Արագածոտն!Y42</f>
        <v>0</v>
      </c>
      <c r="Z7" s="4">
        <f>Արագածոտն!Z42</f>
        <v>3703</v>
      </c>
      <c r="AA7" s="144">
        <f>Արագածոտն!AA42</f>
        <v>639</v>
      </c>
      <c r="AB7" s="4">
        <f>Արագածոտն!AB42</f>
        <v>7768</v>
      </c>
      <c r="AC7" s="144">
        <f>Արագածոտն!AC42</f>
        <v>0</v>
      </c>
      <c r="AD7" s="4">
        <f>Արագածոտն!AD42</f>
        <v>0</v>
      </c>
      <c r="AE7" s="144">
        <f>Արագածոտն!AE42</f>
        <v>0</v>
      </c>
      <c r="AF7" s="4">
        <f>Արագածոտն!AF42</f>
        <v>80459</v>
      </c>
      <c r="AG7" s="165">
        <f>Արագածոտն!AG42</f>
        <v>0</v>
      </c>
      <c r="AH7" s="166">
        <f>Արագածոտն!AH42</f>
        <v>0</v>
      </c>
      <c r="AI7" s="165">
        <f>Արագածոտն!AI42</f>
        <v>0</v>
      </c>
      <c r="AJ7" s="166">
        <f>Արագածոտն!AJ42</f>
        <v>2120459</v>
      </c>
      <c r="AK7" s="167">
        <f>Արագածոտն!AK42</f>
        <v>0</v>
      </c>
      <c r="AL7" s="168">
        <f>Արագածոտն!AL42</f>
        <v>0</v>
      </c>
      <c r="AM7" s="167">
        <f>Արագածոտն!AM42</f>
        <v>0</v>
      </c>
      <c r="AN7" s="168">
        <f>Արագածոտն!AN42</f>
        <v>32520459</v>
      </c>
      <c r="AO7" s="169">
        <f>Արագածոտն!AO42</f>
        <v>32520459</v>
      </c>
      <c r="AP7" s="311">
        <f>Արագածոտն!AP42</f>
        <v>16527419.699999999</v>
      </c>
      <c r="AQ7" s="1"/>
      <c r="AR7" s="1"/>
      <c r="AS7" s="1"/>
      <c r="AT7" s="1"/>
      <c r="AU7" s="1"/>
      <c r="AV7" s="1"/>
    </row>
    <row r="8" spans="1:52" ht="43.5" customHeight="1" thickBot="1">
      <c r="A8" s="183">
        <v>2</v>
      </c>
      <c r="B8" s="201" t="s">
        <v>121</v>
      </c>
      <c r="C8" s="184">
        <f>Արարատ!C70</f>
        <v>96</v>
      </c>
      <c r="D8" s="184">
        <f>Արարատ!D70</f>
        <v>0</v>
      </c>
      <c r="E8" s="184">
        <f>Արարատ!E70</f>
        <v>68</v>
      </c>
      <c r="F8" s="184">
        <f>Արարատ!F70</f>
        <v>0</v>
      </c>
      <c r="G8" s="184">
        <f>Արարատ!G70</f>
        <v>0</v>
      </c>
      <c r="H8" s="184">
        <f>Արարատ!H70</f>
        <v>0</v>
      </c>
      <c r="I8" s="184">
        <f>Արարատ!I70</f>
        <v>0</v>
      </c>
      <c r="J8" s="184">
        <f>Արարատ!J70</f>
        <v>0</v>
      </c>
      <c r="K8" s="184">
        <f>Արարատ!K70</f>
        <v>0</v>
      </c>
      <c r="L8" s="184">
        <f>Արարատ!L70</f>
        <v>0</v>
      </c>
      <c r="M8" s="184">
        <f>Արարատ!M70</f>
        <v>0</v>
      </c>
      <c r="N8" s="160">
        <f>Արարատ!N70</f>
        <v>1080000</v>
      </c>
      <c r="O8" s="161">
        <f>Արարատ!O70</f>
        <v>3980000</v>
      </c>
      <c r="P8" s="160">
        <f>Արարատ!P70</f>
        <v>745000</v>
      </c>
      <c r="Q8" s="162">
        <f>Արարատ!Q70</f>
        <v>5805000</v>
      </c>
      <c r="R8" s="163">
        <f>Արարատ!R70</f>
        <v>0</v>
      </c>
      <c r="S8" s="164">
        <f>Արարատ!S70</f>
        <v>0</v>
      </c>
      <c r="T8" s="163">
        <f>Արարատ!T70</f>
        <v>0</v>
      </c>
      <c r="U8" s="164">
        <f>Արարատ!U70</f>
        <v>0</v>
      </c>
      <c r="V8" s="4">
        <f>Արարատ!V70</f>
        <v>53500</v>
      </c>
      <c r="W8" s="144">
        <f>Արարատ!W70</f>
        <v>48150</v>
      </c>
      <c r="X8" s="4">
        <f>Արարատ!X70</f>
        <v>0.9</v>
      </c>
      <c r="Y8" s="144">
        <f>Արարատ!Y70</f>
        <v>0</v>
      </c>
      <c r="Z8" s="4">
        <f>Արարատ!Z70</f>
        <v>0</v>
      </c>
      <c r="AA8" s="144">
        <f>Արարատ!AA70</f>
        <v>0</v>
      </c>
      <c r="AB8" s="4">
        <f>Արարատ!AB70</f>
        <v>0</v>
      </c>
      <c r="AC8" s="144">
        <f>Արարատ!AC70</f>
        <v>0</v>
      </c>
      <c r="AD8" s="4">
        <f>Արարատ!AD70</f>
        <v>0</v>
      </c>
      <c r="AE8" s="144">
        <f>Արարատ!AE70</f>
        <v>1.3</v>
      </c>
      <c r="AF8" s="4">
        <f>Արարատ!AF70</f>
        <v>4070</v>
      </c>
      <c r="AG8" s="165">
        <f>Արարատ!AG70</f>
        <v>0</v>
      </c>
      <c r="AH8" s="166">
        <f>Արարատ!AH70</f>
        <v>0</v>
      </c>
      <c r="AI8" s="165">
        <f>Արարատ!AI70</f>
        <v>0</v>
      </c>
      <c r="AJ8" s="166">
        <f>Արարատ!AJ70</f>
        <v>0</v>
      </c>
      <c r="AK8" s="167">
        <f>Արարատ!AK70</f>
        <v>0</v>
      </c>
      <c r="AL8" s="168">
        <f>Արարատ!AL70</f>
        <v>0</v>
      </c>
      <c r="AM8" s="167">
        <f>Արարատ!AM70</f>
        <v>0</v>
      </c>
      <c r="AN8" s="168">
        <f>Արարատ!AN70</f>
        <v>0</v>
      </c>
      <c r="AO8" s="169">
        <f>Արարատ!AO70</f>
        <v>0</v>
      </c>
      <c r="AP8" s="311">
        <f>Արարատ!AP70</f>
        <v>0</v>
      </c>
      <c r="AQ8" s="1"/>
      <c r="AR8" s="1"/>
      <c r="AS8" s="1"/>
      <c r="AT8" s="1"/>
      <c r="AU8" s="1"/>
      <c r="AV8" s="1"/>
    </row>
    <row r="9" spans="1:52" ht="43.5" customHeight="1" thickBot="1">
      <c r="A9" s="183">
        <v>3</v>
      </c>
      <c r="B9" s="201" t="s">
        <v>125</v>
      </c>
      <c r="C9" s="184">
        <f>Արմավիր!C49</f>
        <v>9</v>
      </c>
      <c r="D9" s="184">
        <f>Արմավիր!D49</f>
        <v>0</v>
      </c>
      <c r="E9" s="184">
        <f>Արմավիր!E49</f>
        <v>3</v>
      </c>
      <c r="F9" s="184">
        <f>Արմավիր!F49</f>
        <v>0</v>
      </c>
      <c r="G9" s="184">
        <f>Արմավիր!G49</f>
        <v>0</v>
      </c>
      <c r="H9" s="184">
        <f>Արմավիր!H49</f>
        <v>0</v>
      </c>
      <c r="I9" s="184">
        <f>Արմավիր!I49</f>
        <v>0</v>
      </c>
      <c r="J9" s="184">
        <f>Արմավիր!J49</f>
        <v>0</v>
      </c>
      <c r="K9" s="184">
        <f>Արմավիր!K49</f>
        <v>0</v>
      </c>
      <c r="L9" s="184">
        <f>Արմավիր!L49</f>
        <v>0</v>
      </c>
      <c r="M9" s="184">
        <f>Արմավիր!M49</f>
        <v>0</v>
      </c>
      <c r="N9" s="160">
        <f>Արմավիր!N49</f>
        <v>0</v>
      </c>
      <c r="O9" s="161">
        <f>Արմավիր!O49</f>
        <v>2118175</v>
      </c>
      <c r="P9" s="160">
        <f>Արմավիր!P49</f>
        <v>1693870</v>
      </c>
      <c r="Q9" s="162">
        <f>Արմավիր!Q49</f>
        <v>3812045</v>
      </c>
      <c r="R9" s="163">
        <f>Արմավիր!R49</f>
        <v>0</v>
      </c>
      <c r="S9" s="164">
        <f>Արմավիր!S49</f>
        <v>0</v>
      </c>
      <c r="T9" s="163">
        <f>Արմավիր!T49</f>
        <v>0</v>
      </c>
      <c r="U9" s="164">
        <f>Արմավիր!U49</f>
        <v>0</v>
      </c>
      <c r="V9" s="4">
        <f>Արմավիր!V49</f>
        <v>0</v>
      </c>
      <c r="W9" s="144">
        <f>Արմավիր!W49</f>
        <v>0</v>
      </c>
      <c r="X9" s="4">
        <f>Արմավիր!X49</f>
        <v>0</v>
      </c>
      <c r="Y9" s="144">
        <f>Արմավիր!Y49</f>
        <v>0</v>
      </c>
      <c r="Z9" s="4">
        <f>Արմավիր!Z49</f>
        <v>0</v>
      </c>
      <c r="AA9" s="144">
        <f>Արմավիր!AA49</f>
        <v>0</v>
      </c>
      <c r="AB9" s="4">
        <f>Արմավիր!AB49</f>
        <v>0</v>
      </c>
      <c r="AC9" s="144">
        <f>Արմավիր!AC49</f>
        <v>0</v>
      </c>
      <c r="AD9" s="4">
        <f>Արմավիր!AD49</f>
        <v>0</v>
      </c>
      <c r="AE9" s="144">
        <f>Արմավիր!AE49</f>
        <v>0</v>
      </c>
      <c r="AF9" s="4">
        <f>Արմավիր!AF49</f>
        <v>0</v>
      </c>
      <c r="AG9" s="165">
        <f>Արմավիր!AG49</f>
        <v>0</v>
      </c>
      <c r="AH9" s="166">
        <f>Արմավիր!AH49</f>
        <v>0</v>
      </c>
      <c r="AI9" s="165">
        <f>Արմավիր!AI49</f>
        <v>0</v>
      </c>
      <c r="AJ9" s="166">
        <f>Արմավիր!AJ49</f>
        <v>0</v>
      </c>
      <c r="AK9" s="167">
        <f>Արմավիր!AK49</f>
        <v>0</v>
      </c>
      <c r="AL9" s="168">
        <f>Արմավիր!AL49</f>
        <v>0</v>
      </c>
      <c r="AM9" s="167">
        <f>Արմավիր!AM49</f>
        <v>0</v>
      </c>
      <c r="AN9" s="168">
        <f>Արմավիր!AN49</f>
        <v>0</v>
      </c>
      <c r="AO9" s="169">
        <f>Արմավիր!AO49</f>
        <v>0</v>
      </c>
      <c r="AP9" s="311">
        <f>Արմավիր!AP49</f>
        <v>-3812045</v>
      </c>
      <c r="AQ9" s="1"/>
      <c r="AR9" s="1"/>
      <c r="AS9" s="1"/>
      <c r="AT9" s="1"/>
      <c r="AU9" s="1"/>
      <c r="AV9" s="1"/>
    </row>
    <row r="10" spans="1:52" ht="42" customHeight="1" thickBot="1">
      <c r="A10" s="183">
        <v>4</v>
      </c>
      <c r="B10" s="172" t="s">
        <v>543</v>
      </c>
      <c r="C10" s="184">
        <f>Գեղարքունիք!C51</f>
        <v>91</v>
      </c>
      <c r="D10" s="184">
        <f>Գեղարքունիք!D51</f>
        <v>0</v>
      </c>
      <c r="E10" s="184">
        <f>Գեղարքունիք!E51</f>
        <v>45</v>
      </c>
      <c r="F10" s="184">
        <f>Գեղարքունիք!F51</f>
        <v>0</v>
      </c>
      <c r="G10" s="184">
        <f>Գեղարքունիք!G51</f>
        <v>0</v>
      </c>
      <c r="H10" s="184">
        <f>Գեղարքունիք!H51</f>
        <v>0</v>
      </c>
      <c r="I10" s="184">
        <f>Գեղարքունիք!I51</f>
        <v>0</v>
      </c>
      <c r="J10" s="184">
        <f>Գեղարքունիք!J51</f>
        <v>0</v>
      </c>
      <c r="K10" s="184">
        <f>Գեղարքունիք!K51</f>
        <v>0</v>
      </c>
      <c r="L10" s="184">
        <f>Գեղարքունիք!L51</f>
        <v>0</v>
      </c>
      <c r="M10" s="184">
        <f>Գեղարքունիք!M51</f>
        <v>0</v>
      </c>
      <c r="N10" s="160">
        <f>Գեղարքունիք!N51</f>
        <v>22647977.5</v>
      </c>
      <c r="O10" s="161">
        <f>Գեղարքունիք!O51</f>
        <v>18517208.5</v>
      </c>
      <c r="P10" s="160">
        <f>Գեղարքունիք!P51</f>
        <v>7204236.9000000004</v>
      </c>
      <c r="Q10" s="162">
        <f>Գեղարքունիք!Q51</f>
        <v>48359509.200000003</v>
      </c>
      <c r="R10" s="163">
        <f>Գեղարքունիք!R51</f>
        <v>54000</v>
      </c>
      <c r="S10" s="164">
        <f>Գեղարքունիք!S51</f>
        <v>45000</v>
      </c>
      <c r="T10" s="163">
        <f>Գեղարքունիք!T51</f>
        <v>114700</v>
      </c>
      <c r="U10" s="164">
        <f>Գեղարքունիք!U51</f>
        <v>75000</v>
      </c>
      <c r="V10" s="4">
        <f>Գեղարքունիք!V51</f>
        <v>125305</v>
      </c>
      <c r="W10" s="144">
        <f>Գեղարքունիք!W51</f>
        <v>62810</v>
      </c>
      <c r="X10" s="4">
        <f>Գեղարքունիք!X51</f>
        <v>110.3137</v>
      </c>
      <c r="Y10" s="144">
        <f>Գեղարքունիք!Y51</f>
        <v>200.33333630000001</v>
      </c>
      <c r="Z10" s="4">
        <f>Գեղարքունիք!Z51</f>
        <v>1093</v>
      </c>
      <c r="AA10" s="144">
        <f>Գեղարքունիք!AA51</f>
        <v>3464.833333</v>
      </c>
      <c r="AB10" s="4">
        <f>Գեղարքունիք!AB51</f>
        <v>638</v>
      </c>
      <c r="AC10" s="144">
        <f>Գեղարքունիք!AC51</f>
        <v>61</v>
      </c>
      <c r="AD10" s="4">
        <f>Գեղարքունիք!AD51</f>
        <v>62</v>
      </c>
      <c r="AE10" s="144">
        <f>Գեղարքունիք!AE51</f>
        <v>145</v>
      </c>
      <c r="AF10" s="4">
        <f>Գեղարքունիք!AF51</f>
        <v>35</v>
      </c>
      <c r="AG10" s="165">
        <f>Գեղարքունիք!AG51</f>
        <v>1194</v>
      </c>
      <c r="AH10" s="166">
        <f>Գեղարքունիք!AH51</f>
        <v>0</v>
      </c>
      <c r="AI10" s="165">
        <f>Գեղարքունիք!AI51</f>
        <v>1550</v>
      </c>
      <c r="AJ10" s="166">
        <f>Գեղարքունիք!AJ51</f>
        <v>200000</v>
      </c>
      <c r="AK10" s="167">
        <f>Գեղարքունիք!AK51</f>
        <v>1379000.0375999999</v>
      </c>
      <c r="AL10" s="168">
        <f>Գեղարքունիք!AL51</f>
        <v>2100000</v>
      </c>
      <c r="AM10" s="167">
        <f>Գեղարքունիք!AM51</f>
        <v>7934999.9979999997</v>
      </c>
      <c r="AN10" s="168">
        <f>Գեղարքունիք!AN51</f>
        <v>5760000</v>
      </c>
      <c r="AO10" s="169">
        <f>Գեղարքունիք!AO51</f>
        <v>17174000.035599999</v>
      </c>
      <c r="AP10" s="311">
        <f>Գեղարքունիք!AP51</f>
        <v>-26425425.1644</v>
      </c>
      <c r="AQ10" s="1"/>
      <c r="AR10" s="1"/>
      <c r="AS10" s="1"/>
      <c r="AT10" s="1"/>
      <c r="AU10" s="1"/>
      <c r="AV10" s="1"/>
    </row>
    <row r="11" spans="1:52" ht="39" customHeight="1" thickBot="1">
      <c r="A11" s="183">
        <v>5</v>
      </c>
      <c r="B11" s="172" t="s">
        <v>544</v>
      </c>
      <c r="C11" s="184">
        <f>Լոռի!C122</f>
        <v>123</v>
      </c>
      <c r="D11" s="184">
        <f>Լոռի!D122</f>
        <v>0</v>
      </c>
      <c r="E11" s="184">
        <f>Լոռի!E122</f>
        <v>171</v>
      </c>
      <c r="F11" s="184">
        <f>Լոռի!F122</f>
        <v>0</v>
      </c>
      <c r="G11" s="184">
        <f>Լոռի!G122</f>
        <v>0</v>
      </c>
      <c r="H11" s="184">
        <f>Լոռի!H122</f>
        <v>0</v>
      </c>
      <c r="I11" s="184">
        <f>Լոռի!I122</f>
        <v>0</v>
      </c>
      <c r="J11" s="184">
        <f>Լոռի!J122</f>
        <v>0</v>
      </c>
      <c r="K11" s="184">
        <f>Լոռի!K122</f>
        <v>0</v>
      </c>
      <c r="L11" s="184">
        <f>Լոռի!L122</f>
        <v>0</v>
      </c>
      <c r="M11" s="184">
        <f>Լոռի!M122</f>
        <v>0</v>
      </c>
      <c r="N11" s="160">
        <f>Լոռի!N122</f>
        <v>108068877.75</v>
      </c>
      <c r="O11" s="161">
        <f>Լոռի!O122</f>
        <v>152516582.5</v>
      </c>
      <c r="P11" s="160">
        <f>Լոռի!P122</f>
        <v>22940372</v>
      </c>
      <c r="Q11" s="162">
        <f>Լոռի!Q122</f>
        <v>282719342.25</v>
      </c>
      <c r="R11" s="163">
        <f>Լոռի!R122</f>
        <v>63000</v>
      </c>
      <c r="S11" s="164">
        <f>Լոռի!S122</f>
        <v>7000</v>
      </c>
      <c r="T11" s="163">
        <f>Լոռի!T122</f>
        <v>14700</v>
      </c>
      <c r="U11" s="164">
        <f>Լոռի!U122</f>
        <v>261200</v>
      </c>
      <c r="V11" s="4">
        <f>Լոռի!V122</f>
        <v>368495</v>
      </c>
      <c r="W11" s="144">
        <f>Լոռի!W122</f>
        <v>249636</v>
      </c>
      <c r="X11" s="4">
        <f>Լոռի!X122</f>
        <v>5.7172132775744906</v>
      </c>
      <c r="Y11" s="144">
        <f>Լոռի!Y122</f>
        <v>152.94999999999999</v>
      </c>
      <c r="Z11" s="4">
        <f>Լոռի!Z122</f>
        <v>11.65</v>
      </c>
      <c r="AA11" s="144">
        <f>Լոռի!AA122</f>
        <v>19045.2</v>
      </c>
      <c r="AB11" s="4">
        <f>Լոռի!AB122</f>
        <v>37603.370000000003</v>
      </c>
      <c r="AC11" s="144">
        <f>Լոռի!AC122</f>
        <v>260328.87</v>
      </c>
      <c r="AD11" s="4">
        <f>Լոռի!AD122</f>
        <v>915</v>
      </c>
      <c r="AE11" s="144">
        <f>Լոռի!AE122</f>
        <v>11.2</v>
      </c>
      <c r="AF11" s="4">
        <f>Լոռի!AF122</f>
        <v>848.71832999999992</v>
      </c>
      <c r="AG11" s="165">
        <f>Լոռի!AG122</f>
        <v>3668600</v>
      </c>
      <c r="AH11" s="166">
        <f>Լոռի!AH122</f>
        <v>2053050</v>
      </c>
      <c r="AI11" s="165">
        <f>Լոռի!AI122</f>
        <v>2214920</v>
      </c>
      <c r="AJ11" s="166">
        <f>Լոռի!AJ122</f>
        <v>35297809</v>
      </c>
      <c r="AK11" s="167">
        <f>Լոռի!AK122</f>
        <v>3668600</v>
      </c>
      <c r="AL11" s="168">
        <f>Լոռի!AL122</f>
        <v>2053050</v>
      </c>
      <c r="AM11" s="167">
        <f>Լոռի!AM122</f>
        <v>2590920</v>
      </c>
      <c r="AN11" s="168">
        <f>Լոռի!AN122</f>
        <v>95334071</v>
      </c>
      <c r="AO11" s="169">
        <f>Լոռի!AO122</f>
        <v>110916337</v>
      </c>
      <c r="AP11" s="311">
        <f>Լոռի!AP122</f>
        <v>-96876853.25</v>
      </c>
      <c r="AQ11" s="1"/>
      <c r="AR11" s="1"/>
      <c r="AS11" s="1"/>
      <c r="AT11" s="1"/>
      <c r="AU11" s="1"/>
      <c r="AV11" s="1"/>
    </row>
    <row r="12" spans="1:52" ht="41.25" customHeight="1" thickBot="1">
      <c r="A12" s="183">
        <v>6</v>
      </c>
      <c r="B12" s="172" t="s">
        <v>545</v>
      </c>
      <c r="C12" s="184">
        <f>Կոտայք!C37</f>
        <v>30</v>
      </c>
      <c r="D12" s="184">
        <f>Կոտայք!D37</f>
        <v>0</v>
      </c>
      <c r="E12" s="184">
        <f>Կոտայք!E37</f>
        <v>23</v>
      </c>
      <c r="F12" s="184">
        <f>Կոտայք!F37</f>
        <v>0</v>
      </c>
      <c r="G12" s="184">
        <f>Կոտայք!G37</f>
        <v>0</v>
      </c>
      <c r="H12" s="184">
        <f>Կոտայք!H37</f>
        <v>0</v>
      </c>
      <c r="I12" s="184">
        <f>Կոտայք!I37</f>
        <v>0</v>
      </c>
      <c r="J12" s="184">
        <f>Կոտայք!J37</f>
        <v>0</v>
      </c>
      <c r="K12" s="184">
        <f>Կոտայք!K37</f>
        <v>0</v>
      </c>
      <c r="L12" s="184">
        <f>Կոտայք!L37</f>
        <v>0</v>
      </c>
      <c r="M12" s="184">
        <f>Կոտայք!M37</f>
        <v>0</v>
      </c>
      <c r="N12" s="160">
        <f>Կոտայք!N37</f>
        <v>17009787</v>
      </c>
      <c r="O12" s="161">
        <f>Կոտայք!O37</f>
        <v>27181219</v>
      </c>
      <c r="P12" s="160">
        <f>Կոտայք!P37</f>
        <v>4811200</v>
      </c>
      <c r="Q12" s="162">
        <f>Կոտայք!Q37</f>
        <v>49002206</v>
      </c>
      <c r="R12" s="163">
        <f>Կոտայք!R37</f>
        <v>0</v>
      </c>
      <c r="S12" s="164">
        <f>Կոտայք!S37</f>
        <v>0</v>
      </c>
      <c r="T12" s="163">
        <f>Կոտայք!T37</f>
        <v>0</v>
      </c>
      <c r="U12" s="164">
        <f>Կոտայք!U37</f>
        <v>0</v>
      </c>
      <c r="V12" s="4">
        <f>Կոտայք!V37</f>
        <v>344661</v>
      </c>
      <c r="W12" s="144">
        <f>Կոտայք!W37</f>
        <v>291277</v>
      </c>
      <c r="X12" s="4">
        <f>Կոտայք!X37</f>
        <v>401</v>
      </c>
      <c r="Y12" s="144">
        <f>Կոտայք!Y37</f>
        <v>0</v>
      </c>
      <c r="Z12" s="4">
        <f>Կոտայք!Z37</f>
        <v>4611</v>
      </c>
      <c r="AA12" s="144">
        <f>Կոտայք!AA37</f>
        <v>32288</v>
      </c>
      <c r="AB12" s="4">
        <f>Կոտայք!AB37</f>
        <v>933</v>
      </c>
      <c r="AC12" s="144">
        <f>Կոտայք!AC37</f>
        <v>0</v>
      </c>
      <c r="AD12" s="4">
        <f>Կոտայք!AD37</f>
        <v>91</v>
      </c>
      <c r="AE12" s="144">
        <f>Կոտայք!AE37</f>
        <v>370</v>
      </c>
      <c r="AF12" s="4">
        <f>Կոտայք!AF37</f>
        <v>920</v>
      </c>
      <c r="AG12" s="165">
        <f>Կոտայք!AG37</f>
        <v>0</v>
      </c>
      <c r="AH12" s="166">
        <f>Կոտայք!AH37</f>
        <v>0</v>
      </c>
      <c r="AI12" s="165">
        <f>Կոտայք!AI37</f>
        <v>0</v>
      </c>
      <c r="AJ12" s="166">
        <f>Կոտայք!AJ37</f>
        <v>0</v>
      </c>
      <c r="AK12" s="167">
        <f>Կոտայք!AK37</f>
        <v>0</v>
      </c>
      <c r="AL12" s="168">
        <f>Կոտայք!AL37</f>
        <v>0</v>
      </c>
      <c r="AM12" s="167">
        <f>Կոտայք!AM37</f>
        <v>0</v>
      </c>
      <c r="AN12" s="168">
        <f>Կոտայք!AN37</f>
        <v>0</v>
      </c>
      <c r="AO12" s="169">
        <f>Կոտայք!AO37</f>
        <v>0</v>
      </c>
      <c r="AP12" s="311">
        <f>Կոտայք!AP37</f>
        <v>-36082996</v>
      </c>
      <c r="AQ12" s="1"/>
      <c r="AR12" s="1"/>
      <c r="AS12" s="1"/>
      <c r="AT12" s="1"/>
      <c r="AU12" s="1"/>
      <c r="AV12" s="1"/>
    </row>
    <row r="13" spans="1:52" ht="37.5" customHeight="1" thickBot="1">
      <c r="A13" s="183">
        <v>7</v>
      </c>
      <c r="B13" s="172" t="s">
        <v>546</v>
      </c>
      <c r="C13" s="184">
        <f>Շիրակ!C53</f>
        <v>129</v>
      </c>
      <c r="D13" s="184" t="str">
        <f>Շիրակ!D53</f>
        <v>-</v>
      </c>
      <c r="E13" s="184">
        <f>Շիրակ!E53</f>
        <v>51</v>
      </c>
      <c r="F13" s="184" t="str">
        <f>Շիրակ!F53</f>
        <v>-</v>
      </c>
      <c r="G13" s="184" t="str">
        <f>Շիրակ!G53</f>
        <v>-</v>
      </c>
      <c r="H13" s="184" t="str">
        <f>Շիրակ!H53</f>
        <v>-</v>
      </c>
      <c r="I13" s="184" t="str">
        <f>Շիրակ!I53</f>
        <v>-</v>
      </c>
      <c r="J13" s="184" t="str">
        <f>Շիրակ!J53</f>
        <v>-</v>
      </c>
      <c r="K13" s="184" t="str">
        <f>Շիրակ!K53</f>
        <v>-</v>
      </c>
      <c r="L13" s="184" t="str">
        <f>Շիրակ!L53</f>
        <v>-</v>
      </c>
      <c r="M13" s="184" t="str">
        <f>Շիրակ!M53</f>
        <v>-</v>
      </c>
      <c r="N13" s="160">
        <f>Շիրակ!N53</f>
        <v>23397620</v>
      </c>
      <c r="O13" s="161">
        <f>Շիրակ!O53</f>
        <v>28816291</v>
      </c>
      <c r="P13" s="160">
        <f>Շիրակ!P53</f>
        <v>1853240</v>
      </c>
      <c r="Q13" s="162">
        <f>Շիրակ!Q53</f>
        <v>54067151</v>
      </c>
      <c r="R13" s="163" t="str">
        <f>Շիրակ!R53</f>
        <v>-</v>
      </c>
      <c r="S13" s="164" t="str">
        <f>Շիրակ!S53</f>
        <v>-</v>
      </c>
      <c r="T13" s="163" t="str">
        <f>Շիրակ!T53</f>
        <v>-</v>
      </c>
      <c r="U13" s="164" t="str">
        <f>Շիրակ!U53</f>
        <v>-</v>
      </c>
      <c r="V13" s="4">
        <f>Շիրակ!V53</f>
        <v>141961</v>
      </c>
      <c r="W13" s="144">
        <f>Շիրակ!W53</f>
        <v>260624</v>
      </c>
      <c r="X13" s="4" t="str">
        <f>Շիրակ!X53</f>
        <v>-</v>
      </c>
      <c r="Y13" s="144">
        <f>Շիրակ!Y53</f>
        <v>0</v>
      </c>
      <c r="Z13" s="4">
        <f>Շիրակ!Z53</f>
        <v>8287</v>
      </c>
      <c r="AA13" s="144">
        <f>Շիրակ!AA53</f>
        <v>21561</v>
      </c>
      <c r="AB13" s="4">
        <f>Շիրակ!AB53</f>
        <v>33617</v>
      </c>
      <c r="AC13" s="144">
        <f>Շիրակ!AC53</f>
        <v>59</v>
      </c>
      <c r="AD13" s="4">
        <f>Շիրակ!AD53</f>
        <v>2700</v>
      </c>
      <c r="AE13" s="144">
        <f>Շիրակ!AE53</f>
        <v>0</v>
      </c>
      <c r="AF13" s="4">
        <f>Շիրակ!AF53</f>
        <v>437500</v>
      </c>
      <c r="AG13" s="165">
        <f>Շիրակ!AG53</f>
        <v>0</v>
      </c>
      <c r="AH13" s="166">
        <f>Շիրակ!AH53</f>
        <v>0</v>
      </c>
      <c r="AI13" s="165">
        <f>Շիրակ!AI53</f>
        <v>0</v>
      </c>
      <c r="AJ13" s="166">
        <f>Շիրակ!AJ53</f>
        <v>2341500</v>
      </c>
      <c r="AK13" s="167">
        <f>Շիրակ!AK53</f>
        <v>0</v>
      </c>
      <c r="AL13" s="168">
        <f>Շիրակ!AL53</f>
        <v>0</v>
      </c>
      <c r="AM13" s="167">
        <f>Շիրակ!AM53</f>
        <v>0</v>
      </c>
      <c r="AN13" s="168">
        <f>Շիրակ!AN53</f>
        <v>2341500</v>
      </c>
      <c r="AO13" s="169">
        <f>Շիրակ!AO53</f>
        <v>2341500</v>
      </c>
      <c r="AP13" s="311">
        <f>Շիրակ!AP53</f>
        <v>-51725651</v>
      </c>
      <c r="AQ13" s="1"/>
      <c r="AR13" s="1"/>
      <c r="AS13" s="1"/>
      <c r="AT13" s="1"/>
      <c r="AU13" s="1"/>
      <c r="AV13" s="1"/>
    </row>
    <row r="14" spans="1:52" ht="46.5" customHeight="1" thickBot="1">
      <c r="A14" s="183">
        <v>8</v>
      </c>
      <c r="B14" s="201" t="s">
        <v>547</v>
      </c>
      <c r="C14" s="184">
        <f>Սյունիք!C76</f>
        <v>132</v>
      </c>
      <c r="D14" s="184">
        <f>Սյունիք!D76</f>
        <v>0</v>
      </c>
      <c r="E14" s="184">
        <f>Սյունիք!E76</f>
        <v>75</v>
      </c>
      <c r="F14" s="184">
        <f>Սյունիք!F76</f>
        <v>0</v>
      </c>
      <c r="G14" s="184">
        <f>Սյունիք!G76</f>
        <v>0</v>
      </c>
      <c r="H14" s="184">
        <f>Սյունիք!H76</f>
        <v>0</v>
      </c>
      <c r="I14" s="184">
        <f>Սյունիք!I76</f>
        <v>0</v>
      </c>
      <c r="J14" s="184">
        <f>Սյունիք!J76</f>
        <v>0</v>
      </c>
      <c r="K14" s="184">
        <f>Սյունիք!K76</f>
        <v>0</v>
      </c>
      <c r="L14" s="184">
        <f>Սյունիք!L76</f>
        <v>0</v>
      </c>
      <c r="M14" s="184">
        <f>Սյունիք!M76</f>
        <v>0</v>
      </c>
      <c r="N14" s="160">
        <f>Սյունիք!N76</f>
        <v>39369265</v>
      </c>
      <c r="O14" s="161">
        <f>Սյունիք!O76</f>
        <v>51177734.200000003</v>
      </c>
      <c r="P14" s="160">
        <f>Սյունիք!P76</f>
        <v>28334391</v>
      </c>
      <c r="Q14" s="162">
        <f>Սյունիք!Q76</f>
        <v>118881390.2</v>
      </c>
      <c r="R14" s="163">
        <f>Սյունիք!R76</f>
        <v>21000</v>
      </c>
      <c r="S14" s="164">
        <f>Սյունիք!S76</f>
        <v>13620</v>
      </c>
      <c r="T14" s="163">
        <f>Սյունիք!T76</f>
        <v>3000</v>
      </c>
      <c r="U14" s="164">
        <f>Սյունիք!U76</f>
        <v>51540</v>
      </c>
      <c r="V14" s="4">
        <f>Սյունիք!V76</f>
        <v>137477</v>
      </c>
      <c r="W14" s="144">
        <f>Սյունիք!W76</f>
        <v>33373</v>
      </c>
      <c r="X14" s="4">
        <f>Սյունիք!X76</f>
        <v>24.275333328484034</v>
      </c>
      <c r="Y14" s="144">
        <f>Սյունիք!Y76</f>
        <v>143.6</v>
      </c>
      <c r="Z14" s="4">
        <f>Սյունիք!Z76</f>
        <v>27257.4</v>
      </c>
      <c r="AA14" s="144">
        <f>Սյունիք!AA76</f>
        <v>411.1</v>
      </c>
      <c r="AB14" s="4">
        <f>Սյունիք!AB76</f>
        <v>5015.6000000000004</v>
      </c>
      <c r="AC14" s="144">
        <f>Սյունիք!AC76</f>
        <v>124.6</v>
      </c>
      <c r="AD14" s="4">
        <f>Սյունիք!AD76</f>
        <v>4095.6</v>
      </c>
      <c r="AE14" s="144">
        <f>Սյունիք!AE76</f>
        <v>84.8</v>
      </c>
      <c r="AF14" s="4">
        <f>Սյունիք!AF76</f>
        <v>2241.6</v>
      </c>
      <c r="AG14" s="165">
        <f>Սյունիք!AG76</f>
        <v>2741200</v>
      </c>
      <c r="AH14" s="166">
        <f>Սյունիք!AH76</f>
        <v>3785988.7</v>
      </c>
      <c r="AI14" s="165">
        <f>Սյունիք!AI76</f>
        <v>703500</v>
      </c>
      <c r="AJ14" s="166">
        <f>Սյունիք!AJ76</f>
        <v>10651480</v>
      </c>
      <c r="AK14" s="167">
        <f>Սյունիք!AK76</f>
        <v>3159200</v>
      </c>
      <c r="AL14" s="168">
        <f>Սյունիք!AL76</f>
        <v>53193600</v>
      </c>
      <c r="AM14" s="167">
        <f>Սյունիք!AM76</f>
        <v>4618350</v>
      </c>
      <c r="AN14" s="168">
        <f>Սյունիք!AN76</f>
        <v>5919480</v>
      </c>
      <c r="AO14" s="169">
        <f>Սյունիք!AO76</f>
        <v>67910630</v>
      </c>
      <c r="AP14" s="311">
        <f>Սյունիք!AP76</f>
        <v>-53508286.200000003</v>
      </c>
      <c r="AQ14" s="1"/>
      <c r="AR14" s="1"/>
      <c r="AS14" s="1"/>
      <c r="AT14" s="1"/>
      <c r="AU14" s="1"/>
      <c r="AV14" s="1"/>
    </row>
    <row r="15" spans="1:52" ht="45" customHeight="1" thickBot="1">
      <c r="A15" s="183">
        <v>9</v>
      </c>
      <c r="B15" s="172" t="s">
        <v>548</v>
      </c>
      <c r="C15" s="184">
        <f>'Վայոց ձոր'!C77</f>
        <v>42</v>
      </c>
      <c r="D15" s="184">
        <f>'Վայոց ձոր'!D77</f>
        <v>0</v>
      </c>
      <c r="E15" s="184">
        <f>'Վայոց ձոր'!E77</f>
        <v>72</v>
      </c>
      <c r="F15" s="184">
        <f>'Վայոց ձոր'!F77</f>
        <v>0</v>
      </c>
      <c r="G15" s="184">
        <f>'Վայոց ձոր'!G77</f>
        <v>0</v>
      </c>
      <c r="H15" s="184">
        <f>'Վայոց ձոր'!H77</f>
        <v>0</v>
      </c>
      <c r="I15" s="184">
        <f>'Վայոց ձոր'!I77</f>
        <v>0</v>
      </c>
      <c r="J15" s="184">
        <f>'Վայոց ձոր'!J77</f>
        <v>0</v>
      </c>
      <c r="K15" s="184">
        <f>'Վայոց ձոր'!K77</f>
        <v>0</v>
      </c>
      <c r="L15" s="184">
        <f>'Վայոց ձոր'!L77</f>
        <v>0</v>
      </c>
      <c r="M15" s="184">
        <f>'Վայոց ձոր'!M77</f>
        <v>0</v>
      </c>
      <c r="N15" s="160">
        <f>'Վայոց ձոր'!N77</f>
        <v>41606057</v>
      </c>
      <c r="O15" s="161">
        <f>'Վայոց ձոր'!O77</f>
        <v>29689661</v>
      </c>
      <c r="P15" s="160">
        <f>'Վայոց ձոր'!P77</f>
        <v>11219580</v>
      </c>
      <c r="Q15" s="162">
        <f>'Վայոց ձոր'!Q77</f>
        <v>80333808</v>
      </c>
      <c r="R15" s="163">
        <f>'Վայոց ձոր'!R77</f>
        <v>30000</v>
      </c>
      <c r="S15" s="164">
        <f>'Վայոց ձոր'!S77</f>
        <v>24200</v>
      </c>
      <c r="T15" s="163">
        <f>'Վայոց ձոր'!T77</f>
        <v>1070</v>
      </c>
      <c r="U15" s="164">
        <f>'Վայոց ձոր'!U77</f>
        <v>254460</v>
      </c>
      <c r="V15" s="4">
        <f>'Վայոց ձոր'!V77</f>
        <v>60228</v>
      </c>
      <c r="W15" s="144">
        <f>'Վայոց ձոր'!W77</f>
        <v>24432</v>
      </c>
      <c r="X15" s="4">
        <f>'Վայոց ձոր'!X77</f>
        <v>253.60542091131276</v>
      </c>
      <c r="Y15" s="144">
        <f>'Վայոց ձոր'!Y77</f>
        <v>22</v>
      </c>
      <c r="Z15" s="4">
        <f>'Վայոց ձոր'!Z77</f>
        <v>2160</v>
      </c>
      <c r="AA15" s="144">
        <f>'Վայոց ձոր'!AA77</f>
        <v>28631.5</v>
      </c>
      <c r="AB15" s="4">
        <f>'Վայոց ձոր'!AB77</f>
        <v>722540</v>
      </c>
      <c r="AC15" s="144">
        <f>'Վայոց ձոր'!AC77</f>
        <v>0</v>
      </c>
      <c r="AD15" s="4">
        <f>'Վայոց ձոր'!AD77</f>
        <v>72</v>
      </c>
      <c r="AE15" s="144">
        <f>'Վայոց ձոր'!AE77</f>
        <v>12570</v>
      </c>
      <c r="AF15" s="4">
        <f>'Վայոց ձոր'!AF77</f>
        <v>6760</v>
      </c>
      <c r="AG15" s="165">
        <f>'Վայոց ձոր'!AG77</f>
        <v>0</v>
      </c>
      <c r="AH15" s="166">
        <f>'Վայոց ձոր'!AH77</f>
        <v>0</v>
      </c>
      <c r="AI15" s="165">
        <f>'Վայոց ձոր'!AI77</f>
        <v>115800</v>
      </c>
      <c r="AJ15" s="166">
        <f>'Վայոց ձոր'!AJ77</f>
        <v>16516200</v>
      </c>
      <c r="AK15" s="167">
        <f>'Վայոց ձոր'!AK77</f>
        <v>0</v>
      </c>
      <c r="AL15" s="168">
        <f>'Վայոց ձոր'!AL77</f>
        <v>0</v>
      </c>
      <c r="AM15" s="167">
        <f>'Վայոց ձոր'!AM77</f>
        <v>6920425</v>
      </c>
      <c r="AN15" s="168">
        <f>'Վայոց ձոր'!AN77</f>
        <v>4107160</v>
      </c>
      <c r="AO15" s="169">
        <f>'Վայոց ձոր'!AO77</f>
        <v>19457585</v>
      </c>
      <c r="AP15" s="311">
        <f>'Վայոց ձոր'!AP77</f>
        <v>-55691923</v>
      </c>
      <c r="AQ15" s="1"/>
      <c r="AR15" s="1"/>
      <c r="AS15" s="1"/>
      <c r="AT15" s="1"/>
      <c r="AU15" s="1"/>
      <c r="AV15" s="1"/>
    </row>
    <row r="16" spans="1:52" ht="40.5" customHeight="1" thickBot="1">
      <c r="A16" s="183">
        <v>10</v>
      </c>
      <c r="B16" s="201" t="s">
        <v>549</v>
      </c>
      <c r="C16" s="184">
        <f>Տավուշ!C55</f>
        <v>62</v>
      </c>
      <c r="D16" s="184">
        <f>Տավուշ!D55</f>
        <v>0</v>
      </c>
      <c r="E16" s="184">
        <f>Տավուշ!E55</f>
        <v>72</v>
      </c>
      <c r="F16" s="184">
        <f>Տավուշ!F55</f>
        <v>0</v>
      </c>
      <c r="G16" s="184">
        <f>Տավուշ!G55</f>
        <v>0</v>
      </c>
      <c r="H16" s="184">
        <f>Տավուշ!H55</f>
        <v>0</v>
      </c>
      <c r="I16" s="184">
        <f>Տավուշ!I55</f>
        <v>0</v>
      </c>
      <c r="J16" s="184">
        <f>Տավուշ!J55</f>
        <v>0</v>
      </c>
      <c r="K16" s="184">
        <f>Տավուշ!K55</f>
        <v>0</v>
      </c>
      <c r="L16" s="184">
        <f>Տավուշ!L55</f>
        <v>0</v>
      </c>
      <c r="M16" s="184">
        <f>Տավուշ!M55</f>
        <v>0</v>
      </c>
      <c r="N16" s="160">
        <f>Տավուշ!N55</f>
        <v>79921809</v>
      </c>
      <c r="O16" s="161">
        <f>Տավուշ!O55</f>
        <v>82135424</v>
      </c>
      <c r="P16" s="160">
        <f>Տավուշ!P55</f>
        <v>15227210</v>
      </c>
      <c r="Q16" s="162">
        <f>Տավուշ!Q55</f>
        <v>177284443</v>
      </c>
      <c r="R16" s="163">
        <f>Տավուշ!R55</f>
        <v>67000</v>
      </c>
      <c r="S16" s="164">
        <f>Տավուշ!S55</f>
        <v>30000</v>
      </c>
      <c r="T16" s="163">
        <f>Տավուշ!T55</f>
        <v>4600</v>
      </c>
      <c r="U16" s="164">
        <f>Տավուշ!U55</f>
        <v>89100</v>
      </c>
      <c r="V16" s="4">
        <f>Տավուշ!V55</f>
        <v>96556</v>
      </c>
      <c r="W16" s="144">
        <f>Տավուշ!W55</f>
        <v>17440</v>
      </c>
      <c r="X16" s="4">
        <f>Տավուշ!X55</f>
        <v>674</v>
      </c>
      <c r="Y16" s="144">
        <f>Տավուշ!Y55</f>
        <v>30</v>
      </c>
      <c r="Z16" s="4">
        <f>Տավուշ!Z55</f>
        <v>1950</v>
      </c>
      <c r="AA16" s="144">
        <f>Տավուշ!AA55</f>
        <v>43338</v>
      </c>
      <c r="AB16" s="4">
        <f>Տավուշ!AB55</f>
        <v>0</v>
      </c>
      <c r="AC16" s="144">
        <f>Տավուշ!AC55</f>
        <v>0</v>
      </c>
      <c r="AD16" s="4">
        <f>Տավուշ!AD55</f>
        <v>970</v>
      </c>
      <c r="AE16" s="144">
        <f>Տավուշ!AE55</f>
        <v>2963</v>
      </c>
      <c r="AF16" s="4">
        <f>Տավուշ!AF55</f>
        <v>0</v>
      </c>
      <c r="AG16" s="165">
        <f>Տավուշ!AG55</f>
        <v>0</v>
      </c>
      <c r="AH16" s="166">
        <f>Տավուշ!AH55</f>
        <v>0</v>
      </c>
      <c r="AI16" s="165">
        <f>Տավուշ!AI55</f>
        <v>0</v>
      </c>
      <c r="AJ16" s="166">
        <f>Տավուշ!AJ55</f>
        <v>1485000</v>
      </c>
      <c r="AK16" s="167">
        <f>Տավուշ!AK55</f>
        <v>0</v>
      </c>
      <c r="AL16" s="168">
        <f>Տավուշ!AL55</f>
        <v>0</v>
      </c>
      <c r="AM16" s="167">
        <f>Տավուշ!AM55</f>
        <v>0</v>
      </c>
      <c r="AN16" s="168">
        <f>Տավուշ!AN55</f>
        <v>2345500</v>
      </c>
      <c r="AO16" s="169">
        <f>Տավուշ!AO55</f>
        <v>2635500</v>
      </c>
      <c r="AP16" s="311">
        <f>Տավուշ!AP55</f>
        <v>-155548427</v>
      </c>
      <c r="AQ16" s="1"/>
      <c r="AR16" s="1"/>
      <c r="AS16" s="1"/>
      <c r="AT16" s="1"/>
      <c r="AU16" s="1"/>
      <c r="AV16" s="1"/>
    </row>
    <row r="17" spans="1:48" ht="37.5" customHeight="1" thickBot="1">
      <c r="A17" s="171"/>
      <c r="B17" s="137" t="s">
        <v>115</v>
      </c>
      <c r="C17" s="137">
        <f>SUBTOTAL(9,C6:C16)</f>
        <v>787</v>
      </c>
      <c r="D17" s="137"/>
      <c r="E17" s="137">
        <f>SUM(E7:E16)</f>
        <v>607</v>
      </c>
      <c r="F17" s="137"/>
      <c r="G17" s="137">
        <f>SUM(G7:G16)</f>
        <v>0</v>
      </c>
      <c r="H17" s="137"/>
      <c r="I17" s="137">
        <f>SUM(I7:I16)</f>
        <v>0</v>
      </c>
      <c r="J17" s="137">
        <v>3</v>
      </c>
      <c r="K17" s="137">
        <f t="shared" ref="K17:AO17" si="0">SUM(K7:K16)</f>
        <v>0</v>
      </c>
      <c r="L17" s="137">
        <f t="shared" si="0"/>
        <v>0</v>
      </c>
      <c r="M17" s="137">
        <f t="shared" si="0"/>
        <v>0</v>
      </c>
      <c r="N17" s="137">
        <f>SUM(N7:N16)</f>
        <v>343994953.25</v>
      </c>
      <c r="O17" s="137">
        <f t="shared" si="0"/>
        <v>421520173.19999999</v>
      </c>
      <c r="P17" s="137">
        <f t="shared" si="0"/>
        <v>107871571.2</v>
      </c>
      <c r="Q17" s="137">
        <f t="shared" si="0"/>
        <v>870388803.95000005</v>
      </c>
      <c r="R17" s="137">
        <f t="shared" si="0"/>
        <v>235031.5</v>
      </c>
      <c r="S17" s="137">
        <f t="shared" si="0"/>
        <v>121830</v>
      </c>
      <c r="T17" s="137">
        <f t="shared" si="0"/>
        <v>151037</v>
      </c>
      <c r="U17" s="137">
        <f t="shared" si="0"/>
        <v>801300</v>
      </c>
      <c r="V17" s="137">
        <f>SUM(V7:V16)</f>
        <v>1672729</v>
      </c>
      <c r="W17" s="137">
        <f t="shared" si="0"/>
        <v>1009237</v>
      </c>
      <c r="X17" s="137">
        <f t="shared" si="0"/>
        <v>1678.6116675173712</v>
      </c>
      <c r="Y17" s="137">
        <f t="shared" si="0"/>
        <v>548.8833363</v>
      </c>
      <c r="Z17" s="137">
        <f t="shared" si="0"/>
        <v>49073.05</v>
      </c>
      <c r="AA17" s="137">
        <f t="shared" si="0"/>
        <v>149378.63333300001</v>
      </c>
      <c r="AB17" s="137">
        <f t="shared" si="0"/>
        <v>808114.97</v>
      </c>
      <c r="AC17" s="137">
        <f t="shared" si="0"/>
        <v>260573.47</v>
      </c>
      <c r="AD17" s="137">
        <f t="shared" si="0"/>
        <v>8905.6</v>
      </c>
      <c r="AE17" s="137">
        <f t="shared" si="0"/>
        <v>16145.3</v>
      </c>
      <c r="AF17" s="137">
        <f>SUM(AF7:AF16)</f>
        <v>532834.31833000004</v>
      </c>
      <c r="AG17" s="137">
        <f t="shared" si="0"/>
        <v>6410994</v>
      </c>
      <c r="AH17" s="137">
        <f t="shared" si="0"/>
        <v>5839038.7000000002</v>
      </c>
      <c r="AI17" s="137">
        <f t="shared" si="0"/>
        <v>3035770</v>
      </c>
      <c r="AJ17" s="137">
        <f t="shared" si="0"/>
        <v>68612448</v>
      </c>
      <c r="AK17" s="137">
        <f t="shared" si="0"/>
        <v>8206800.0375999995</v>
      </c>
      <c r="AL17" s="137">
        <f t="shared" si="0"/>
        <v>57346650</v>
      </c>
      <c r="AM17" s="137">
        <f t="shared" si="0"/>
        <v>22064694.998</v>
      </c>
      <c r="AN17" s="137">
        <f t="shared" si="0"/>
        <v>148328170</v>
      </c>
      <c r="AO17" s="137">
        <f t="shared" si="0"/>
        <v>252956011.03560001</v>
      </c>
      <c r="AP17" s="211">
        <f>SUM(AP7:AP16)</f>
        <v>-463144186.91439998</v>
      </c>
      <c r="AQ17" s="1"/>
      <c r="AR17" s="1"/>
      <c r="AS17" s="1"/>
      <c r="AT17" s="1"/>
      <c r="AU17" s="1"/>
      <c r="AV17" s="1"/>
    </row>
    <row r="18" spans="1:48" ht="44.25" customHeight="1">
      <c r="B18" s="1009" t="s">
        <v>116</v>
      </c>
      <c r="C18" s="1009"/>
      <c r="D18" s="1009"/>
      <c r="E18" s="1009"/>
      <c r="F18" s="1009"/>
      <c r="G18" s="1009"/>
      <c r="H18" s="1009"/>
      <c r="I18" s="1009"/>
      <c r="J18" s="1009"/>
      <c r="K18" s="1009"/>
      <c r="L18" s="1009"/>
      <c r="M18" s="1009"/>
      <c r="N18" s="1009"/>
      <c r="O18" s="1009"/>
      <c r="P18" s="1009"/>
      <c r="Q18" s="1009"/>
      <c r="R18" s="1009"/>
      <c r="S18" s="1009"/>
      <c r="T18" s="1009"/>
      <c r="U18" s="1009"/>
      <c r="V18" s="1009"/>
      <c r="W18" s="1009"/>
      <c r="X18" s="1009"/>
      <c r="Y18" s="1009"/>
      <c r="Z18" s="1009"/>
      <c r="AA18" s="1009"/>
      <c r="AB18" s="1009"/>
      <c r="AC18" s="1009"/>
      <c r="AD18" s="1009"/>
      <c r="AE18" s="1009"/>
      <c r="AF18" s="1009"/>
      <c r="AG18" s="312"/>
      <c r="AH18" s="312"/>
      <c r="AI18" s="312"/>
      <c r="AJ18" s="312"/>
      <c r="AK18" s="312"/>
      <c r="AL18" s="312"/>
      <c r="AM18" s="312"/>
      <c r="AN18" s="312"/>
    </row>
    <row r="19" spans="1:48" ht="20.25" customHeight="1">
      <c r="B19" s="111"/>
      <c r="C19" s="111"/>
      <c r="D19" s="111"/>
      <c r="AG19" s="50"/>
      <c r="AH19" s="50"/>
      <c r="AI19" s="50"/>
      <c r="AJ19" s="50"/>
    </row>
    <row r="20" spans="1:48">
      <c r="AG20" s="50"/>
      <c r="AH20" s="50"/>
      <c r="AI20" s="50"/>
      <c r="AJ20" s="50"/>
    </row>
    <row r="21" spans="1:48">
      <c r="AG21" s="50"/>
      <c r="AH21" s="50"/>
      <c r="AI21" s="50"/>
      <c r="AJ21" s="50"/>
    </row>
    <row r="22" spans="1:48">
      <c r="AG22" s="50"/>
      <c r="AH22" s="50"/>
      <c r="AI22" s="50"/>
      <c r="AJ22" s="50"/>
    </row>
    <row r="23" spans="1:48">
      <c r="AG23" s="50"/>
      <c r="AH23" s="50"/>
      <c r="AI23" s="50"/>
      <c r="AJ23" s="50"/>
    </row>
    <row r="24" spans="1:48">
      <c r="AG24" s="50"/>
      <c r="AH24" s="50"/>
      <c r="AI24" s="50"/>
      <c r="AJ24" s="50"/>
    </row>
    <row r="25" spans="1:48">
      <c r="AG25" s="50"/>
      <c r="AH25" s="50"/>
      <c r="AI25" s="50"/>
      <c r="AJ25" s="50"/>
    </row>
    <row r="26" spans="1:48">
      <c r="AG26" s="50"/>
      <c r="AH26" s="50"/>
      <c r="AI26" s="50"/>
      <c r="AJ26" s="50"/>
    </row>
    <row r="27" spans="1:48">
      <c r="AG27" s="50"/>
      <c r="AH27" s="50"/>
      <c r="AI27" s="50"/>
      <c r="AJ27" s="50"/>
    </row>
    <row r="28" spans="1:48">
      <c r="AG28" s="50"/>
      <c r="AH28" s="50"/>
      <c r="AI28" s="50"/>
      <c r="AJ28" s="50"/>
    </row>
    <row r="29" spans="1:48">
      <c r="AG29" s="50"/>
      <c r="AH29" s="50"/>
      <c r="AI29" s="50"/>
      <c r="AJ29" s="50"/>
    </row>
    <row r="30" spans="1:48">
      <c r="AG30" s="50"/>
      <c r="AH30" s="50"/>
      <c r="AI30" s="50"/>
      <c r="AJ30" s="50"/>
    </row>
    <row r="31" spans="1:48">
      <c r="AG31" s="50"/>
      <c r="AH31" s="50"/>
      <c r="AI31" s="50"/>
      <c r="AJ31" s="50"/>
    </row>
    <row r="32" spans="1:48">
      <c r="AG32" s="50"/>
      <c r="AH32" s="50"/>
      <c r="AI32" s="50"/>
      <c r="AJ32" s="50"/>
    </row>
    <row r="33" spans="1:36">
      <c r="AG33" s="50"/>
      <c r="AH33" s="50"/>
      <c r="AI33" s="50"/>
      <c r="AJ33" s="50"/>
    </row>
    <row r="34" spans="1:36">
      <c r="A34" s="50"/>
      <c r="AG34" s="50"/>
      <c r="AH34" s="50"/>
      <c r="AI34" s="50"/>
      <c r="AJ34" s="50"/>
    </row>
    <row r="35" spans="1:36">
      <c r="A35" s="50"/>
      <c r="AG35" s="50"/>
      <c r="AH35" s="50"/>
      <c r="AI35" s="50"/>
      <c r="AJ35" s="50"/>
    </row>
    <row r="36" spans="1:36">
      <c r="A36" s="50"/>
      <c r="AG36" s="50"/>
      <c r="AH36" s="50"/>
      <c r="AI36" s="50"/>
      <c r="AJ36" s="50"/>
    </row>
    <row r="37" spans="1:36">
      <c r="A37" s="50"/>
      <c r="AG37" s="50"/>
      <c r="AH37" s="50"/>
      <c r="AI37" s="50"/>
      <c r="AJ37" s="50"/>
    </row>
    <row r="38" spans="1:36">
      <c r="A38" s="50"/>
      <c r="AG38" s="50"/>
      <c r="AH38" s="50"/>
      <c r="AI38" s="50"/>
      <c r="AJ38" s="50"/>
    </row>
    <row r="39" spans="1:36">
      <c r="A39" s="50"/>
      <c r="AG39" s="50"/>
      <c r="AH39" s="50"/>
      <c r="AI39" s="50"/>
      <c r="AJ39" s="50"/>
    </row>
    <row r="40" spans="1:36">
      <c r="A40" s="50"/>
      <c r="AG40" s="50"/>
      <c r="AH40" s="50"/>
      <c r="AI40" s="50"/>
      <c r="AJ40" s="50"/>
    </row>
    <row r="41" spans="1:36">
      <c r="A41" s="50"/>
      <c r="AG41" s="50"/>
      <c r="AH41" s="50"/>
      <c r="AI41" s="50"/>
      <c r="AJ41" s="50"/>
    </row>
    <row r="42" spans="1:36">
      <c r="A42" s="50"/>
      <c r="AG42" s="50"/>
      <c r="AH42" s="50"/>
      <c r="AI42" s="50"/>
      <c r="AJ42" s="50"/>
    </row>
    <row r="43" spans="1:36">
      <c r="A43" s="50"/>
      <c r="AG43" s="50"/>
      <c r="AH43" s="50"/>
      <c r="AI43" s="50"/>
      <c r="AJ43" s="50"/>
    </row>
    <row r="44" spans="1:36">
      <c r="A44" s="50"/>
      <c r="AG44" s="50"/>
      <c r="AH44" s="50"/>
      <c r="AI44" s="50"/>
      <c r="AJ44" s="50"/>
    </row>
    <row r="45" spans="1:36">
      <c r="A45" s="50"/>
      <c r="AG45" s="50"/>
      <c r="AH45" s="50"/>
      <c r="AI45" s="50"/>
      <c r="AJ45" s="50"/>
    </row>
    <row r="46" spans="1:36">
      <c r="A46" s="50"/>
      <c r="AG46" s="50"/>
      <c r="AH46" s="50"/>
      <c r="AI46" s="50"/>
      <c r="AJ46" s="50"/>
    </row>
    <row r="47" spans="1:36">
      <c r="A47" s="50"/>
      <c r="AG47" s="50"/>
      <c r="AH47" s="50"/>
      <c r="AI47" s="50"/>
      <c r="AJ47" s="50"/>
    </row>
    <row r="48" spans="1:36">
      <c r="A48" s="50"/>
      <c r="AG48" s="50"/>
      <c r="AH48" s="50"/>
      <c r="AI48" s="50"/>
      <c r="AJ48" s="50"/>
    </row>
    <row r="49" s="50" customFormat="1"/>
    <row r="50" s="50" customFormat="1"/>
    <row r="51" s="50" customFormat="1"/>
    <row r="52" s="50" customFormat="1"/>
    <row r="53" s="50" customFormat="1"/>
    <row r="54" s="50" customFormat="1"/>
    <row r="55" s="50" customFormat="1"/>
    <row r="56" s="50" customFormat="1"/>
    <row r="57" s="50" customFormat="1"/>
    <row r="58" s="50" customFormat="1"/>
    <row r="59" s="50" customFormat="1"/>
    <row r="60" s="50" customFormat="1"/>
    <row r="61" s="50" customFormat="1"/>
    <row r="62" s="50" customFormat="1"/>
    <row r="63" s="50" customFormat="1"/>
    <row r="64" s="50" customFormat="1"/>
    <row r="65" s="50" customFormat="1"/>
    <row r="66" s="50" customFormat="1"/>
    <row r="67" s="50" customFormat="1"/>
    <row r="68" s="50" customFormat="1"/>
    <row r="69" s="50" customFormat="1"/>
    <row r="70" s="50" customFormat="1"/>
    <row r="71" s="50" customFormat="1"/>
    <row r="72" s="50" customFormat="1"/>
    <row r="73" s="50" customFormat="1"/>
    <row r="74" s="50" customFormat="1"/>
    <row r="75" s="50" customFormat="1"/>
    <row r="76" s="50" customFormat="1"/>
    <row r="77" s="50" customFormat="1"/>
    <row r="78" s="50" customFormat="1"/>
    <row r="79" s="50" customFormat="1"/>
    <row r="80" s="50" customFormat="1"/>
    <row r="81" s="50" customFormat="1"/>
    <row r="82" s="50" customFormat="1"/>
    <row r="83" s="50" customFormat="1"/>
    <row r="84" s="50" customFormat="1"/>
    <row r="85" s="50" customFormat="1"/>
    <row r="86" s="50" customFormat="1"/>
    <row r="87" s="50" customFormat="1"/>
    <row r="88" s="50" customFormat="1"/>
    <row r="89" s="50" customFormat="1"/>
    <row r="90" s="50" customFormat="1"/>
    <row r="91" s="50" customFormat="1"/>
    <row r="92" s="50" customFormat="1"/>
    <row r="93" s="50" customFormat="1"/>
    <row r="94" s="50" customFormat="1"/>
    <row r="95" s="50" customFormat="1"/>
    <row r="96" s="50" customFormat="1"/>
    <row r="97" s="50" customFormat="1"/>
    <row r="98" s="50" customFormat="1"/>
    <row r="99" s="50" customFormat="1"/>
    <row r="100" s="50" customFormat="1"/>
    <row r="101" s="50" customFormat="1"/>
    <row r="102" s="50" customFormat="1"/>
    <row r="103" s="50" customFormat="1"/>
    <row r="104" s="50" customFormat="1"/>
    <row r="105" s="50" customFormat="1"/>
    <row r="106" s="50" customFormat="1"/>
    <row r="107" s="50" customFormat="1"/>
    <row r="108" s="50" customFormat="1"/>
    <row r="109" s="50" customFormat="1"/>
    <row r="110" s="50" customFormat="1"/>
    <row r="111" s="50" customFormat="1"/>
    <row r="112" s="50" customFormat="1"/>
    <row r="113" s="50" customFormat="1"/>
    <row r="114" s="50" customFormat="1"/>
    <row r="115" s="50" customFormat="1"/>
    <row r="116" s="50" customFormat="1"/>
    <row r="117" s="50" customFormat="1"/>
    <row r="118" s="50" customFormat="1"/>
    <row r="119" s="50" customFormat="1"/>
    <row r="120" s="50" customFormat="1"/>
    <row r="121" s="50" customFormat="1"/>
    <row r="122" s="50" customFormat="1"/>
    <row r="123" s="50" customFormat="1"/>
    <row r="124" s="50" customFormat="1"/>
    <row r="125" s="50" customFormat="1"/>
    <row r="126" s="50" customFormat="1"/>
    <row r="127" s="50" customFormat="1"/>
    <row r="128" s="50" customFormat="1"/>
    <row r="129" s="50" customFormat="1"/>
    <row r="130" s="50" customFormat="1"/>
    <row r="131" s="50" customFormat="1"/>
    <row r="132" s="50" customFormat="1"/>
    <row r="133" s="50" customFormat="1"/>
    <row r="134" s="50" customFormat="1"/>
    <row r="135" s="50" customFormat="1"/>
    <row r="136" s="50" customFormat="1"/>
    <row r="137" s="50" customFormat="1"/>
    <row r="138" s="50" customFormat="1"/>
    <row r="139" s="50" customFormat="1"/>
    <row r="140" s="50" customFormat="1"/>
    <row r="141" s="50" customFormat="1"/>
    <row r="142" s="50" customFormat="1"/>
    <row r="143" s="50" customFormat="1"/>
    <row r="144" s="50" customFormat="1"/>
    <row r="145" s="50" customFormat="1"/>
    <row r="146" s="50" customFormat="1"/>
    <row r="147" s="50" customFormat="1"/>
    <row r="148" s="50" customFormat="1"/>
    <row r="149" s="50" customFormat="1"/>
    <row r="150" s="50" customFormat="1"/>
    <row r="151" s="50" customFormat="1"/>
    <row r="152" s="50" customFormat="1"/>
    <row r="153" s="50" customFormat="1"/>
    <row r="154" s="50" customFormat="1"/>
    <row r="155" s="50" customFormat="1"/>
    <row r="156" s="50" customFormat="1"/>
    <row r="157" s="50" customFormat="1"/>
    <row r="158" s="50" customFormat="1"/>
    <row r="159" s="50" customFormat="1"/>
    <row r="160" s="50" customFormat="1"/>
    <row r="161" s="50" customFormat="1"/>
    <row r="162" s="50" customFormat="1"/>
    <row r="163" s="50" customFormat="1"/>
    <row r="164" s="50" customFormat="1"/>
    <row r="165" s="50" customFormat="1"/>
    <row r="166" s="50" customFormat="1"/>
    <row r="167" s="50" customFormat="1"/>
    <row r="168" s="50" customFormat="1"/>
    <row r="169" s="50" customFormat="1"/>
    <row r="170" s="50" customFormat="1"/>
    <row r="171" s="50" customFormat="1"/>
    <row r="172" s="50" customFormat="1"/>
    <row r="173" s="50" customFormat="1"/>
    <row r="174" s="50" customFormat="1"/>
    <row r="175" s="50" customFormat="1"/>
    <row r="176" s="50" customFormat="1"/>
    <row r="177" s="50" customFormat="1"/>
    <row r="178" s="50" customFormat="1"/>
    <row r="179" s="50" customFormat="1"/>
    <row r="180" s="50" customFormat="1"/>
    <row r="181" s="50" customFormat="1"/>
    <row r="182" s="50" customFormat="1"/>
    <row r="183" s="50" customFormat="1"/>
    <row r="184" s="50" customFormat="1"/>
    <row r="185" s="50" customFormat="1"/>
    <row r="186" s="50" customFormat="1"/>
    <row r="187" s="50" customFormat="1"/>
    <row r="188" s="50" customFormat="1"/>
    <row r="189" s="50" customFormat="1"/>
    <row r="190" s="50" customFormat="1"/>
    <row r="191" s="50" customFormat="1"/>
    <row r="192" s="50" customFormat="1"/>
    <row r="193" s="50" customFormat="1"/>
    <row r="194" s="50" customFormat="1"/>
    <row r="195" s="50" customFormat="1"/>
    <row r="196" s="50" customFormat="1"/>
    <row r="197" s="50" customFormat="1"/>
    <row r="198" s="50" customFormat="1"/>
    <row r="199" s="50" customFormat="1"/>
    <row r="200" s="50" customFormat="1"/>
    <row r="201" s="50" customFormat="1"/>
    <row r="202" s="50" customFormat="1"/>
    <row r="203" s="50" customFormat="1"/>
    <row r="204" s="50" customFormat="1"/>
    <row r="205" s="50" customFormat="1"/>
    <row r="206" s="50" customFormat="1"/>
    <row r="207" s="50" customFormat="1"/>
    <row r="208" s="50" customFormat="1"/>
    <row r="209" s="50" customFormat="1"/>
    <row r="210" s="50" customFormat="1"/>
    <row r="211" s="50" customFormat="1"/>
    <row r="212" s="50" customFormat="1"/>
    <row r="213" s="50" customFormat="1"/>
    <row r="214" s="50" customFormat="1"/>
    <row r="215" s="50" customFormat="1"/>
    <row r="216" s="50" customFormat="1"/>
    <row r="217" s="50" customFormat="1"/>
    <row r="218" s="50" customFormat="1"/>
    <row r="219" s="50" customFormat="1"/>
    <row r="220" s="50" customFormat="1"/>
    <row r="221" s="50" customFormat="1"/>
    <row r="222" s="50" customFormat="1"/>
    <row r="223" s="50" customFormat="1"/>
    <row r="224" s="50" customFormat="1"/>
    <row r="225" s="50" customFormat="1"/>
    <row r="226" s="50" customFormat="1"/>
    <row r="227" s="50" customFormat="1"/>
    <row r="228" s="50" customFormat="1"/>
    <row r="229" s="50" customFormat="1"/>
    <row r="230" s="50" customFormat="1"/>
    <row r="231" s="50" customFormat="1"/>
    <row r="232" s="50" customFormat="1"/>
    <row r="233" s="50" customFormat="1"/>
    <row r="234" s="50" customFormat="1"/>
    <row r="235" s="50" customFormat="1"/>
    <row r="236" s="50" customFormat="1"/>
    <row r="237" s="50" customFormat="1"/>
    <row r="238" s="50" customFormat="1"/>
    <row r="239" s="50" customFormat="1"/>
    <row r="240" s="50" customFormat="1"/>
    <row r="241" s="50" customFormat="1"/>
    <row r="242" s="50" customFormat="1"/>
    <row r="243" s="50" customFormat="1"/>
    <row r="244" s="50" customFormat="1"/>
    <row r="245" s="50" customFormat="1"/>
    <row r="246" s="50" customFormat="1"/>
    <row r="247" s="50" customFormat="1"/>
    <row r="248" s="50" customFormat="1"/>
    <row r="249" s="50" customFormat="1"/>
    <row r="250" s="50" customFormat="1"/>
    <row r="251" s="50" customFormat="1"/>
    <row r="252" s="50" customFormat="1"/>
    <row r="253" s="50" customFormat="1"/>
    <row r="254" s="50" customFormat="1"/>
    <row r="255" s="50" customFormat="1"/>
    <row r="256" s="50" customFormat="1"/>
    <row r="257" s="50" customFormat="1"/>
    <row r="258" s="50" customFormat="1"/>
    <row r="259" s="50" customFormat="1"/>
    <row r="260" s="50" customFormat="1"/>
    <row r="261" s="50" customFormat="1"/>
    <row r="262" s="50" customFormat="1"/>
    <row r="263" s="50" customFormat="1"/>
    <row r="264" s="50" customFormat="1"/>
    <row r="265" s="50" customFormat="1"/>
    <row r="266" s="50" customFormat="1"/>
    <row r="267" s="50" customFormat="1"/>
    <row r="268" s="50" customFormat="1"/>
    <row r="269" s="50" customFormat="1"/>
    <row r="270" s="50" customFormat="1"/>
    <row r="271" s="50" customFormat="1"/>
    <row r="272" s="50" customFormat="1"/>
    <row r="273" s="50" customFormat="1"/>
    <row r="274" s="50" customFormat="1"/>
    <row r="275" s="50" customFormat="1"/>
    <row r="276" s="50" customFormat="1"/>
    <row r="277" s="50" customFormat="1"/>
    <row r="278" s="50" customFormat="1"/>
    <row r="279" s="50" customFormat="1"/>
    <row r="280" s="50" customFormat="1"/>
    <row r="281" s="50" customFormat="1"/>
    <row r="282" s="50" customFormat="1"/>
    <row r="283" s="50" customFormat="1"/>
    <row r="284" s="50" customFormat="1"/>
    <row r="285" s="50" customFormat="1"/>
    <row r="286" s="50" customFormat="1"/>
    <row r="287" s="50" customFormat="1"/>
    <row r="288" s="50" customFormat="1"/>
    <row r="289" s="50" customFormat="1"/>
    <row r="290" s="50" customFormat="1"/>
    <row r="291" s="50" customFormat="1"/>
    <row r="292" s="50" customFormat="1"/>
    <row r="293" s="50" customFormat="1"/>
    <row r="294" s="50" customFormat="1"/>
    <row r="295" s="50" customFormat="1"/>
    <row r="296" s="50" customFormat="1"/>
    <row r="297" s="50" customFormat="1"/>
    <row r="298" s="50" customFormat="1"/>
    <row r="299" s="50" customFormat="1"/>
    <row r="300" s="50" customFormat="1"/>
    <row r="301" s="50" customFormat="1"/>
    <row r="302" s="50" customFormat="1"/>
    <row r="303" s="50" customFormat="1"/>
    <row r="304" s="50" customFormat="1"/>
    <row r="305" s="50" customFormat="1"/>
    <row r="306" s="50" customFormat="1"/>
    <row r="307" s="50" customFormat="1"/>
    <row r="308" s="50" customFormat="1"/>
    <row r="309" s="50" customFormat="1"/>
    <row r="310" s="50" customFormat="1"/>
    <row r="311" s="50" customFormat="1"/>
    <row r="312" s="50" customFormat="1"/>
    <row r="313" s="50" customFormat="1"/>
    <row r="314" s="50" customFormat="1"/>
    <row r="315" s="50" customFormat="1"/>
    <row r="316" s="50" customFormat="1"/>
    <row r="317" s="50" customFormat="1"/>
    <row r="318" s="50" customFormat="1"/>
    <row r="319" s="50" customFormat="1"/>
    <row r="320" s="50" customFormat="1"/>
    <row r="321" s="50" customFormat="1"/>
    <row r="322" s="50" customFormat="1"/>
    <row r="323" s="50" customFormat="1"/>
    <row r="324" s="50" customFormat="1"/>
    <row r="325" s="50" customFormat="1"/>
    <row r="326" s="50" customFormat="1"/>
    <row r="327" s="50" customFormat="1"/>
    <row r="328" s="50" customFormat="1"/>
  </sheetData>
  <autoFilter ref="A1:AP18" xr:uid="{00000000-0009-0000-0000-000000000000}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3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AP3:AP4"/>
    <mergeCell ref="M3:M4"/>
    <mergeCell ref="N3:N4"/>
    <mergeCell ref="O3:O4"/>
    <mergeCell ref="P3:P4"/>
    <mergeCell ref="Q3:Q4"/>
    <mergeCell ref="V3:X3"/>
    <mergeCell ref="AO3:AO4"/>
    <mergeCell ref="B18:AF18"/>
    <mergeCell ref="Y3:AB3"/>
    <mergeCell ref="AC3:AF3"/>
    <mergeCell ref="AG3:AJ3"/>
    <mergeCell ref="AK3:AN3"/>
    <mergeCell ref="I3:I4"/>
    <mergeCell ref="J3:J4"/>
    <mergeCell ref="K3:K4"/>
    <mergeCell ref="L3:L4"/>
  </mergeCells>
  <pageMargins left="0.25" right="0.25" top="0.32" bottom="0.3" header="0.17" footer="0.16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941AE-50B3-4458-93D9-313DB2534350}">
  <dimension ref="A1:BA70"/>
  <sheetViews>
    <sheetView topLeftCell="X55" workbookViewId="0">
      <selection activeCell="AA69" sqref="AA69"/>
    </sheetView>
  </sheetViews>
  <sheetFormatPr defaultRowHeight="13.5"/>
  <cols>
    <col min="1" max="1" width="4.7109375" style="434" customWidth="1"/>
    <col min="2" max="2" width="13.28515625" style="434" customWidth="1"/>
    <col min="3" max="3" width="5.42578125" style="434" customWidth="1"/>
    <col min="4" max="4" width="68.5703125" style="434" customWidth="1"/>
    <col min="5" max="5" width="9.140625" style="434" customWidth="1"/>
    <col min="6" max="6" width="34.42578125" style="434" customWidth="1"/>
    <col min="7" max="7" width="22.7109375" style="434" customWidth="1"/>
    <col min="8" max="8" width="57" style="434" customWidth="1"/>
    <col min="9" max="9" width="31.7109375" style="434" customWidth="1"/>
    <col min="10" max="10" width="15.42578125" style="434" customWidth="1"/>
    <col min="11" max="11" width="13" style="434" customWidth="1"/>
    <col min="12" max="12" width="14.5703125" style="434" customWidth="1"/>
    <col min="13" max="13" width="23" style="434" customWidth="1"/>
    <col min="14" max="14" width="12.85546875" style="434" customWidth="1"/>
    <col min="15" max="15" width="11.42578125" style="434" customWidth="1"/>
    <col min="16" max="16" width="12.140625" style="434" customWidth="1"/>
    <col min="17" max="17" width="13.85546875" style="434" customWidth="1"/>
    <col min="18" max="18" width="6.7109375" style="434" customWidth="1"/>
    <col min="19" max="19" width="6.5703125" style="434" customWidth="1"/>
    <col min="20" max="20" width="4.5703125" style="434" customWidth="1"/>
    <col min="21" max="21" width="3" style="434" customWidth="1"/>
    <col min="22" max="22" width="9.140625" style="434" customWidth="1"/>
    <col min="23" max="23" width="11" style="434" customWidth="1"/>
    <col min="24" max="24" width="7.7109375" style="434" customWidth="1"/>
    <col min="25" max="25" width="4.5703125" style="434" customWidth="1"/>
    <col min="26" max="26" width="5.42578125" style="434" customWidth="1"/>
    <col min="27" max="27" width="13.7109375" style="434" customWidth="1"/>
    <col min="28" max="28" width="9.85546875" style="434" customWidth="1"/>
    <col min="29" max="29" width="4.85546875" style="434" customWidth="1"/>
    <col min="30" max="30" width="8.42578125" style="434" customWidth="1"/>
    <col min="31" max="31" width="11.5703125" style="434" customWidth="1"/>
    <col min="32" max="32" width="33" style="434" customWidth="1"/>
    <col min="33" max="34" width="4.85546875" style="434" customWidth="1"/>
    <col min="35" max="35" width="5.5703125" style="434" customWidth="1"/>
    <col min="36" max="36" width="4.42578125" style="434" customWidth="1"/>
    <col min="37" max="37" width="4.7109375" style="434" customWidth="1"/>
    <col min="38" max="38" width="4.28515625" style="434" customWidth="1"/>
    <col min="39" max="39" width="4" style="434" customWidth="1"/>
    <col min="40" max="40" width="4.42578125" style="434" customWidth="1"/>
    <col min="41" max="41" width="6.85546875" style="434" customWidth="1"/>
    <col min="42" max="42" width="12.28515625" style="434" customWidth="1"/>
    <col min="43" max="43" width="8.85546875" style="434" customWidth="1"/>
    <col min="44" max="44" width="9.28515625" style="434" customWidth="1"/>
    <col min="45" max="45" width="4.140625" style="434" customWidth="1"/>
    <col min="46" max="46" width="15.140625" style="434" customWidth="1"/>
    <col min="47" max="47" width="5.42578125" style="434" customWidth="1"/>
    <col min="48" max="48" width="5" style="434" customWidth="1"/>
    <col min="49" max="49" width="8" style="434" customWidth="1"/>
    <col min="50" max="50" width="5" style="434" customWidth="1"/>
    <col min="51" max="51" width="6.140625" style="434" customWidth="1"/>
    <col min="52" max="52" width="4.28515625" style="434" customWidth="1"/>
    <col min="53" max="53" width="36.7109375" style="434" customWidth="1"/>
    <col min="54" max="16384" width="9.140625" style="434"/>
  </cols>
  <sheetData>
    <row r="1" spans="1:48" ht="33" customHeight="1" thickBot="1">
      <c r="A1" s="920" t="s">
        <v>883</v>
      </c>
      <c r="B1" s="920"/>
      <c r="C1" s="920"/>
      <c r="D1" s="920"/>
      <c r="E1" s="920"/>
      <c r="F1" s="920"/>
      <c r="G1" s="920"/>
      <c r="H1" s="920"/>
      <c r="I1" s="920"/>
      <c r="J1" s="920"/>
      <c r="K1" s="920"/>
      <c r="L1" s="920"/>
      <c r="M1" s="920"/>
      <c r="N1" s="920"/>
      <c r="O1" s="920"/>
      <c r="P1" s="920"/>
      <c r="Q1" s="920"/>
      <c r="R1" s="920"/>
      <c r="S1" s="920"/>
      <c r="T1" s="920"/>
      <c r="U1" s="920"/>
      <c r="V1" s="920"/>
      <c r="W1" s="920"/>
      <c r="X1" s="920"/>
      <c r="Y1" s="920"/>
      <c r="Z1" s="920"/>
      <c r="AA1" s="920"/>
      <c r="AB1" s="920"/>
      <c r="AC1" s="920"/>
      <c r="AD1" s="920"/>
      <c r="AE1" s="920"/>
      <c r="AF1" s="920"/>
      <c r="AG1" s="920"/>
      <c r="AH1" s="920"/>
      <c r="AI1" s="920"/>
      <c r="AJ1" s="920"/>
      <c r="AK1" s="920"/>
      <c r="AL1" s="920"/>
      <c r="AM1" s="920"/>
      <c r="AN1" s="920"/>
      <c r="AO1" s="920"/>
    </row>
    <row r="2" spans="1:48" ht="57" customHeight="1">
      <c r="A2" s="921" t="s">
        <v>0</v>
      </c>
      <c r="B2" s="924" t="s">
        <v>1</v>
      </c>
      <c r="C2" s="926" t="s">
        <v>2</v>
      </c>
      <c r="D2" s="924" t="s">
        <v>3</v>
      </c>
      <c r="E2" s="924"/>
      <c r="F2" s="924"/>
      <c r="G2" s="924"/>
      <c r="H2" s="924"/>
      <c r="I2" s="927" t="s">
        <v>4</v>
      </c>
      <c r="J2" s="927"/>
      <c r="K2" s="927"/>
      <c r="L2" s="927"/>
      <c r="M2" s="927"/>
      <c r="N2" s="927" t="s">
        <v>5</v>
      </c>
      <c r="O2" s="927"/>
      <c r="P2" s="927"/>
      <c r="Q2" s="927"/>
      <c r="R2" s="924" t="s">
        <v>6</v>
      </c>
      <c r="S2" s="924"/>
      <c r="T2" s="924"/>
      <c r="U2" s="924"/>
      <c r="V2" s="927" t="s">
        <v>7</v>
      </c>
      <c r="W2" s="927"/>
      <c r="X2" s="927"/>
      <c r="Y2" s="924" t="s">
        <v>8</v>
      </c>
      <c r="Z2" s="924"/>
      <c r="AA2" s="924"/>
      <c r="AB2" s="924"/>
      <c r="AC2" s="924"/>
      <c r="AD2" s="924"/>
      <c r="AE2" s="924"/>
      <c r="AF2" s="924"/>
      <c r="AG2" s="915" t="s">
        <v>9</v>
      </c>
      <c r="AH2" s="915"/>
      <c r="AI2" s="915"/>
      <c r="AJ2" s="915"/>
      <c r="AK2" s="915"/>
      <c r="AL2" s="915"/>
      <c r="AM2" s="915"/>
      <c r="AN2" s="915"/>
      <c r="AO2" s="915"/>
      <c r="AP2" s="916"/>
      <c r="AQ2" s="435"/>
      <c r="AR2" s="435"/>
      <c r="AS2" s="435"/>
      <c r="AT2" s="435"/>
      <c r="AU2" s="435"/>
      <c r="AV2" s="435"/>
    </row>
    <row r="3" spans="1:48" ht="136.5" customHeight="1">
      <c r="A3" s="922"/>
      <c r="B3" s="909"/>
      <c r="C3" s="917"/>
      <c r="D3" s="917" t="s">
        <v>10</v>
      </c>
      <c r="E3" s="909" t="s">
        <v>11</v>
      </c>
      <c r="F3" s="919" t="s">
        <v>12</v>
      </c>
      <c r="G3" s="914" t="s">
        <v>13</v>
      </c>
      <c r="H3" s="914" t="s">
        <v>117</v>
      </c>
      <c r="I3" s="914" t="s">
        <v>14</v>
      </c>
      <c r="J3" s="914" t="s">
        <v>15</v>
      </c>
      <c r="K3" s="914" t="s">
        <v>16</v>
      </c>
      <c r="L3" s="914" t="s">
        <v>17</v>
      </c>
      <c r="M3" s="913" t="s">
        <v>18</v>
      </c>
      <c r="N3" s="914" t="s">
        <v>19</v>
      </c>
      <c r="O3" s="914" t="s">
        <v>20</v>
      </c>
      <c r="P3" s="914" t="s">
        <v>21</v>
      </c>
      <c r="Q3" s="914" t="s">
        <v>22</v>
      </c>
      <c r="R3" s="909"/>
      <c r="S3" s="909"/>
      <c r="T3" s="909"/>
      <c r="U3" s="909"/>
      <c r="V3" s="913" t="s">
        <v>23</v>
      </c>
      <c r="W3" s="913"/>
      <c r="X3" s="913"/>
      <c r="Y3" s="909" t="s">
        <v>118</v>
      </c>
      <c r="Z3" s="909"/>
      <c r="AA3" s="909"/>
      <c r="AB3" s="909"/>
      <c r="AC3" s="909" t="s">
        <v>24</v>
      </c>
      <c r="AD3" s="909"/>
      <c r="AE3" s="909"/>
      <c r="AF3" s="909"/>
      <c r="AG3" s="910" t="s">
        <v>25</v>
      </c>
      <c r="AH3" s="910"/>
      <c r="AI3" s="910"/>
      <c r="AJ3" s="910"/>
      <c r="AK3" s="911" t="s">
        <v>26</v>
      </c>
      <c r="AL3" s="911"/>
      <c r="AM3" s="911"/>
      <c r="AN3" s="911"/>
      <c r="AO3" s="911" t="s">
        <v>22</v>
      </c>
      <c r="AP3" s="912" t="s">
        <v>27</v>
      </c>
      <c r="AQ3" s="439"/>
      <c r="AR3" s="439"/>
      <c r="AS3" s="439"/>
      <c r="AT3" s="439"/>
      <c r="AU3" s="439"/>
      <c r="AV3" s="439"/>
    </row>
    <row r="4" spans="1:48" ht="93.75" customHeight="1">
      <c r="A4" s="922"/>
      <c r="B4" s="909"/>
      <c r="C4" s="917"/>
      <c r="D4" s="917"/>
      <c r="E4" s="909"/>
      <c r="F4" s="919"/>
      <c r="G4" s="914"/>
      <c r="H4" s="914"/>
      <c r="I4" s="914"/>
      <c r="J4" s="914"/>
      <c r="K4" s="914"/>
      <c r="L4" s="914"/>
      <c r="M4" s="913"/>
      <c r="N4" s="914"/>
      <c r="O4" s="914"/>
      <c r="P4" s="914"/>
      <c r="Q4" s="914"/>
      <c r="R4" s="436" t="s">
        <v>28</v>
      </c>
      <c r="S4" s="436" t="s">
        <v>29</v>
      </c>
      <c r="T4" s="436" t="s">
        <v>30</v>
      </c>
      <c r="U4" s="436" t="s">
        <v>31</v>
      </c>
      <c r="V4" s="437" t="s">
        <v>119</v>
      </c>
      <c r="W4" s="437" t="s">
        <v>33</v>
      </c>
      <c r="X4" s="437" t="s">
        <v>34</v>
      </c>
      <c r="Y4" s="436" t="s">
        <v>35</v>
      </c>
      <c r="Z4" s="436" t="s">
        <v>36</v>
      </c>
      <c r="AA4" s="436" t="s">
        <v>37</v>
      </c>
      <c r="AB4" s="436" t="s">
        <v>18</v>
      </c>
      <c r="AC4" s="436" t="s">
        <v>35</v>
      </c>
      <c r="AD4" s="436" t="s">
        <v>36</v>
      </c>
      <c r="AE4" s="436" t="s">
        <v>37</v>
      </c>
      <c r="AF4" s="436" t="s">
        <v>18</v>
      </c>
      <c r="AG4" s="440" t="s">
        <v>35</v>
      </c>
      <c r="AH4" s="440" t="s">
        <v>36</v>
      </c>
      <c r="AI4" s="440" t="s">
        <v>37</v>
      </c>
      <c r="AJ4" s="441" t="s">
        <v>31</v>
      </c>
      <c r="AK4" s="440" t="s">
        <v>35</v>
      </c>
      <c r="AL4" s="440" t="s">
        <v>36</v>
      </c>
      <c r="AM4" s="440" t="s">
        <v>37</v>
      </c>
      <c r="AN4" s="441" t="s">
        <v>31</v>
      </c>
      <c r="AO4" s="911"/>
      <c r="AP4" s="912"/>
      <c r="AQ4" s="439"/>
      <c r="AR4" s="439"/>
      <c r="AS4" s="439"/>
      <c r="AT4" s="439"/>
      <c r="AU4" s="439"/>
      <c r="AV4" s="439"/>
    </row>
    <row r="5" spans="1:48" ht="59.25" customHeight="1" thickBot="1">
      <c r="A5" s="923"/>
      <c r="B5" s="925"/>
      <c r="C5" s="442" t="s">
        <v>38</v>
      </c>
      <c r="D5" s="918"/>
      <c r="E5" s="442" t="s">
        <v>38</v>
      </c>
      <c r="F5" s="444"/>
      <c r="G5" s="444"/>
      <c r="H5" s="445"/>
      <c r="I5" s="442"/>
      <c r="J5" s="442"/>
      <c r="K5" s="443"/>
      <c r="L5" s="442"/>
      <c r="M5" s="442"/>
      <c r="N5" s="442" t="s">
        <v>39</v>
      </c>
      <c r="O5" s="442" t="s">
        <v>39</v>
      </c>
      <c r="P5" s="442" t="s">
        <v>39</v>
      </c>
      <c r="Q5" s="442" t="s">
        <v>39</v>
      </c>
      <c r="R5" s="446" t="s">
        <v>40</v>
      </c>
      <c r="S5" s="446" t="s">
        <v>40</v>
      </c>
      <c r="T5" s="446" t="s">
        <v>40</v>
      </c>
      <c r="U5" s="446" t="s">
        <v>40</v>
      </c>
      <c r="V5" s="442" t="s">
        <v>41</v>
      </c>
      <c r="W5" s="442" t="s">
        <v>38</v>
      </c>
      <c r="X5" s="442" t="s">
        <v>34</v>
      </c>
      <c r="Y5" s="446" t="s">
        <v>42</v>
      </c>
      <c r="Z5" s="446" t="s">
        <v>43</v>
      </c>
      <c r="AA5" s="446" t="s">
        <v>44</v>
      </c>
      <c r="AB5" s="446" t="s">
        <v>884</v>
      </c>
      <c r="AC5" s="446" t="s">
        <v>42</v>
      </c>
      <c r="AD5" s="446" t="s">
        <v>43</v>
      </c>
      <c r="AE5" s="446" t="s">
        <v>44</v>
      </c>
      <c r="AF5" s="446"/>
      <c r="AG5" s="447" t="s">
        <v>40</v>
      </c>
      <c r="AH5" s="447" t="s">
        <v>40</v>
      </c>
      <c r="AI5" s="447" t="s">
        <v>40</v>
      </c>
      <c r="AJ5" s="447" t="s">
        <v>40</v>
      </c>
      <c r="AK5" s="447" t="s">
        <v>40</v>
      </c>
      <c r="AL5" s="447" t="s">
        <v>40</v>
      </c>
      <c r="AM5" s="447" t="s">
        <v>40</v>
      </c>
      <c r="AN5" s="448" t="s">
        <v>39</v>
      </c>
      <c r="AO5" s="448" t="s">
        <v>39</v>
      </c>
      <c r="AP5" s="449" t="s">
        <v>39</v>
      </c>
      <c r="AQ5" s="435"/>
      <c r="AR5" s="435"/>
      <c r="AS5" s="435"/>
      <c r="AT5" s="435"/>
      <c r="AU5" s="435"/>
      <c r="AV5" s="435"/>
    </row>
    <row r="6" spans="1:48" ht="19.5" customHeight="1">
      <c r="A6" s="450">
        <v>1</v>
      </c>
      <c r="B6" s="451">
        <v>2</v>
      </c>
      <c r="C6" s="452">
        <v>3</v>
      </c>
      <c r="D6" s="451">
        <v>4</v>
      </c>
      <c r="E6" s="452">
        <v>5</v>
      </c>
      <c r="F6" s="451">
        <v>6</v>
      </c>
      <c r="G6" s="452">
        <v>7</v>
      </c>
      <c r="H6" s="451">
        <v>8</v>
      </c>
      <c r="I6" s="452">
        <v>9</v>
      </c>
      <c r="J6" s="451">
        <v>10</v>
      </c>
      <c r="K6" s="452">
        <v>11</v>
      </c>
      <c r="L6" s="451">
        <v>12</v>
      </c>
      <c r="M6" s="452">
        <v>13</v>
      </c>
      <c r="N6" s="451">
        <v>14</v>
      </c>
      <c r="O6" s="452">
        <v>15</v>
      </c>
      <c r="P6" s="451">
        <v>16</v>
      </c>
      <c r="Q6" s="452">
        <v>17</v>
      </c>
      <c r="R6" s="451">
        <v>18</v>
      </c>
      <c r="S6" s="452">
        <v>19</v>
      </c>
      <c r="T6" s="451">
        <v>20</v>
      </c>
      <c r="U6" s="452">
        <v>21</v>
      </c>
      <c r="V6" s="453">
        <v>22</v>
      </c>
      <c r="W6" s="452">
        <v>23</v>
      </c>
      <c r="X6" s="451">
        <v>24</v>
      </c>
      <c r="Y6" s="452">
        <v>25</v>
      </c>
      <c r="Z6" s="451">
        <v>26</v>
      </c>
      <c r="AA6" s="452">
        <v>27</v>
      </c>
      <c r="AB6" s="451">
        <v>28</v>
      </c>
      <c r="AC6" s="452">
        <v>29</v>
      </c>
      <c r="AD6" s="451">
        <v>30</v>
      </c>
      <c r="AE6" s="452">
        <v>31</v>
      </c>
      <c r="AF6" s="451">
        <v>32</v>
      </c>
      <c r="AG6" s="452">
        <v>33</v>
      </c>
      <c r="AH6" s="451">
        <v>34</v>
      </c>
      <c r="AI6" s="452">
        <v>35</v>
      </c>
      <c r="AJ6" s="451">
        <v>36</v>
      </c>
      <c r="AK6" s="452">
        <v>37</v>
      </c>
      <c r="AL6" s="451">
        <v>38</v>
      </c>
      <c r="AM6" s="452">
        <v>39</v>
      </c>
      <c r="AN6" s="451">
        <v>40</v>
      </c>
      <c r="AO6" s="452">
        <v>41</v>
      </c>
      <c r="AP6" s="454">
        <v>42</v>
      </c>
      <c r="AR6" s="455"/>
      <c r="AT6" s="455"/>
      <c r="AV6" s="455"/>
    </row>
    <row r="7" spans="1:48" s="462" customFormat="1" ht="108.75" customHeight="1">
      <c r="A7" s="456"/>
      <c r="B7" s="457" t="s">
        <v>122</v>
      </c>
      <c r="C7" s="457">
        <v>27</v>
      </c>
      <c r="D7" s="458">
        <v>0</v>
      </c>
      <c r="E7" s="456">
        <v>12</v>
      </c>
      <c r="F7" s="459">
        <v>0</v>
      </c>
      <c r="G7" s="459">
        <v>0</v>
      </c>
      <c r="H7" s="459">
        <v>0</v>
      </c>
      <c r="I7" s="459">
        <v>0</v>
      </c>
      <c r="J7" s="459">
        <v>0</v>
      </c>
      <c r="K7" s="459">
        <v>0</v>
      </c>
      <c r="L7" s="459">
        <v>0</v>
      </c>
      <c r="M7" s="459">
        <v>0</v>
      </c>
      <c r="N7" s="459">
        <v>0</v>
      </c>
      <c r="O7" s="459">
        <v>0</v>
      </c>
      <c r="P7" s="459">
        <v>0</v>
      </c>
      <c r="Q7" s="459">
        <v>0</v>
      </c>
      <c r="R7" s="459">
        <f t="shared" ref="R7:U7" si="0">R8+R9+R10+R11+R12+R13+R14+R15+R16+R17+R18+R19</f>
        <v>0</v>
      </c>
      <c r="S7" s="459">
        <f t="shared" si="0"/>
        <v>0</v>
      </c>
      <c r="T7" s="459">
        <f t="shared" si="0"/>
        <v>0</v>
      </c>
      <c r="U7" s="459">
        <f t="shared" si="0"/>
        <v>0</v>
      </c>
      <c r="V7" s="459">
        <v>0</v>
      </c>
      <c r="W7" s="459">
        <v>0</v>
      </c>
      <c r="X7" s="459"/>
      <c r="Y7" s="459"/>
      <c r="Z7" s="459"/>
      <c r="AA7" s="459"/>
      <c r="AB7" s="459"/>
      <c r="AC7" s="459"/>
      <c r="AD7" s="459"/>
      <c r="AE7" s="459"/>
      <c r="AF7" s="459"/>
      <c r="AG7" s="459"/>
      <c r="AH7" s="459"/>
      <c r="AI7" s="456"/>
      <c r="AJ7" s="456"/>
      <c r="AK7" s="456"/>
      <c r="AL7" s="456"/>
      <c r="AM7" s="456"/>
      <c r="AN7" s="456"/>
      <c r="AO7" s="458"/>
      <c r="AP7" s="460"/>
      <c r="AQ7" s="461"/>
      <c r="AR7" s="461"/>
      <c r="AS7" s="461"/>
      <c r="AT7" s="461"/>
      <c r="AU7" s="461"/>
      <c r="AV7" s="461"/>
    </row>
    <row r="8" spans="1:48" ht="69" customHeight="1">
      <c r="A8" s="463"/>
      <c r="B8" s="464"/>
      <c r="C8" s="464">
        <v>1</v>
      </c>
      <c r="D8" s="465" t="s">
        <v>627</v>
      </c>
      <c r="E8" s="463">
        <v>1</v>
      </c>
      <c r="F8" s="466">
        <v>45446</v>
      </c>
      <c r="G8" s="465" t="s">
        <v>628</v>
      </c>
      <c r="H8" s="463" t="s">
        <v>60</v>
      </c>
      <c r="I8" s="463"/>
      <c r="J8" s="463"/>
      <c r="K8" s="463"/>
      <c r="L8" s="463"/>
      <c r="M8" s="465" t="s">
        <v>632</v>
      </c>
      <c r="N8" s="467">
        <v>1435269</v>
      </c>
      <c r="O8" s="467">
        <v>725000</v>
      </c>
      <c r="P8" s="467">
        <v>46430</v>
      </c>
      <c r="Q8" s="467">
        <f t="shared" ref="Q8" si="1">+N8+O8+P8</f>
        <v>2206699</v>
      </c>
      <c r="R8" s="467"/>
      <c r="S8" s="467"/>
      <c r="T8" s="467"/>
      <c r="U8" s="467"/>
      <c r="V8" s="438">
        <v>101863</v>
      </c>
      <c r="W8" s="467">
        <v>27800</v>
      </c>
      <c r="X8" s="468">
        <f>W8*100/V8</f>
        <v>27.291558269440326</v>
      </c>
      <c r="Y8" s="463"/>
      <c r="Z8" s="463"/>
      <c r="AA8" s="463"/>
      <c r="AB8" s="463"/>
      <c r="AC8" s="463"/>
      <c r="AD8" s="463"/>
      <c r="AE8" s="463"/>
      <c r="AF8" s="463"/>
      <c r="AG8" s="463"/>
      <c r="AH8" s="463"/>
      <c r="AI8" s="463"/>
      <c r="AJ8" s="463"/>
      <c r="AK8" s="463"/>
      <c r="AL8" s="463"/>
      <c r="AM8" s="463"/>
      <c r="AN8" s="463"/>
      <c r="AO8" s="463"/>
      <c r="AP8" s="463"/>
    </row>
    <row r="9" spans="1:48" ht="72.75" customHeight="1">
      <c r="A9" s="463"/>
      <c r="B9" s="465"/>
      <c r="C9" s="465">
        <v>2</v>
      </c>
      <c r="D9" s="465" t="s">
        <v>629</v>
      </c>
      <c r="E9" s="463">
        <v>1</v>
      </c>
      <c r="F9" s="466">
        <v>45323</v>
      </c>
      <c r="G9" s="465" t="s">
        <v>630</v>
      </c>
      <c r="H9" s="463" t="s">
        <v>60</v>
      </c>
      <c r="I9" s="463"/>
      <c r="J9" s="463"/>
      <c r="K9" s="463"/>
      <c r="L9" s="465" t="s">
        <v>631</v>
      </c>
      <c r="M9" s="465" t="s">
        <v>632</v>
      </c>
      <c r="N9" s="467">
        <v>1245220</v>
      </c>
      <c r="O9" s="467">
        <v>761460</v>
      </c>
      <c r="P9" s="467">
        <v>84667</v>
      </c>
      <c r="Q9" s="467">
        <f>+N9+O9+P9</f>
        <v>2091347</v>
      </c>
      <c r="R9" s="467"/>
      <c r="S9" s="467"/>
      <c r="T9" s="467"/>
      <c r="U9" s="467"/>
      <c r="V9" s="438">
        <v>101863</v>
      </c>
      <c r="W9" s="467">
        <v>26186</v>
      </c>
      <c r="X9" s="468">
        <f>W9*100/V9</f>
        <v>25.7070771526462</v>
      </c>
      <c r="Y9" s="463"/>
      <c r="Z9" s="463"/>
      <c r="AA9" s="463"/>
      <c r="AB9" s="463"/>
      <c r="AC9" s="463"/>
      <c r="AD9" s="463"/>
      <c r="AE9" s="463"/>
      <c r="AF9" s="463"/>
      <c r="AG9" s="463"/>
      <c r="AH9" s="463"/>
      <c r="AI9" s="463"/>
      <c r="AJ9" s="463"/>
      <c r="AK9" s="463"/>
      <c r="AL9" s="463"/>
      <c r="AM9" s="463"/>
      <c r="AN9" s="463"/>
      <c r="AO9" s="463"/>
      <c r="AP9" s="463"/>
    </row>
    <row r="10" spans="1:48" ht="137.25" customHeight="1">
      <c r="A10" s="463"/>
      <c r="B10" s="463"/>
      <c r="C10" s="464">
        <v>3</v>
      </c>
      <c r="D10" s="469" t="s">
        <v>633</v>
      </c>
      <c r="E10" s="463">
        <v>1</v>
      </c>
      <c r="F10" s="466">
        <v>45418</v>
      </c>
      <c r="G10" s="463" t="s">
        <v>634</v>
      </c>
      <c r="H10" s="463" t="s">
        <v>60</v>
      </c>
      <c r="I10" s="463"/>
      <c r="J10" s="463"/>
      <c r="K10" s="463"/>
      <c r="L10" s="465" t="s">
        <v>635</v>
      </c>
      <c r="M10" s="465" t="s">
        <v>632</v>
      </c>
      <c r="N10" s="467"/>
      <c r="O10" s="467">
        <v>377300</v>
      </c>
      <c r="P10" s="467"/>
      <c r="Q10" s="467">
        <f t="shared" ref="Q10:Q17" si="2">+N10+O10+P10</f>
        <v>377300</v>
      </c>
      <c r="R10" s="467"/>
      <c r="S10" s="467"/>
      <c r="T10" s="467"/>
      <c r="U10" s="467"/>
      <c r="V10" s="438">
        <v>101863</v>
      </c>
      <c r="W10" s="467">
        <v>40000</v>
      </c>
      <c r="X10" s="468">
        <f t="shared" ref="X10:X15" si="3">W10*100/V10</f>
        <v>39.268429164662344</v>
      </c>
      <c r="Y10" s="463"/>
      <c r="Z10" s="463"/>
      <c r="AA10" s="463"/>
      <c r="AB10" s="463"/>
      <c r="AC10" s="463"/>
      <c r="AD10" s="463"/>
      <c r="AE10" s="463"/>
      <c r="AF10" s="463"/>
      <c r="AG10" s="463"/>
      <c r="AH10" s="463"/>
      <c r="AI10" s="463"/>
      <c r="AJ10" s="463"/>
      <c r="AK10" s="463"/>
      <c r="AL10" s="463"/>
      <c r="AM10" s="463"/>
      <c r="AN10" s="463"/>
      <c r="AO10" s="463"/>
      <c r="AP10" s="463"/>
    </row>
    <row r="11" spans="1:48" ht="67.5">
      <c r="A11" s="463"/>
      <c r="B11" s="463"/>
      <c r="C11" s="465">
        <v>4</v>
      </c>
      <c r="D11" s="469" t="s">
        <v>636</v>
      </c>
      <c r="E11" s="463">
        <v>1</v>
      </c>
      <c r="F11" s="466">
        <v>45530</v>
      </c>
      <c r="G11" s="465" t="s">
        <v>637</v>
      </c>
      <c r="H11" s="463" t="s">
        <v>60</v>
      </c>
      <c r="I11" s="463"/>
      <c r="J11" s="463"/>
      <c r="K11" s="463"/>
      <c r="L11" s="465" t="s">
        <v>635</v>
      </c>
      <c r="M11" s="465" t="s">
        <v>632</v>
      </c>
      <c r="N11" s="467">
        <v>1473776</v>
      </c>
      <c r="O11" s="464">
        <v>1117200</v>
      </c>
      <c r="P11" s="467">
        <v>182500</v>
      </c>
      <c r="Q11" s="467">
        <f t="shared" si="2"/>
        <v>2773476</v>
      </c>
      <c r="R11" s="467"/>
      <c r="S11" s="467"/>
      <c r="T11" s="467"/>
      <c r="U11" s="467"/>
      <c r="V11" s="438">
        <v>101863</v>
      </c>
      <c r="W11" s="467">
        <v>10496</v>
      </c>
      <c r="X11" s="468">
        <f t="shared" si="3"/>
        <v>10.304035812807399</v>
      </c>
      <c r="Y11" s="463"/>
      <c r="Z11" s="463"/>
      <c r="AA11" s="463"/>
      <c r="AB11" s="463"/>
      <c r="AC11" s="463"/>
      <c r="AD11" s="463"/>
      <c r="AE11" s="463"/>
      <c r="AF11" s="463"/>
      <c r="AG11" s="463"/>
      <c r="AH11" s="463"/>
      <c r="AI11" s="463"/>
      <c r="AJ11" s="463"/>
      <c r="AK11" s="463"/>
      <c r="AL11" s="463"/>
      <c r="AM11" s="463"/>
      <c r="AN11" s="463"/>
      <c r="AO11" s="463"/>
      <c r="AP11" s="463"/>
    </row>
    <row r="12" spans="1:48" ht="67.5">
      <c r="A12" s="463"/>
      <c r="B12" s="463"/>
      <c r="C12" s="464">
        <v>5</v>
      </c>
      <c r="D12" s="469" t="s">
        <v>636</v>
      </c>
      <c r="E12" s="463">
        <v>1</v>
      </c>
      <c r="F12" s="466">
        <v>45530</v>
      </c>
      <c r="G12" s="465" t="s">
        <v>638</v>
      </c>
      <c r="H12" s="463" t="s">
        <v>60</v>
      </c>
      <c r="I12" s="463"/>
      <c r="J12" s="463"/>
      <c r="K12" s="463"/>
      <c r="L12" s="465" t="s">
        <v>635</v>
      </c>
      <c r="M12" s="465" t="s">
        <v>632</v>
      </c>
      <c r="N12" s="467">
        <v>1132400</v>
      </c>
      <c r="O12" s="464">
        <v>1286250</v>
      </c>
      <c r="P12" s="467">
        <v>39603</v>
      </c>
      <c r="Q12" s="467">
        <f t="shared" si="2"/>
        <v>2458253</v>
      </c>
      <c r="R12" s="467"/>
      <c r="S12" s="467"/>
      <c r="T12" s="467"/>
      <c r="U12" s="467"/>
      <c r="V12" s="438">
        <v>101863</v>
      </c>
      <c r="W12" s="467">
        <v>7974</v>
      </c>
      <c r="X12" s="468">
        <f t="shared" si="3"/>
        <v>7.828161353975438</v>
      </c>
      <c r="Y12" s="463"/>
      <c r="Z12" s="463"/>
      <c r="AA12" s="463"/>
      <c r="AB12" s="463"/>
      <c r="AC12" s="463"/>
      <c r="AD12" s="463"/>
      <c r="AE12" s="463"/>
      <c r="AF12" s="463"/>
      <c r="AG12" s="463"/>
      <c r="AH12" s="463"/>
      <c r="AI12" s="463"/>
      <c r="AJ12" s="463"/>
      <c r="AK12" s="463"/>
      <c r="AL12" s="463"/>
      <c r="AM12" s="463"/>
      <c r="AN12" s="463"/>
      <c r="AO12" s="463"/>
      <c r="AP12" s="463"/>
    </row>
    <row r="13" spans="1:48" ht="205.5" customHeight="1">
      <c r="A13" s="463"/>
      <c r="B13" s="463"/>
      <c r="C13" s="465">
        <v>6</v>
      </c>
      <c r="D13" s="465" t="s">
        <v>639</v>
      </c>
      <c r="E13" s="463">
        <v>1</v>
      </c>
      <c r="F13" s="466">
        <v>45443</v>
      </c>
      <c r="G13" s="465" t="s">
        <v>640</v>
      </c>
      <c r="H13" s="463" t="s">
        <v>60</v>
      </c>
      <c r="I13" s="463"/>
      <c r="J13" s="463"/>
      <c r="K13" s="463"/>
      <c r="L13" s="465" t="s">
        <v>641</v>
      </c>
      <c r="M13" s="465" t="s">
        <v>642</v>
      </c>
      <c r="N13" s="467"/>
      <c r="O13" s="467">
        <v>1180000</v>
      </c>
      <c r="P13" s="467"/>
      <c r="Q13" s="467">
        <f>N13+O13+P13</f>
        <v>1180000</v>
      </c>
      <c r="R13" s="467"/>
      <c r="S13" s="467"/>
      <c r="T13" s="467"/>
      <c r="U13" s="467"/>
      <c r="V13" s="438">
        <v>101863</v>
      </c>
      <c r="W13" s="467">
        <v>50</v>
      </c>
      <c r="X13" s="467">
        <f t="shared" si="3"/>
        <v>4.9085536455827923E-2</v>
      </c>
      <c r="Y13" s="463"/>
      <c r="Z13" s="463"/>
      <c r="AA13" s="464">
        <v>1740</v>
      </c>
      <c r="AB13" s="464">
        <v>6710</v>
      </c>
      <c r="AC13" s="463"/>
      <c r="AD13" s="463"/>
      <c r="AE13" s="463"/>
      <c r="AF13" s="463"/>
      <c r="AG13" s="463"/>
      <c r="AH13" s="463"/>
      <c r="AI13" s="463"/>
      <c r="AJ13" s="463"/>
      <c r="AK13" s="463"/>
      <c r="AL13" s="463"/>
      <c r="AM13" s="463"/>
      <c r="AN13" s="463"/>
      <c r="AO13" s="463"/>
      <c r="AP13" s="463"/>
    </row>
    <row r="14" spans="1:48" ht="96" customHeight="1">
      <c r="A14" s="463"/>
      <c r="B14" s="463"/>
      <c r="C14" s="464">
        <v>7</v>
      </c>
      <c r="D14" s="465" t="s">
        <v>643</v>
      </c>
      <c r="E14" s="463">
        <v>1</v>
      </c>
      <c r="F14" s="466">
        <v>45328</v>
      </c>
      <c r="G14" s="465" t="s">
        <v>644</v>
      </c>
      <c r="H14" s="463" t="s">
        <v>60</v>
      </c>
      <c r="I14" s="463"/>
      <c r="J14" s="463"/>
      <c r="K14" s="463"/>
      <c r="L14" s="465" t="s">
        <v>645</v>
      </c>
      <c r="M14" s="465" t="s">
        <v>642</v>
      </c>
      <c r="N14" s="467"/>
      <c r="O14" s="467">
        <v>1828000</v>
      </c>
      <c r="P14" s="467"/>
      <c r="Q14" s="467">
        <f t="shared" ref="Q14:Q15" si="4">N14+O14+P14</f>
        <v>1828000</v>
      </c>
      <c r="R14" s="467"/>
      <c r="S14" s="467"/>
      <c r="T14" s="467"/>
      <c r="U14" s="467"/>
      <c r="V14" s="438">
        <v>101863</v>
      </c>
      <c r="W14" s="467">
        <v>10000</v>
      </c>
      <c r="X14" s="467">
        <f t="shared" si="3"/>
        <v>9.8171072911655859</v>
      </c>
      <c r="Y14" s="463"/>
      <c r="Z14" s="463"/>
      <c r="AA14" s="464">
        <v>25346</v>
      </c>
      <c r="AB14" s="464">
        <v>150608</v>
      </c>
      <c r="AC14" s="463"/>
      <c r="AD14" s="463"/>
      <c r="AE14" s="463"/>
      <c r="AF14" s="463"/>
      <c r="AG14" s="463"/>
      <c r="AH14" s="463"/>
      <c r="AI14" s="463"/>
      <c r="AJ14" s="463"/>
      <c r="AK14" s="463"/>
      <c r="AL14" s="463"/>
      <c r="AM14" s="463"/>
      <c r="AN14" s="463"/>
      <c r="AO14" s="463"/>
      <c r="AP14" s="463"/>
    </row>
    <row r="15" spans="1:48" ht="96.75" customHeight="1">
      <c r="A15" s="463"/>
      <c r="B15" s="463"/>
      <c r="C15" s="465">
        <v>8</v>
      </c>
      <c r="D15" s="463" t="s">
        <v>650</v>
      </c>
      <c r="E15" s="463">
        <v>1</v>
      </c>
      <c r="F15" s="466">
        <v>45363</v>
      </c>
      <c r="G15" s="463" t="s">
        <v>651</v>
      </c>
      <c r="H15" s="465" t="s">
        <v>652</v>
      </c>
      <c r="I15" s="463"/>
      <c r="J15" s="463"/>
      <c r="K15" s="463"/>
      <c r="L15" s="465" t="s">
        <v>645</v>
      </c>
      <c r="M15" s="465" t="s">
        <v>642</v>
      </c>
      <c r="N15" s="467"/>
      <c r="O15" s="467">
        <v>29000</v>
      </c>
      <c r="P15" s="467"/>
      <c r="Q15" s="467">
        <f t="shared" si="4"/>
        <v>29000</v>
      </c>
      <c r="R15" s="467"/>
      <c r="S15" s="467"/>
      <c r="T15" s="467"/>
      <c r="U15" s="467"/>
      <c r="V15" s="438">
        <v>101863</v>
      </c>
      <c r="W15" s="467">
        <v>101863</v>
      </c>
      <c r="X15" s="467">
        <f t="shared" si="3"/>
        <v>100</v>
      </c>
      <c r="Y15" s="463"/>
      <c r="Z15" s="463"/>
      <c r="AA15" s="463"/>
      <c r="AB15" s="463"/>
      <c r="AC15" s="463"/>
      <c r="AD15" s="463"/>
      <c r="AE15" s="463"/>
      <c r="AF15" s="463"/>
      <c r="AG15" s="463"/>
      <c r="AH15" s="463"/>
      <c r="AI15" s="463"/>
      <c r="AJ15" s="463"/>
      <c r="AK15" s="463"/>
      <c r="AL15" s="463"/>
      <c r="AM15" s="463"/>
      <c r="AN15" s="463"/>
      <c r="AO15" s="463"/>
      <c r="AP15" s="463"/>
    </row>
    <row r="16" spans="1:48" ht="72.75" customHeight="1">
      <c r="A16" s="463"/>
      <c r="B16" s="463"/>
      <c r="C16" s="464">
        <v>9</v>
      </c>
      <c r="D16" s="463" t="s">
        <v>653</v>
      </c>
      <c r="E16" s="463">
        <v>1</v>
      </c>
      <c r="F16" s="466">
        <v>45363</v>
      </c>
      <c r="G16" s="463" t="s">
        <v>654</v>
      </c>
      <c r="H16" s="465" t="s">
        <v>652</v>
      </c>
      <c r="I16" s="463"/>
      <c r="J16" s="463"/>
      <c r="K16" s="463"/>
      <c r="L16" s="465" t="s">
        <v>655</v>
      </c>
      <c r="M16" s="465" t="s">
        <v>632</v>
      </c>
      <c r="N16" s="467">
        <v>1638800</v>
      </c>
      <c r="O16" s="464">
        <v>1808100</v>
      </c>
      <c r="P16" s="467">
        <v>26581</v>
      </c>
      <c r="Q16" s="467">
        <f t="shared" si="2"/>
        <v>3473481</v>
      </c>
      <c r="R16" s="467"/>
      <c r="S16" s="467"/>
      <c r="T16" s="467"/>
      <c r="U16" s="467"/>
      <c r="V16" s="438">
        <v>101863</v>
      </c>
      <c r="W16" s="467">
        <v>26000</v>
      </c>
      <c r="X16" s="467">
        <f>W16*100/V16</f>
        <v>25.524478957030521</v>
      </c>
      <c r="Y16" s="463"/>
      <c r="Z16" s="463"/>
      <c r="AA16" s="463"/>
      <c r="AB16" s="463"/>
      <c r="AC16" s="463"/>
      <c r="AD16" s="463"/>
      <c r="AE16" s="463"/>
      <c r="AF16" s="463"/>
      <c r="AG16" s="463"/>
      <c r="AH16" s="463"/>
      <c r="AI16" s="463"/>
      <c r="AJ16" s="463"/>
      <c r="AK16" s="463"/>
      <c r="AL16" s="463"/>
      <c r="AM16" s="463"/>
      <c r="AN16" s="463"/>
      <c r="AO16" s="463"/>
      <c r="AP16" s="463"/>
    </row>
    <row r="17" spans="1:53" ht="67.5">
      <c r="A17" s="463"/>
      <c r="B17" s="463"/>
      <c r="C17" s="465">
        <v>10</v>
      </c>
      <c r="D17" s="470" t="s">
        <v>656</v>
      </c>
      <c r="E17" s="463">
        <v>1</v>
      </c>
      <c r="F17" s="466">
        <v>45363</v>
      </c>
      <c r="G17" s="463" t="s">
        <v>657</v>
      </c>
      <c r="H17" s="465" t="s">
        <v>652</v>
      </c>
      <c r="I17" s="463"/>
      <c r="J17" s="463"/>
      <c r="K17" s="463"/>
      <c r="L17" s="465" t="s">
        <v>655</v>
      </c>
      <c r="M17" s="465" t="s">
        <v>632</v>
      </c>
      <c r="N17" s="467">
        <v>1533680</v>
      </c>
      <c r="O17" s="464">
        <v>2646000</v>
      </c>
      <c r="P17" s="467">
        <v>208800</v>
      </c>
      <c r="Q17" s="467">
        <f t="shared" si="2"/>
        <v>4388480</v>
      </c>
      <c r="R17" s="467"/>
      <c r="S17" s="467"/>
      <c r="T17" s="467"/>
      <c r="U17" s="467"/>
      <c r="V17" s="438">
        <v>101863</v>
      </c>
      <c r="W17" s="467">
        <v>13440</v>
      </c>
      <c r="X17" s="467">
        <f>W17*100/V17</f>
        <v>13.194192199326546</v>
      </c>
      <c r="Y17" s="463"/>
      <c r="Z17" s="463"/>
      <c r="AA17" s="463"/>
      <c r="AB17" s="463"/>
      <c r="AC17" s="463"/>
      <c r="AD17" s="463"/>
      <c r="AE17" s="463"/>
      <c r="AF17" s="463"/>
      <c r="AG17" s="463"/>
      <c r="AH17" s="463"/>
      <c r="AI17" s="463"/>
      <c r="AJ17" s="463"/>
      <c r="AK17" s="463"/>
      <c r="AL17" s="463"/>
      <c r="AM17" s="463"/>
      <c r="AN17" s="463"/>
      <c r="AO17" s="463"/>
      <c r="AP17" s="463"/>
    </row>
    <row r="18" spans="1:53" ht="105.75" customHeight="1">
      <c r="A18" s="463"/>
      <c r="B18" s="463"/>
      <c r="C18" s="464">
        <v>11</v>
      </c>
      <c r="D18" s="465" t="s">
        <v>646</v>
      </c>
      <c r="E18" s="463">
        <v>1</v>
      </c>
      <c r="F18" s="466">
        <v>45785</v>
      </c>
      <c r="G18" s="465" t="s">
        <v>647</v>
      </c>
      <c r="H18" s="463" t="s">
        <v>60</v>
      </c>
      <c r="I18" s="463"/>
      <c r="J18" s="463"/>
      <c r="K18" s="463"/>
      <c r="L18" s="465" t="s">
        <v>783</v>
      </c>
      <c r="M18" s="465" t="s">
        <v>632</v>
      </c>
      <c r="N18" s="467">
        <v>1201779</v>
      </c>
      <c r="O18" s="467">
        <v>463050</v>
      </c>
      <c r="P18" s="467">
        <v>56221</v>
      </c>
      <c r="Q18" s="467">
        <f>+N18+O18+P18</f>
        <v>1721050</v>
      </c>
      <c r="R18" s="467"/>
      <c r="S18" s="467"/>
      <c r="T18" s="467"/>
      <c r="U18" s="467"/>
      <c r="V18" s="438">
        <v>101863</v>
      </c>
      <c r="W18" s="467">
        <v>25501</v>
      </c>
      <c r="X18" s="468">
        <f>W18*100/V18</f>
        <v>25.03460530320136</v>
      </c>
      <c r="Y18" s="463"/>
      <c r="Z18" s="463"/>
      <c r="AA18" s="463"/>
      <c r="AB18" s="463"/>
      <c r="AC18" s="463"/>
      <c r="AD18" s="463"/>
      <c r="AE18" s="463"/>
      <c r="AF18" s="463"/>
      <c r="AG18" s="463"/>
      <c r="AH18" s="463"/>
      <c r="AI18" s="463"/>
      <c r="AJ18" s="463"/>
      <c r="AK18" s="463"/>
      <c r="AL18" s="463"/>
      <c r="AM18" s="463"/>
      <c r="AN18" s="463"/>
      <c r="AO18" s="463"/>
      <c r="AP18" s="463"/>
    </row>
    <row r="19" spans="1:53" ht="67.5">
      <c r="A19" s="463"/>
      <c r="B19" s="463"/>
      <c r="C19" s="465">
        <v>12</v>
      </c>
      <c r="D19" s="465" t="s">
        <v>648</v>
      </c>
      <c r="E19" s="463">
        <v>1</v>
      </c>
      <c r="F19" s="466">
        <v>45790</v>
      </c>
      <c r="G19" s="465" t="s">
        <v>649</v>
      </c>
      <c r="H19" s="463" t="s">
        <v>60</v>
      </c>
      <c r="I19" s="463"/>
      <c r="J19" s="463"/>
      <c r="K19" s="463"/>
      <c r="L19" s="465" t="s">
        <v>783</v>
      </c>
      <c r="M19" s="465" t="s">
        <v>632</v>
      </c>
      <c r="N19" s="467">
        <v>1369680</v>
      </c>
      <c r="O19" s="467">
        <v>1161300</v>
      </c>
      <c r="P19" s="467">
        <v>146112</v>
      </c>
      <c r="Q19" s="467">
        <f>+N19+O19+P19</f>
        <v>2677092</v>
      </c>
      <c r="R19" s="467"/>
      <c r="S19" s="467"/>
      <c r="T19" s="467"/>
      <c r="U19" s="467"/>
      <c r="V19" s="438">
        <v>101863</v>
      </c>
      <c r="W19" s="467">
        <v>13000</v>
      </c>
      <c r="X19" s="468">
        <f>W19*100/V19</f>
        <v>12.76223947851526</v>
      </c>
      <c r="Y19" s="463"/>
      <c r="Z19" s="463"/>
      <c r="AA19" s="463"/>
      <c r="AB19" s="463"/>
      <c r="AC19" s="463"/>
      <c r="AD19" s="463"/>
      <c r="AE19" s="463"/>
      <c r="AF19" s="463"/>
      <c r="AG19" s="463"/>
      <c r="AH19" s="463"/>
      <c r="AI19" s="463"/>
      <c r="AJ19" s="463"/>
      <c r="AK19" s="463"/>
      <c r="AL19" s="463"/>
      <c r="AM19" s="463"/>
      <c r="AN19" s="463"/>
      <c r="AO19" s="463"/>
      <c r="AP19" s="463"/>
    </row>
    <row r="20" spans="1:53" s="473" customFormat="1" ht="17.25">
      <c r="A20" s="471"/>
      <c r="B20" s="471" t="s">
        <v>120</v>
      </c>
      <c r="C20" s="471">
        <v>38</v>
      </c>
      <c r="D20" s="471"/>
      <c r="E20" s="471">
        <v>41</v>
      </c>
      <c r="F20" s="471"/>
      <c r="G20" s="471"/>
      <c r="H20" s="471"/>
      <c r="I20" s="471"/>
      <c r="J20" s="471"/>
      <c r="K20" s="471"/>
      <c r="L20" s="471"/>
      <c r="M20" s="471"/>
      <c r="N20" s="471"/>
      <c r="O20" s="471"/>
      <c r="P20" s="471"/>
      <c r="Q20" s="471"/>
      <c r="R20" s="471"/>
      <c r="S20" s="471"/>
      <c r="T20" s="471"/>
      <c r="U20" s="471"/>
      <c r="V20" s="471"/>
      <c r="W20" s="471"/>
      <c r="X20" s="471"/>
      <c r="Y20" s="471"/>
      <c r="Z20" s="471"/>
      <c r="AA20" s="471"/>
      <c r="AB20" s="471"/>
      <c r="AC20" s="471"/>
      <c r="AD20" s="471"/>
      <c r="AE20" s="471"/>
      <c r="AF20" s="471"/>
      <c r="AG20" s="471"/>
      <c r="AH20" s="471"/>
      <c r="AI20" s="471"/>
      <c r="AJ20" s="471"/>
      <c r="AK20" s="471"/>
      <c r="AL20" s="471"/>
      <c r="AM20" s="471"/>
      <c r="AN20" s="471"/>
      <c r="AO20" s="471"/>
      <c r="AP20" s="471"/>
      <c r="AQ20" s="472"/>
      <c r="AR20" s="472"/>
      <c r="AS20" s="472"/>
      <c r="AT20" s="472"/>
      <c r="AU20" s="472"/>
      <c r="AV20" s="472"/>
      <c r="AW20" s="472"/>
      <c r="AX20" s="472"/>
      <c r="AY20" s="472"/>
      <c r="AZ20" s="472"/>
      <c r="BA20" s="472"/>
    </row>
    <row r="21" spans="1:53" s="478" customFormat="1" ht="33">
      <c r="A21" s="474">
        <v>1</v>
      </c>
      <c r="B21" s="474"/>
      <c r="C21" s="474"/>
      <c r="D21" s="474" t="s">
        <v>658</v>
      </c>
      <c r="E21" s="474">
        <v>1</v>
      </c>
      <c r="F21" s="475">
        <v>44616</v>
      </c>
      <c r="G21" s="476" t="s">
        <v>659</v>
      </c>
      <c r="H21" s="474"/>
      <c r="I21" s="474">
        <v>0</v>
      </c>
      <c r="J21" s="474" t="s">
        <v>130</v>
      </c>
      <c r="K21" s="474">
        <v>0</v>
      </c>
      <c r="L21" s="474" t="s">
        <v>660</v>
      </c>
      <c r="M21" s="474">
        <v>0</v>
      </c>
      <c r="N21" s="474">
        <v>0</v>
      </c>
      <c r="O21" s="474">
        <v>171100</v>
      </c>
      <c r="P21" s="474">
        <v>0</v>
      </c>
      <c r="Q21" s="474">
        <v>0</v>
      </c>
      <c r="R21" s="474">
        <v>0</v>
      </c>
      <c r="S21" s="474">
        <v>0</v>
      </c>
      <c r="T21" s="474">
        <v>0</v>
      </c>
      <c r="U21" s="474">
        <v>0</v>
      </c>
      <c r="V21" s="474">
        <v>114095</v>
      </c>
      <c r="W21" s="474">
        <v>114095</v>
      </c>
      <c r="X21" s="474">
        <v>100</v>
      </c>
      <c r="Y21" s="474">
        <v>0</v>
      </c>
      <c r="Z21" s="474">
        <v>0</v>
      </c>
      <c r="AA21" s="474">
        <v>1500</v>
      </c>
      <c r="AB21" s="474">
        <v>0</v>
      </c>
      <c r="AC21" s="474">
        <v>0</v>
      </c>
      <c r="AD21" s="474">
        <v>0</v>
      </c>
      <c r="AE21" s="474">
        <v>1500</v>
      </c>
      <c r="AF21" s="474" t="s">
        <v>661</v>
      </c>
      <c r="AG21" s="474">
        <v>0</v>
      </c>
      <c r="AH21" s="474">
        <v>0</v>
      </c>
      <c r="AI21" s="474">
        <v>0</v>
      </c>
      <c r="AJ21" s="474">
        <v>0</v>
      </c>
      <c r="AK21" s="474">
        <v>0</v>
      </c>
      <c r="AL21" s="474">
        <v>0</v>
      </c>
      <c r="AM21" s="474">
        <v>0</v>
      </c>
      <c r="AN21" s="474">
        <v>0</v>
      </c>
      <c r="AO21" s="474">
        <v>0</v>
      </c>
      <c r="AP21" s="474">
        <v>0</v>
      </c>
      <c r="AQ21" s="477"/>
      <c r="AR21" s="477"/>
      <c r="AS21" s="477"/>
      <c r="AT21" s="477"/>
      <c r="AU21" s="477"/>
      <c r="AV21" s="477"/>
      <c r="AW21" s="477"/>
      <c r="AX21" s="477"/>
      <c r="AY21" s="477"/>
      <c r="AZ21" s="477"/>
      <c r="BA21" s="477"/>
    </row>
    <row r="22" spans="1:53" s="478" customFormat="1" ht="16.5">
      <c r="A22" s="474">
        <v>2</v>
      </c>
      <c r="B22" s="474"/>
      <c r="C22" s="474"/>
      <c r="D22" s="474" t="s">
        <v>662</v>
      </c>
      <c r="E22" s="474">
        <v>1</v>
      </c>
      <c r="F22" s="474" t="s">
        <v>663</v>
      </c>
      <c r="G22" s="474" t="s">
        <v>664</v>
      </c>
      <c r="H22" s="474"/>
      <c r="I22" s="474"/>
      <c r="J22" s="474" t="s">
        <v>130</v>
      </c>
      <c r="K22" s="474"/>
      <c r="L22" s="474" t="s">
        <v>660</v>
      </c>
      <c r="M22" s="474"/>
      <c r="N22" s="474"/>
      <c r="O22" s="474">
        <v>66375</v>
      </c>
      <c r="P22" s="474"/>
      <c r="Q22" s="474"/>
      <c r="R22" s="474">
        <v>0</v>
      </c>
      <c r="S22" s="474">
        <v>0</v>
      </c>
      <c r="T22" s="474">
        <v>0</v>
      </c>
      <c r="U22" s="474">
        <v>0</v>
      </c>
      <c r="V22" s="474">
        <v>114095</v>
      </c>
      <c r="W22" s="474">
        <v>114095</v>
      </c>
      <c r="X22" s="474">
        <v>100</v>
      </c>
      <c r="Y22" s="474">
        <v>0</v>
      </c>
      <c r="Z22" s="474">
        <v>0</v>
      </c>
      <c r="AA22" s="474">
        <v>4500</v>
      </c>
      <c r="AB22" s="474">
        <v>0</v>
      </c>
      <c r="AC22" s="474">
        <v>0</v>
      </c>
      <c r="AD22" s="474">
        <v>0</v>
      </c>
      <c r="AE22" s="474">
        <v>4500</v>
      </c>
      <c r="AF22" s="474" t="s">
        <v>665</v>
      </c>
      <c r="AG22" s="474">
        <v>0</v>
      </c>
      <c r="AH22" s="474">
        <v>0</v>
      </c>
      <c r="AI22" s="474">
        <v>0</v>
      </c>
      <c r="AJ22" s="474">
        <v>0</v>
      </c>
      <c r="AK22" s="474">
        <v>0</v>
      </c>
      <c r="AL22" s="474">
        <v>0</v>
      </c>
      <c r="AM22" s="474">
        <v>0</v>
      </c>
      <c r="AN22" s="474">
        <v>0</v>
      </c>
      <c r="AO22" s="474">
        <v>0</v>
      </c>
      <c r="AP22" s="474">
        <v>0</v>
      </c>
      <c r="AQ22" s="477"/>
      <c r="AR22" s="477"/>
      <c r="AS22" s="477"/>
      <c r="AT22" s="477"/>
      <c r="AU22" s="477"/>
      <c r="AV22" s="477"/>
      <c r="AW22" s="477"/>
      <c r="AX22" s="477"/>
      <c r="AY22" s="477"/>
      <c r="AZ22" s="477"/>
      <c r="BA22" s="477"/>
    </row>
    <row r="23" spans="1:53" s="478" customFormat="1" ht="16.5">
      <c r="A23" s="474">
        <v>3</v>
      </c>
      <c r="B23" s="474"/>
      <c r="C23" s="474"/>
      <c r="D23" s="474" t="s">
        <v>666</v>
      </c>
      <c r="E23" s="474">
        <v>1</v>
      </c>
      <c r="F23" s="474" t="s">
        <v>663</v>
      </c>
      <c r="G23" s="474" t="s">
        <v>664</v>
      </c>
      <c r="H23" s="474"/>
      <c r="I23" s="474"/>
      <c r="J23" s="474" t="s">
        <v>130</v>
      </c>
      <c r="K23" s="474"/>
      <c r="L23" s="474" t="s">
        <v>660</v>
      </c>
      <c r="M23" s="474"/>
      <c r="N23" s="474"/>
      <c r="O23" s="474">
        <v>109150</v>
      </c>
      <c r="P23" s="474"/>
      <c r="Q23" s="474"/>
      <c r="R23" s="474">
        <v>0</v>
      </c>
      <c r="S23" s="474">
        <v>0</v>
      </c>
      <c r="T23" s="474">
        <v>0</v>
      </c>
      <c r="U23" s="474">
        <v>0</v>
      </c>
      <c r="V23" s="474">
        <v>114095</v>
      </c>
      <c r="W23" s="474">
        <v>114095</v>
      </c>
      <c r="X23" s="474">
        <v>100</v>
      </c>
      <c r="Y23" s="474">
        <v>0</v>
      </c>
      <c r="Z23" s="474">
        <v>0</v>
      </c>
      <c r="AA23" s="474">
        <v>5240</v>
      </c>
      <c r="AB23" s="474">
        <v>0</v>
      </c>
      <c r="AC23" s="474">
        <v>0</v>
      </c>
      <c r="AD23" s="474">
        <v>0</v>
      </c>
      <c r="AE23" s="474">
        <v>5240</v>
      </c>
      <c r="AF23" s="474" t="s">
        <v>665</v>
      </c>
      <c r="AG23" s="474">
        <v>0</v>
      </c>
      <c r="AH23" s="474">
        <v>0</v>
      </c>
      <c r="AI23" s="474">
        <v>0</v>
      </c>
      <c r="AJ23" s="474">
        <v>0</v>
      </c>
      <c r="AK23" s="474">
        <v>0</v>
      </c>
      <c r="AL23" s="474">
        <v>0</v>
      </c>
      <c r="AM23" s="474">
        <v>0</v>
      </c>
      <c r="AN23" s="474">
        <v>0</v>
      </c>
      <c r="AO23" s="474">
        <v>0</v>
      </c>
      <c r="AP23" s="474">
        <v>0</v>
      </c>
      <c r="AQ23" s="477"/>
      <c r="AR23" s="477"/>
      <c r="AS23" s="477"/>
      <c r="AT23" s="477"/>
      <c r="AU23" s="477"/>
      <c r="AV23" s="477"/>
      <c r="AW23" s="477"/>
      <c r="AX23" s="477"/>
      <c r="AY23" s="477"/>
      <c r="AZ23" s="477"/>
      <c r="BA23" s="477"/>
    </row>
    <row r="24" spans="1:53" s="478" customFormat="1" ht="20.25" customHeight="1">
      <c r="A24" s="474">
        <v>4</v>
      </c>
      <c r="B24" s="474"/>
      <c r="C24" s="474"/>
      <c r="D24" s="474" t="s">
        <v>667</v>
      </c>
      <c r="E24" s="474">
        <v>1</v>
      </c>
      <c r="F24" s="474" t="s">
        <v>668</v>
      </c>
      <c r="G24" s="474" t="s">
        <v>669</v>
      </c>
      <c r="H24" s="474"/>
      <c r="I24" s="474"/>
      <c r="J24" s="474" t="s">
        <v>130</v>
      </c>
      <c r="K24" s="474"/>
      <c r="L24" s="474" t="s">
        <v>660</v>
      </c>
      <c r="M24" s="474"/>
      <c r="N24" s="474"/>
      <c r="O24" s="474">
        <v>106200</v>
      </c>
      <c r="P24" s="474"/>
      <c r="Q24" s="474"/>
      <c r="R24" s="474">
        <v>0</v>
      </c>
      <c r="S24" s="474">
        <v>0</v>
      </c>
      <c r="T24" s="474">
        <v>0</v>
      </c>
      <c r="U24" s="474">
        <v>0</v>
      </c>
      <c r="V24" s="474">
        <v>114095</v>
      </c>
      <c r="W24" s="474">
        <v>114095</v>
      </c>
      <c r="X24" s="474">
        <v>100</v>
      </c>
      <c r="Y24" s="474">
        <v>0</v>
      </c>
      <c r="Z24" s="474">
        <v>0</v>
      </c>
      <c r="AA24" s="474">
        <v>5100</v>
      </c>
      <c r="AB24" s="474">
        <v>0</v>
      </c>
      <c r="AC24" s="474">
        <v>0</v>
      </c>
      <c r="AD24" s="474">
        <v>0</v>
      </c>
      <c r="AE24" s="474">
        <v>5100</v>
      </c>
      <c r="AF24" s="474" t="s">
        <v>665</v>
      </c>
      <c r="AG24" s="474">
        <v>0</v>
      </c>
      <c r="AH24" s="474">
        <v>0</v>
      </c>
      <c r="AI24" s="474">
        <v>0</v>
      </c>
      <c r="AJ24" s="474">
        <v>0</v>
      </c>
      <c r="AK24" s="474">
        <v>0</v>
      </c>
      <c r="AL24" s="474">
        <v>0</v>
      </c>
      <c r="AM24" s="474">
        <v>0</v>
      </c>
      <c r="AN24" s="474">
        <v>0</v>
      </c>
      <c r="AO24" s="474">
        <v>0</v>
      </c>
      <c r="AP24" s="474">
        <v>0</v>
      </c>
      <c r="AQ24" s="477"/>
      <c r="AR24" s="477"/>
      <c r="AS24" s="477"/>
      <c r="AT24" s="477"/>
      <c r="AU24" s="477"/>
      <c r="AV24" s="477"/>
      <c r="AW24" s="477"/>
      <c r="AX24" s="477"/>
      <c r="AY24" s="477"/>
      <c r="AZ24" s="477"/>
      <c r="BA24" s="477"/>
    </row>
    <row r="25" spans="1:53" s="478" customFormat="1" ht="16.5">
      <c r="A25" s="474">
        <v>5</v>
      </c>
      <c r="B25" s="474"/>
      <c r="C25" s="474"/>
      <c r="D25" s="474" t="s">
        <v>670</v>
      </c>
      <c r="E25" s="474">
        <v>1</v>
      </c>
      <c r="F25" s="474" t="s">
        <v>668</v>
      </c>
      <c r="G25" s="474" t="s">
        <v>671</v>
      </c>
      <c r="H25" s="474"/>
      <c r="I25" s="474"/>
      <c r="J25" s="474" t="s">
        <v>130</v>
      </c>
      <c r="K25" s="474"/>
      <c r="L25" s="474" t="s">
        <v>660</v>
      </c>
      <c r="M25" s="474"/>
      <c r="N25" s="474"/>
      <c r="O25" s="474">
        <v>53100</v>
      </c>
      <c r="P25" s="474"/>
      <c r="Q25" s="474"/>
      <c r="R25" s="474">
        <v>0</v>
      </c>
      <c r="S25" s="474">
        <v>0</v>
      </c>
      <c r="T25" s="474">
        <v>0</v>
      </c>
      <c r="U25" s="474">
        <v>0</v>
      </c>
      <c r="V25" s="474">
        <v>114095</v>
      </c>
      <c r="W25" s="474">
        <v>114095</v>
      </c>
      <c r="X25" s="474">
        <v>100</v>
      </c>
      <c r="Y25" s="474">
        <v>0</v>
      </c>
      <c r="Z25" s="474">
        <v>0</v>
      </c>
      <c r="AA25" s="474">
        <v>450</v>
      </c>
      <c r="AB25" s="474">
        <v>0</v>
      </c>
      <c r="AC25" s="474">
        <v>0</v>
      </c>
      <c r="AD25" s="474">
        <v>0</v>
      </c>
      <c r="AE25" s="474">
        <v>450</v>
      </c>
      <c r="AF25" s="474" t="s">
        <v>672</v>
      </c>
      <c r="AG25" s="474">
        <v>0</v>
      </c>
      <c r="AH25" s="474">
        <v>0</v>
      </c>
      <c r="AI25" s="474">
        <v>0</v>
      </c>
      <c r="AJ25" s="474">
        <v>0</v>
      </c>
      <c r="AK25" s="474">
        <v>0</v>
      </c>
      <c r="AL25" s="474">
        <v>0</v>
      </c>
      <c r="AM25" s="474">
        <v>0</v>
      </c>
      <c r="AN25" s="474">
        <v>0</v>
      </c>
      <c r="AO25" s="474">
        <v>0</v>
      </c>
      <c r="AP25" s="474">
        <v>0</v>
      </c>
      <c r="AQ25" s="477"/>
      <c r="AR25" s="477"/>
      <c r="AS25" s="477"/>
      <c r="AT25" s="477"/>
      <c r="AU25" s="477"/>
      <c r="AV25" s="477"/>
      <c r="AW25" s="477"/>
      <c r="AX25" s="477"/>
      <c r="AY25" s="477"/>
      <c r="AZ25" s="477"/>
      <c r="BA25" s="477"/>
    </row>
    <row r="26" spans="1:53" s="478" customFormat="1" ht="16.5">
      <c r="A26" s="474">
        <v>6</v>
      </c>
      <c r="B26" s="474"/>
      <c r="C26" s="474"/>
      <c r="D26" s="474" t="s">
        <v>673</v>
      </c>
      <c r="E26" s="474">
        <v>1</v>
      </c>
      <c r="F26" s="474" t="s">
        <v>674</v>
      </c>
      <c r="G26" s="474" t="s">
        <v>675</v>
      </c>
      <c r="H26" s="474"/>
      <c r="I26" s="474"/>
      <c r="J26" s="474" t="s">
        <v>130</v>
      </c>
      <c r="K26" s="474"/>
      <c r="L26" s="474" t="s">
        <v>676</v>
      </c>
      <c r="M26" s="474"/>
      <c r="N26" s="474"/>
      <c r="O26" s="474">
        <v>480000</v>
      </c>
      <c r="P26" s="474">
        <v>90000</v>
      </c>
      <c r="Q26" s="474"/>
      <c r="R26" s="474">
        <v>0</v>
      </c>
      <c r="S26" s="474">
        <v>0</v>
      </c>
      <c r="T26" s="474">
        <v>0</v>
      </c>
      <c r="U26" s="474">
        <v>0</v>
      </c>
      <c r="V26" s="474">
        <v>114095</v>
      </c>
      <c r="W26" s="474">
        <v>114095</v>
      </c>
      <c r="X26" s="474">
        <v>100</v>
      </c>
      <c r="Y26" s="474">
        <v>0</v>
      </c>
      <c r="Z26" s="474">
        <v>0</v>
      </c>
      <c r="AA26" s="474">
        <v>0</v>
      </c>
      <c r="AB26" s="474">
        <v>212</v>
      </c>
      <c r="AC26" s="474">
        <v>0</v>
      </c>
      <c r="AD26" s="474">
        <v>212</v>
      </c>
      <c r="AE26" s="474">
        <v>0</v>
      </c>
      <c r="AF26" s="474" t="s">
        <v>677</v>
      </c>
      <c r="AG26" s="474">
        <v>0</v>
      </c>
      <c r="AH26" s="474">
        <v>0</v>
      </c>
      <c r="AI26" s="474">
        <v>0</v>
      </c>
      <c r="AJ26" s="474">
        <v>0</v>
      </c>
      <c r="AK26" s="474">
        <v>0</v>
      </c>
      <c r="AL26" s="474">
        <v>0</v>
      </c>
      <c r="AM26" s="474">
        <v>0</v>
      </c>
      <c r="AN26" s="474">
        <v>0</v>
      </c>
      <c r="AO26" s="474">
        <v>0</v>
      </c>
      <c r="AP26" s="474">
        <v>0</v>
      </c>
      <c r="AQ26" s="477"/>
      <c r="AR26" s="477"/>
      <c r="AS26" s="477"/>
      <c r="AT26" s="477"/>
      <c r="AU26" s="477"/>
      <c r="AV26" s="477"/>
      <c r="AW26" s="477"/>
      <c r="AX26" s="477"/>
      <c r="AY26" s="477"/>
      <c r="AZ26" s="477"/>
      <c r="BA26" s="477"/>
    </row>
    <row r="27" spans="1:53" s="478" customFormat="1" ht="16.5">
      <c r="A27" s="474">
        <v>7</v>
      </c>
      <c r="B27" s="474"/>
      <c r="C27" s="474"/>
      <c r="D27" s="474" t="s">
        <v>678</v>
      </c>
      <c r="E27" s="474">
        <v>1</v>
      </c>
      <c r="F27" s="474" t="s">
        <v>679</v>
      </c>
      <c r="G27" s="474" t="s">
        <v>680</v>
      </c>
      <c r="H27" s="474"/>
      <c r="I27" s="474"/>
      <c r="J27" s="474" t="s">
        <v>130</v>
      </c>
      <c r="K27" s="474"/>
      <c r="L27" s="474" t="s">
        <v>681</v>
      </c>
      <c r="M27" s="474"/>
      <c r="N27" s="474"/>
      <c r="O27" s="474">
        <v>115050</v>
      </c>
      <c r="P27" s="474"/>
      <c r="Q27" s="474"/>
      <c r="R27" s="474">
        <v>0</v>
      </c>
      <c r="S27" s="474">
        <v>0</v>
      </c>
      <c r="T27" s="474">
        <v>0</v>
      </c>
      <c r="U27" s="474">
        <v>0</v>
      </c>
      <c r="V27" s="474">
        <v>114095</v>
      </c>
      <c r="W27" s="474">
        <v>114095</v>
      </c>
      <c r="X27" s="474">
        <v>100</v>
      </c>
      <c r="Y27" s="474">
        <v>0</v>
      </c>
      <c r="Z27" s="474">
        <v>0</v>
      </c>
      <c r="AA27" s="474">
        <v>4850</v>
      </c>
      <c r="AB27" s="474">
        <v>0</v>
      </c>
      <c r="AC27" s="474">
        <v>0</v>
      </c>
      <c r="AD27" s="474">
        <v>0</v>
      </c>
      <c r="AE27" s="474">
        <v>4850</v>
      </c>
      <c r="AF27" s="474" t="s">
        <v>665</v>
      </c>
      <c r="AG27" s="474">
        <v>0</v>
      </c>
      <c r="AH27" s="474">
        <v>0</v>
      </c>
      <c r="AI27" s="474">
        <v>0</v>
      </c>
      <c r="AJ27" s="474">
        <v>0</v>
      </c>
      <c r="AK27" s="474">
        <v>0</v>
      </c>
      <c r="AL27" s="474">
        <v>0</v>
      </c>
      <c r="AM27" s="474">
        <v>0</v>
      </c>
      <c r="AN27" s="474">
        <v>0</v>
      </c>
      <c r="AO27" s="474">
        <v>0</v>
      </c>
      <c r="AP27" s="474">
        <v>0</v>
      </c>
      <c r="AQ27" s="477"/>
      <c r="AR27" s="477"/>
      <c r="AS27" s="477"/>
      <c r="AT27" s="477"/>
      <c r="AU27" s="477"/>
      <c r="AV27" s="477"/>
      <c r="AW27" s="477"/>
      <c r="AX27" s="477"/>
      <c r="AY27" s="477"/>
      <c r="AZ27" s="477"/>
      <c r="BA27" s="477"/>
    </row>
    <row r="28" spans="1:53" s="478" customFormat="1" ht="16.5">
      <c r="A28" s="474">
        <v>8</v>
      </c>
      <c r="B28" s="474"/>
      <c r="C28" s="474"/>
      <c r="D28" s="474" t="s">
        <v>682</v>
      </c>
      <c r="E28" s="474">
        <v>1</v>
      </c>
      <c r="F28" s="474" t="s">
        <v>683</v>
      </c>
      <c r="G28" s="474" t="s">
        <v>684</v>
      </c>
      <c r="H28" s="474"/>
      <c r="I28" s="474"/>
      <c r="J28" s="474"/>
      <c r="K28" s="474"/>
      <c r="L28" s="474" t="s">
        <v>685</v>
      </c>
      <c r="M28" s="474"/>
      <c r="N28" s="474"/>
      <c r="O28" s="474">
        <v>290000</v>
      </c>
      <c r="P28" s="474">
        <v>254540</v>
      </c>
      <c r="Q28" s="474"/>
      <c r="R28" s="474">
        <v>0</v>
      </c>
      <c r="S28" s="474">
        <v>0</v>
      </c>
      <c r="T28" s="474">
        <v>0</v>
      </c>
      <c r="U28" s="474">
        <v>0</v>
      </c>
      <c r="V28" s="474">
        <v>114095</v>
      </c>
      <c r="W28" s="474">
        <v>114095</v>
      </c>
      <c r="X28" s="474">
        <v>100</v>
      </c>
      <c r="Y28" s="474">
        <v>0</v>
      </c>
      <c r="Z28" s="474">
        <v>0</v>
      </c>
      <c r="AA28" s="474">
        <v>1770</v>
      </c>
      <c r="AB28" s="474">
        <v>0</v>
      </c>
      <c r="AC28" s="474">
        <v>0</v>
      </c>
      <c r="AD28" s="474">
        <v>0</v>
      </c>
      <c r="AE28" s="474">
        <v>1770</v>
      </c>
      <c r="AF28" s="474" t="s">
        <v>686</v>
      </c>
      <c r="AG28" s="474">
        <v>0</v>
      </c>
      <c r="AH28" s="474">
        <v>0</v>
      </c>
      <c r="AI28" s="474">
        <v>0</v>
      </c>
      <c r="AJ28" s="474">
        <v>0</v>
      </c>
      <c r="AK28" s="474">
        <v>0</v>
      </c>
      <c r="AL28" s="474">
        <v>0</v>
      </c>
      <c r="AM28" s="474">
        <v>0</v>
      </c>
      <c r="AN28" s="474">
        <v>0</v>
      </c>
      <c r="AO28" s="474">
        <v>0</v>
      </c>
      <c r="AP28" s="474">
        <v>0</v>
      </c>
      <c r="AQ28" s="477"/>
      <c r="AR28" s="477"/>
      <c r="AS28" s="477"/>
      <c r="AT28" s="477"/>
      <c r="AU28" s="477"/>
      <c r="AV28" s="477"/>
      <c r="AW28" s="477"/>
      <c r="AX28" s="477"/>
      <c r="AY28" s="477"/>
      <c r="AZ28" s="477"/>
      <c r="BA28" s="477"/>
    </row>
    <row r="29" spans="1:53" s="478" customFormat="1" ht="16.5">
      <c r="A29" s="474">
        <v>9</v>
      </c>
      <c r="B29" s="474"/>
      <c r="C29" s="474"/>
      <c r="D29" s="474" t="s">
        <v>687</v>
      </c>
      <c r="E29" s="474">
        <v>1</v>
      </c>
      <c r="F29" s="474" t="s">
        <v>683</v>
      </c>
      <c r="G29" s="474" t="s">
        <v>684</v>
      </c>
      <c r="H29" s="474"/>
      <c r="I29" s="474"/>
      <c r="J29" s="474" t="s">
        <v>130</v>
      </c>
      <c r="K29" s="474"/>
      <c r="L29" s="474" t="s">
        <v>688</v>
      </c>
      <c r="M29" s="474"/>
      <c r="N29" s="474"/>
      <c r="O29" s="474">
        <v>88200</v>
      </c>
      <c r="P29" s="474">
        <v>92450</v>
      </c>
      <c r="Q29" s="474"/>
      <c r="R29" s="474">
        <v>0</v>
      </c>
      <c r="S29" s="474">
        <v>0</v>
      </c>
      <c r="T29" s="474">
        <v>0</v>
      </c>
      <c r="U29" s="474">
        <v>0</v>
      </c>
      <c r="V29" s="474">
        <v>114095</v>
      </c>
      <c r="W29" s="474">
        <v>114095</v>
      </c>
      <c r="X29" s="474">
        <v>100</v>
      </c>
      <c r="Y29" s="474">
        <v>0</v>
      </c>
      <c r="Z29" s="474">
        <v>0</v>
      </c>
      <c r="AA29" s="474">
        <v>1260</v>
      </c>
      <c r="AB29" s="474">
        <v>0</v>
      </c>
      <c r="AC29" s="474">
        <v>0</v>
      </c>
      <c r="AD29" s="474">
        <v>0</v>
      </c>
      <c r="AE29" s="474">
        <v>1260</v>
      </c>
      <c r="AF29" s="474" t="s">
        <v>689</v>
      </c>
      <c r="AG29" s="474">
        <v>0</v>
      </c>
      <c r="AH29" s="474">
        <v>0</v>
      </c>
      <c r="AI29" s="474">
        <v>0</v>
      </c>
      <c r="AJ29" s="474">
        <v>0</v>
      </c>
      <c r="AK29" s="474">
        <v>0</v>
      </c>
      <c r="AL29" s="474">
        <v>0</v>
      </c>
      <c r="AM29" s="474">
        <v>0</v>
      </c>
      <c r="AN29" s="474">
        <v>0</v>
      </c>
      <c r="AO29" s="474">
        <v>0</v>
      </c>
      <c r="AP29" s="474">
        <v>0</v>
      </c>
      <c r="AQ29" s="477"/>
      <c r="AR29" s="477"/>
      <c r="AS29" s="477"/>
      <c r="AT29" s="477"/>
      <c r="AU29" s="477"/>
      <c r="AV29" s="477"/>
      <c r="AW29" s="477"/>
      <c r="AX29" s="477"/>
      <c r="AY29" s="477"/>
      <c r="AZ29" s="477"/>
      <c r="BA29" s="477"/>
    </row>
    <row r="30" spans="1:53" s="478" customFormat="1" ht="33">
      <c r="A30" s="474">
        <v>10</v>
      </c>
      <c r="B30" s="474"/>
      <c r="C30" s="474"/>
      <c r="D30" s="476" t="s">
        <v>690</v>
      </c>
      <c r="E30" s="474">
        <v>1</v>
      </c>
      <c r="F30" s="474" t="s">
        <v>691</v>
      </c>
      <c r="G30" s="476" t="s">
        <v>195</v>
      </c>
      <c r="H30" s="474"/>
      <c r="I30" s="474"/>
      <c r="J30" s="474" t="s">
        <v>130</v>
      </c>
      <c r="K30" s="474"/>
      <c r="L30" s="474" t="s">
        <v>692</v>
      </c>
      <c r="M30" s="474"/>
      <c r="N30" s="474"/>
      <c r="O30" s="474">
        <v>400000</v>
      </c>
      <c r="P30" s="474">
        <v>221200</v>
      </c>
      <c r="Q30" s="474"/>
      <c r="R30" s="474">
        <v>0</v>
      </c>
      <c r="S30" s="474">
        <v>0</v>
      </c>
      <c r="T30" s="474">
        <v>0</v>
      </c>
      <c r="U30" s="474">
        <v>0</v>
      </c>
      <c r="V30" s="474">
        <v>114095</v>
      </c>
      <c r="W30" s="474">
        <v>114095</v>
      </c>
      <c r="X30" s="474">
        <v>100</v>
      </c>
      <c r="Y30" s="474">
        <v>0</v>
      </c>
      <c r="Z30" s="474">
        <v>0</v>
      </c>
      <c r="AA30" s="474">
        <v>0</v>
      </c>
      <c r="AB30" s="474">
        <v>200</v>
      </c>
      <c r="AC30" s="474">
        <v>0</v>
      </c>
      <c r="AD30" s="474">
        <v>220</v>
      </c>
      <c r="AE30" s="474">
        <v>0</v>
      </c>
      <c r="AF30" s="474" t="s">
        <v>677</v>
      </c>
      <c r="AG30" s="474">
        <v>0</v>
      </c>
      <c r="AH30" s="474">
        <v>0</v>
      </c>
      <c r="AI30" s="474">
        <v>0</v>
      </c>
      <c r="AJ30" s="474">
        <v>0</v>
      </c>
      <c r="AK30" s="474">
        <v>0</v>
      </c>
      <c r="AL30" s="474">
        <v>0</v>
      </c>
      <c r="AM30" s="474">
        <v>0</v>
      </c>
      <c r="AN30" s="474">
        <v>0</v>
      </c>
      <c r="AO30" s="474">
        <v>0</v>
      </c>
      <c r="AP30" s="474">
        <v>0</v>
      </c>
      <c r="AQ30" s="477"/>
      <c r="AR30" s="477"/>
      <c r="AS30" s="477"/>
      <c r="AT30" s="477"/>
      <c r="AU30" s="477"/>
      <c r="AV30" s="477"/>
      <c r="AW30" s="477"/>
      <c r="AX30" s="477"/>
      <c r="AY30" s="477"/>
      <c r="AZ30" s="477"/>
      <c r="BA30" s="477"/>
    </row>
    <row r="31" spans="1:53" s="478" customFormat="1" ht="33">
      <c r="A31" s="474">
        <v>11</v>
      </c>
      <c r="B31" s="474"/>
      <c r="C31" s="474"/>
      <c r="D31" s="476" t="s">
        <v>693</v>
      </c>
      <c r="E31" s="474">
        <v>1</v>
      </c>
      <c r="F31" s="474" t="s">
        <v>691</v>
      </c>
      <c r="G31" s="476" t="s">
        <v>694</v>
      </c>
      <c r="H31" s="474"/>
      <c r="I31" s="474"/>
      <c r="J31" s="474" t="s">
        <v>130</v>
      </c>
      <c r="K31" s="474"/>
      <c r="L31" s="474" t="s">
        <v>692</v>
      </c>
      <c r="M31" s="474"/>
      <c r="N31" s="474"/>
      <c r="O31" s="474">
        <v>0</v>
      </c>
      <c r="P31" s="474"/>
      <c r="Q31" s="474"/>
      <c r="R31" s="474">
        <v>0</v>
      </c>
      <c r="S31" s="474">
        <v>0</v>
      </c>
      <c r="T31" s="474">
        <v>0</v>
      </c>
      <c r="U31" s="474">
        <v>0</v>
      </c>
      <c r="V31" s="474">
        <v>114095</v>
      </c>
      <c r="W31" s="474">
        <v>114095</v>
      </c>
      <c r="X31" s="474">
        <v>100</v>
      </c>
      <c r="Y31" s="474">
        <v>0</v>
      </c>
      <c r="Z31" s="474">
        <v>0</v>
      </c>
      <c r="AA31" s="474">
        <v>0</v>
      </c>
      <c r="AB31" s="474">
        <v>0</v>
      </c>
      <c r="AC31" s="474">
        <v>0</v>
      </c>
      <c r="AD31" s="474">
        <v>0</v>
      </c>
      <c r="AE31" s="474">
        <v>0</v>
      </c>
      <c r="AF31" s="474" t="s">
        <v>686</v>
      </c>
      <c r="AG31" s="474">
        <v>0</v>
      </c>
      <c r="AH31" s="474">
        <v>0</v>
      </c>
      <c r="AI31" s="474">
        <v>0</v>
      </c>
      <c r="AJ31" s="474">
        <v>0</v>
      </c>
      <c r="AK31" s="474">
        <v>0</v>
      </c>
      <c r="AL31" s="474">
        <v>0</v>
      </c>
      <c r="AM31" s="474">
        <v>0</v>
      </c>
      <c r="AN31" s="474">
        <v>0</v>
      </c>
      <c r="AO31" s="474">
        <v>0</v>
      </c>
      <c r="AP31" s="474">
        <v>0</v>
      </c>
      <c r="AQ31" s="477"/>
      <c r="AR31" s="477"/>
      <c r="AS31" s="477"/>
      <c r="AT31" s="477"/>
      <c r="AU31" s="477"/>
      <c r="AV31" s="477"/>
      <c r="AW31" s="477"/>
      <c r="AX31" s="477"/>
      <c r="AY31" s="477"/>
      <c r="AZ31" s="477"/>
      <c r="BA31" s="477"/>
    </row>
    <row r="32" spans="1:53" s="478" customFormat="1" ht="16.5">
      <c r="A32" s="474">
        <v>12</v>
      </c>
      <c r="B32" s="474"/>
      <c r="C32" s="474"/>
      <c r="D32" s="474" t="s">
        <v>695</v>
      </c>
      <c r="E32" s="474">
        <v>1</v>
      </c>
      <c r="F32" s="474" t="s">
        <v>696</v>
      </c>
      <c r="G32" s="474" t="s">
        <v>664</v>
      </c>
      <c r="H32" s="474"/>
      <c r="I32" s="474"/>
      <c r="J32" s="474" t="s">
        <v>130</v>
      </c>
      <c r="K32" s="474"/>
      <c r="L32" s="474" t="s">
        <v>697</v>
      </c>
      <c r="M32" s="474"/>
      <c r="N32" s="474"/>
      <c r="O32" s="474">
        <v>88200</v>
      </c>
      <c r="P32" s="474"/>
      <c r="Q32" s="474"/>
      <c r="R32" s="474">
        <v>0</v>
      </c>
      <c r="S32" s="474">
        <v>0</v>
      </c>
      <c r="T32" s="474">
        <v>0</v>
      </c>
      <c r="U32" s="474">
        <v>0</v>
      </c>
      <c r="V32" s="474">
        <v>114095</v>
      </c>
      <c r="W32" s="474">
        <v>114095</v>
      </c>
      <c r="X32" s="474">
        <v>100</v>
      </c>
      <c r="Y32" s="474">
        <v>0</v>
      </c>
      <c r="Z32" s="474">
        <v>0</v>
      </c>
      <c r="AA32" s="474">
        <v>1400</v>
      </c>
      <c r="AB32" s="474">
        <v>0</v>
      </c>
      <c r="AC32" s="474">
        <v>0</v>
      </c>
      <c r="AD32" s="474">
        <v>0</v>
      </c>
      <c r="AE32" s="474">
        <v>1400</v>
      </c>
      <c r="AF32" s="474" t="s">
        <v>665</v>
      </c>
      <c r="AG32" s="474">
        <v>0</v>
      </c>
      <c r="AH32" s="474">
        <v>0</v>
      </c>
      <c r="AI32" s="474">
        <v>0</v>
      </c>
      <c r="AJ32" s="474">
        <v>0</v>
      </c>
      <c r="AK32" s="474">
        <v>0</v>
      </c>
      <c r="AL32" s="474">
        <v>0</v>
      </c>
      <c r="AM32" s="474">
        <v>0</v>
      </c>
      <c r="AN32" s="474">
        <v>0</v>
      </c>
      <c r="AO32" s="474">
        <v>0</v>
      </c>
      <c r="AP32" s="474">
        <v>0</v>
      </c>
      <c r="AQ32" s="477"/>
      <c r="AR32" s="477"/>
      <c r="AS32" s="477"/>
      <c r="AT32" s="477"/>
      <c r="AU32" s="477"/>
      <c r="AV32" s="477"/>
      <c r="AW32" s="477"/>
      <c r="AX32" s="477"/>
      <c r="AY32" s="477"/>
      <c r="AZ32" s="477"/>
      <c r="BA32" s="477"/>
    </row>
    <row r="33" spans="1:53" s="478" customFormat="1" ht="16.5">
      <c r="A33" s="474">
        <v>13</v>
      </c>
      <c r="B33" s="474"/>
      <c r="C33" s="474"/>
      <c r="D33" s="474" t="s">
        <v>698</v>
      </c>
      <c r="E33" s="474">
        <v>1</v>
      </c>
      <c r="F33" s="474" t="s">
        <v>696</v>
      </c>
      <c r="G33" s="474" t="s">
        <v>699</v>
      </c>
      <c r="H33" s="474"/>
      <c r="I33" s="474"/>
      <c r="J33" s="474" t="s">
        <v>130</v>
      </c>
      <c r="K33" s="474"/>
      <c r="L33" s="474" t="s">
        <v>697</v>
      </c>
      <c r="M33" s="474"/>
      <c r="N33" s="474"/>
      <c r="O33" s="474">
        <v>200000</v>
      </c>
      <c r="P33" s="474">
        <v>17000</v>
      </c>
      <c r="Q33" s="474"/>
      <c r="R33" s="474">
        <v>0</v>
      </c>
      <c r="S33" s="474">
        <v>0</v>
      </c>
      <c r="T33" s="474">
        <v>0</v>
      </c>
      <c r="U33" s="474">
        <v>0</v>
      </c>
      <c r="V33" s="474">
        <v>114095</v>
      </c>
      <c r="W33" s="474">
        <v>114095</v>
      </c>
      <c r="X33" s="474">
        <v>100</v>
      </c>
      <c r="Y33" s="474">
        <v>0</v>
      </c>
      <c r="Z33" s="474">
        <v>0</v>
      </c>
      <c r="AA33" s="474">
        <v>395</v>
      </c>
      <c r="AB33" s="474">
        <v>0</v>
      </c>
      <c r="AC33" s="474">
        <v>0</v>
      </c>
      <c r="AD33" s="474">
        <v>395</v>
      </c>
      <c r="AE33" s="474">
        <v>0</v>
      </c>
      <c r="AF33" s="474" t="s">
        <v>661</v>
      </c>
      <c r="AG33" s="474">
        <v>0</v>
      </c>
      <c r="AH33" s="474">
        <v>0</v>
      </c>
      <c r="AI33" s="474">
        <v>0</v>
      </c>
      <c r="AJ33" s="474">
        <v>0</v>
      </c>
      <c r="AK33" s="474">
        <v>0</v>
      </c>
      <c r="AL33" s="474">
        <v>0</v>
      </c>
      <c r="AM33" s="474">
        <v>0</v>
      </c>
      <c r="AN33" s="474">
        <v>0</v>
      </c>
      <c r="AO33" s="474">
        <v>0</v>
      </c>
      <c r="AP33" s="474">
        <v>0</v>
      </c>
      <c r="AQ33" s="477"/>
      <c r="AR33" s="477"/>
      <c r="AS33" s="477"/>
      <c r="AT33" s="477"/>
      <c r="AU33" s="477"/>
      <c r="AV33" s="477"/>
      <c r="AW33" s="477"/>
      <c r="AX33" s="477"/>
      <c r="AY33" s="477"/>
      <c r="AZ33" s="477"/>
      <c r="BA33" s="477"/>
    </row>
    <row r="34" spans="1:53" s="478" customFormat="1" ht="16.5">
      <c r="A34" s="474">
        <v>14</v>
      </c>
      <c r="B34" s="474"/>
      <c r="C34" s="474"/>
      <c r="D34" s="474" t="s">
        <v>700</v>
      </c>
      <c r="E34" s="474">
        <v>1</v>
      </c>
      <c r="F34" s="474" t="s">
        <v>701</v>
      </c>
      <c r="G34" s="476" t="s">
        <v>323</v>
      </c>
      <c r="H34" s="476" t="s">
        <v>784</v>
      </c>
      <c r="I34" s="474"/>
      <c r="J34" s="474" t="s">
        <v>130</v>
      </c>
      <c r="K34" s="474"/>
      <c r="L34" s="474"/>
      <c r="M34" s="474"/>
      <c r="N34" s="474"/>
      <c r="O34" s="474">
        <v>171100</v>
      </c>
      <c r="P34" s="474"/>
      <c r="Q34" s="474"/>
      <c r="R34" s="474">
        <v>0</v>
      </c>
      <c r="S34" s="474">
        <v>0</v>
      </c>
      <c r="T34" s="474">
        <v>0</v>
      </c>
      <c r="U34" s="474">
        <v>0</v>
      </c>
      <c r="V34" s="474">
        <v>114095</v>
      </c>
      <c r="W34" s="474">
        <v>114095</v>
      </c>
      <c r="X34" s="474">
        <v>100</v>
      </c>
      <c r="Y34" s="474">
        <v>0</v>
      </c>
      <c r="Z34" s="474">
        <v>0</v>
      </c>
      <c r="AA34" s="474">
        <v>820</v>
      </c>
      <c r="AB34" s="474">
        <v>0</v>
      </c>
      <c r="AC34" s="474">
        <v>0</v>
      </c>
      <c r="AD34" s="474">
        <v>820</v>
      </c>
      <c r="AE34" s="474">
        <v>0</v>
      </c>
      <c r="AF34" s="474" t="s">
        <v>785</v>
      </c>
      <c r="AG34" s="474">
        <v>0</v>
      </c>
      <c r="AH34" s="474">
        <v>0</v>
      </c>
      <c r="AI34" s="474">
        <v>0</v>
      </c>
      <c r="AJ34" s="474">
        <v>0</v>
      </c>
      <c r="AK34" s="474">
        <v>0</v>
      </c>
      <c r="AL34" s="474">
        <v>0</v>
      </c>
      <c r="AM34" s="474">
        <v>0</v>
      </c>
      <c r="AN34" s="474">
        <v>0</v>
      </c>
      <c r="AO34" s="474">
        <v>0</v>
      </c>
      <c r="AP34" s="474">
        <v>0</v>
      </c>
      <c r="AQ34" s="477"/>
      <c r="AR34" s="477"/>
      <c r="AS34" s="477"/>
      <c r="AT34" s="477"/>
      <c r="AU34" s="477"/>
      <c r="AV34" s="477"/>
      <c r="AW34" s="477"/>
      <c r="AX34" s="477"/>
      <c r="AY34" s="477"/>
      <c r="AZ34" s="477"/>
      <c r="BA34" s="477"/>
    </row>
    <row r="35" spans="1:53" s="478" customFormat="1" ht="33">
      <c r="A35" s="474">
        <v>15</v>
      </c>
      <c r="B35" s="474"/>
      <c r="C35" s="474"/>
      <c r="D35" s="474" t="s">
        <v>702</v>
      </c>
      <c r="E35" s="474">
        <v>1</v>
      </c>
      <c r="F35" s="474" t="s">
        <v>703</v>
      </c>
      <c r="G35" s="476" t="s">
        <v>704</v>
      </c>
      <c r="H35" s="474"/>
      <c r="I35" s="474"/>
      <c r="J35" s="474" t="s">
        <v>130</v>
      </c>
      <c r="K35" s="474"/>
      <c r="L35" s="474" t="s">
        <v>692</v>
      </c>
      <c r="M35" s="474"/>
      <c r="N35" s="474"/>
      <c r="O35" s="474">
        <v>320000</v>
      </c>
      <c r="P35" s="474"/>
      <c r="Q35" s="474"/>
      <c r="R35" s="474">
        <v>0</v>
      </c>
      <c r="S35" s="474">
        <v>0</v>
      </c>
      <c r="T35" s="474">
        <v>0</v>
      </c>
      <c r="U35" s="474">
        <v>0</v>
      </c>
      <c r="V35" s="474">
        <v>114095</v>
      </c>
      <c r="W35" s="474">
        <v>114095</v>
      </c>
      <c r="X35" s="474">
        <v>100</v>
      </c>
      <c r="Y35" s="474">
        <v>0</v>
      </c>
      <c r="Z35" s="474">
        <v>0</v>
      </c>
      <c r="AA35" s="474">
        <v>0</v>
      </c>
      <c r="AB35" s="474">
        <v>160</v>
      </c>
      <c r="AC35" s="474">
        <v>0</v>
      </c>
      <c r="AD35" s="474">
        <v>0</v>
      </c>
      <c r="AE35" s="474">
        <v>160</v>
      </c>
      <c r="AF35" s="474" t="s">
        <v>786</v>
      </c>
      <c r="AG35" s="474">
        <v>0</v>
      </c>
      <c r="AH35" s="474">
        <v>0</v>
      </c>
      <c r="AI35" s="474">
        <v>0</v>
      </c>
      <c r="AJ35" s="474">
        <v>0</v>
      </c>
      <c r="AK35" s="474">
        <v>0</v>
      </c>
      <c r="AL35" s="474">
        <v>0</v>
      </c>
      <c r="AM35" s="474">
        <v>0</v>
      </c>
      <c r="AN35" s="474">
        <v>0</v>
      </c>
      <c r="AO35" s="474">
        <v>0</v>
      </c>
      <c r="AP35" s="474">
        <v>0</v>
      </c>
      <c r="AQ35" s="477"/>
      <c r="AR35" s="477"/>
      <c r="AS35" s="477"/>
      <c r="AT35" s="477"/>
      <c r="AU35" s="477"/>
      <c r="AV35" s="477"/>
      <c r="AW35" s="477"/>
      <c r="AX35" s="477"/>
      <c r="AY35" s="477"/>
      <c r="AZ35" s="477"/>
      <c r="BA35" s="477"/>
    </row>
    <row r="36" spans="1:53" s="478" customFormat="1" ht="16.5">
      <c r="A36" s="474">
        <v>16</v>
      </c>
      <c r="B36" s="474"/>
      <c r="C36" s="474"/>
      <c r="D36" s="474" t="s">
        <v>705</v>
      </c>
      <c r="E36" s="474">
        <v>1</v>
      </c>
      <c r="F36" s="474" t="s">
        <v>706</v>
      </c>
      <c r="G36" s="474" t="s">
        <v>684</v>
      </c>
      <c r="H36" s="474"/>
      <c r="I36" s="474"/>
      <c r="J36" s="474" t="s">
        <v>130</v>
      </c>
      <c r="K36" s="474"/>
      <c r="L36" s="474" t="s">
        <v>707</v>
      </c>
      <c r="M36" s="474"/>
      <c r="N36" s="474"/>
      <c r="O36" s="474">
        <v>174050</v>
      </c>
      <c r="P36" s="474"/>
      <c r="Q36" s="474"/>
      <c r="R36" s="474">
        <v>0</v>
      </c>
      <c r="S36" s="474">
        <v>0</v>
      </c>
      <c r="T36" s="474">
        <v>0</v>
      </c>
      <c r="U36" s="474">
        <v>0</v>
      </c>
      <c r="V36" s="474">
        <v>114095</v>
      </c>
      <c r="W36" s="474">
        <v>114095</v>
      </c>
      <c r="X36" s="474">
        <v>100</v>
      </c>
      <c r="Y36" s="474">
        <v>0</v>
      </c>
      <c r="Z36" s="474">
        <v>0</v>
      </c>
      <c r="AA36" s="474">
        <v>4910</v>
      </c>
      <c r="AB36" s="474">
        <v>0</v>
      </c>
      <c r="AC36" s="474">
        <v>0</v>
      </c>
      <c r="AD36" s="474">
        <v>4910</v>
      </c>
      <c r="AE36" s="474">
        <v>0</v>
      </c>
      <c r="AF36" s="474" t="s">
        <v>686</v>
      </c>
      <c r="AG36" s="474">
        <v>0</v>
      </c>
      <c r="AH36" s="474">
        <v>0</v>
      </c>
      <c r="AI36" s="474">
        <v>0</v>
      </c>
      <c r="AJ36" s="474">
        <v>0</v>
      </c>
      <c r="AK36" s="474">
        <v>0</v>
      </c>
      <c r="AL36" s="474">
        <v>0</v>
      </c>
      <c r="AM36" s="474">
        <v>0</v>
      </c>
      <c r="AN36" s="474">
        <v>0</v>
      </c>
      <c r="AO36" s="474">
        <v>0</v>
      </c>
      <c r="AP36" s="474">
        <v>0</v>
      </c>
      <c r="AQ36" s="477"/>
      <c r="AR36" s="477"/>
      <c r="AS36" s="477"/>
      <c r="AT36" s="477"/>
      <c r="AU36" s="477"/>
      <c r="AV36" s="477"/>
      <c r="AW36" s="477"/>
      <c r="AX36" s="477"/>
      <c r="AY36" s="477"/>
      <c r="AZ36" s="477"/>
      <c r="BA36" s="477"/>
    </row>
    <row r="37" spans="1:53" s="478" customFormat="1" ht="16.5">
      <c r="A37" s="474">
        <v>17</v>
      </c>
      <c r="B37" s="474"/>
      <c r="C37" s="474"/>
      <c r="D37" s="474" t="s">
        <v>708</v>
      </c>
      <c r="E37" s="474">
        <v>1</v>
      </c>
      <c r="F37" s="474" t="s">
        <v>706</v>
      </c>
      <c r="G37" s="474" t="s">
        <v>684</v>
      </c>
      <c r="H37" s="474"/>
      <c r="I37" s="474"/>
      <c r="J37" s="474" t="s">
        <v>130</v>
      </c>
      <c r="K37" s="474"/>
      <c r="L37" s="474" t="s">
        <v>707</v>
      </c>
      <c r="M37" s="474"/>
      <c r="N37" s="474"/>
      <c r="O37" s="474">
        <v>159300</v>
      </c>
      <c r="P37" s="474"/>
      <c r="Q37" s="474"/>
      <c r="R37" s="474">
        <v>0</v>
      </c>
      <c r="S37" s="474">
        <v>0</v>
      </c>
      <c r="T37" s="474">
        <v>0</v>
      </c>
      <c r="U37" s="474">
        <v>0</v>
      </c>
      <c r="V37" s="474">
        <v>114095</v>
      </c>
      <c r="W37" s="474">
        <v>114095</v>
      </c>
      <c r="X37" s="474">
        <v>100</v>
      </c>
      <c r="Y37" s="474">
        <v>0</v>
      </c>
      <c r="Z37" s="474">
        <v>0</v>
      </c>
      <c r="AA37" s="474">
        <v>4480</v>
      </c>
      <c r="AB37" s="474">
        <v>0</v>
      </c>
      <c r="AC37" s="474">
        <v>0</v>
      </c>
      <c r="AD37" s="474">
        <v>4480</v>
      </c>
      <c r="AE37" s="474">
        <v>0</v>
      </c>
      <c r="AF37" s="474" t="s">
        <v>686</v>
      </c>
      <c r="AG37" s="474">
        <v>0</v>
      </c>
      <c r="AH37" s="474">
        <v>0</v>
      </c>
      <c r="AI37" s="474">
        <v>0</v>
      </c>
      <c r="AJ37" s="474">
        <v>0</v>
      </c>
      <c r="AK37" s="474">
        <v>0</v>
      </c>
      <c r="AL37" s="474">
        <v>0</v>
      </c>
      <c r="AM37" s="474">
        <v>0</v>
      </c>
      <c r="AN37" s="474">
        <v>0</v>
      </c>
      <c r="AO37" s="474">
        <v>0</v>
      </c>
      <c r="AP37" s="474">
        <v>0</v>
      </c>
      <c r="AQ37" s="477"/>
      <c r="AR37" s="477"/>
      <c r="AS37" s="477"/>
      <c r="AT37" s="477"/>
      <c r="AU37" s="477"/>
      <c r="AV37" s="477"/>
      <c r="AW37" s="477"/>
      <c r="AX37" s="477"/>
      <c r="AY37" s="477"/>
      <c r="AZ37" s="477"/>
      <c r="BA37" s="477"/>
    </row>
    <row r="38" spans="1:53" s="478" customFormat="1" ht="20.25" customHeight="1">
      <c r="A38" s="474">
        <v>18</v>
      </c>
      <c r="B38" s="474"/>
      <c r="C38" s="474"/>
      <c r="D38" s="474" t="s">
        <v>709</v>
      </c>
      <c r="E38" s="474">
        <v>1</v>
      </c>
      <c r="F38" s="474" t="s">
        <v>710</v>
      </c>
      <c r="G38" s="474" t="s">
        <v>392</v>
      </c>
      <c r="H38" s="474"/>
      <c r="I38" s="474"/>
      <c r="J38" s="474" t="s">
        <v>130</v>
      </c>
      <c r="K38" s="474"/>
      <c r="L38" s="474" t="s">
        <v>711</v>
      </c>
      <c r="M38" s="474"/>
      <c r="N38" s="474"/>
      <c r="O38" s="474">
        <v>210350</v>
      </c>
      <c r="P38" s="474"/>
      <c r="Q38" s="474"/>
      <c r="R38" s="474">
        <v>0</v>
      </c>
      <c r="S38" s="474">
        <v>0</v>
      </c>
      <c r="T38" s="474">
        <v>0</v>
      </c>
      <c r="U38" s="474">
        <v>0</v>
      </c>
      <c r="V38" s="474">
        <v>114095</v>
      </c>
      <c r="W38" s="474">
        <v>114095</v>
      </c>
      <c r="X38" s="474">
        <v>100</v>
      </c>
      <c r="Y38" s="474">
        <v>0</v>
      </c>
      <c r="Z38" s="474">
        <v>0</v>
      </c>
      <c r="AA38" s="474">
        <v>7870</v>
      </c>
      <c r="AB38" s="474">
        <v>0</v>
      </c>
      <c r="AC38" s="474">
        <v>0</v>
      </c>
      <c r="AD38" s="474">
        <v>7870</v>
      </c>
      <c r="AE38" s="474">
        <v>0</v>
      </c>
      <c r="AF38" s="474" t="s">
        <v>787</v>
      </c>
      <c r="AG38" s="474">
        <v>0</v>
      </c>
      <c r="AH38" s="474">
        <v>0</v>
      </c>
      <c r="AI38" s="474">
        <v>0</v>
      </c>
      <c r="AJ38" s="474">
        <v>0</v>
      </c>
      <c r="AK38" s="474">
        <v>0</v>
      </c>
      <c r="AL38" s="474">
        <v>0</v>
      </c>
      <c r="AM38" s="474">
        <v>0</v>
      </c>
      <c r="AN38" s="474">
        <v>0</v>
      </c>
      <c r="AO38" s="474">
        <v>0</v>
      </c>
      <c r="AP38" s="474">
        <v>0</v>
      </c>
      <c r="AQ38" s="477"/>
      <c r="AR38" s="477"/>
      <c r="AS38" s="477"/>
      <c r="AT38" s="477"/>
      <c r="AU38" s="477"/>
      <c r="AV38" s="477"/>
      <c r="AW38" s="477"/>
      <c r="AX38" s="477"/>
      <c r="AY38" s="477"/>
      <c r="AZ38" s="477"/>
      <c r="BA38" s="477"/>
    </row>
    <row r="39" spans="1:53" s="478" customFormat="1" ht="17.25" customHeight="1">
      <c r="A39" s="474">
        <v>19</v>
      </c>
      <c r="B39" s="474"/>
      <c r="C39" s="474"/>
      <c r="D39" s="474" t="s">
        <v>712</v>
      </c>
      <c r="E39" s="474">
        <v>1</v>
      </c>
      <c r="F39" s="474" t="s">
        <v>710</v>
      </c>
      <c r="G39" s="474" t="s">
        <v>392</v>
      </c>
      <c r="H39" s="474"/>
      <c r="I39" s="474"/>
      <c r="J39" s="474" t="s">
        <v>130</v>
      </c>
      <c r="K39" s="474"/>
      <c r="L39" s="474" t="s">
        <v>711</v>
      </c>
      <c r="M39" s="474"/>
      <c r="N39" s="474"/>
      <c r="O39" s="474">
        <v>124350</v>
      </c>
      <c r="P39" s="474"/>
      <c r="Q39" s="474"/>
      <c r="R39" s="474">
        <v>0</v>
      </c>
      <c r="S39" s="474">
        <v>0</v>
      </c>
      <c r="T39" s="474">
        <v>0</v>
      </c>
      <c r="U39" s="474">
        <v>0</v>
      </c>
      <c r="V39" s="474">
        <v>114095</v>
      </c>
      <c r="W39" s="474">
        <v>114095</v>
      </c>
      <c r="X39" s="474">
        <v>100</v>
      </c>
      <c r="Y39" s="474">
        <v>0</v>
      </c>
      <c r="Z39" s="474">
        <v>0</v>
      </c>
      <c r="AA39" s="474">
        <v>4750</v>
      </c>
      <c r="AB39" s="474">
        <v>0</v>
      </c>
      <c r="AC39" s="474">
        <v>0</v>
      </c>
      <c r="AD39" s="474">
        <v>4750</v>
      </c>
      <c r="AE39" s="474">
        <v>0</v>
      </c>
      <c r="AF39" s="474" t="s">
        <v>787</v>
      </c>
      <c r="AG39" s="474">
        <v>0</v>
      </c>
      <c r="AH39" s="474">
        <v>0</v>
      </c>
      <c r="AI39" s="474">
        <v>0</v>
      </c>
      <c r="AJ39" s="474">
        <v>0</v>
      </c>
      <c r="AK39" s="474">
        <v>0</v>
      </c>
      <c r="AL39" s="474">
        <v>0</v>
      </c>
      <c r="AM39" s="474">
        <v>0</v>
      </c>
      <c r="AN39" s="474">
        <v>0</v>
      </c>
      <c r="AO39" s="474">
        <v>0</v>
      </c>
      <c r="AP39" s="474">
        <v>0</v>
      </c>
      <c r="AQ39" s="477"/>
      <c r="AR39" s="477"/>
      <c r="AS39" s="477"/>
      <c r="AT39" s="477"/>
      <c r="AU39" s="477"/>
      <c r="AV39" s="477"/>
      <c r="AW39" s="477"/>
      <c r="AX39" s="477"/>
      <c r="AY39" s="477"/>
      <c r="AZ39" s="477"/>
      <c r="BA39" s="477"/>
    </row>
    <row r="40" spans="1:53" s="478" customFormat="1" ht="16.5">
      <c r="A40" s="474">
        <v>20</v>
      </c>
      <c r="B40" s="474"/>
      <c r="C40" s="474"/>
      <c r="D40" s="474" t="s">
        <v>713</v>
      </c>
      <c r="E40" s="474">
        <v>1</v>
      </c>
      <c r="F40" s="474" t="s">
        <v>714</v>
      </c>
      <c r="G40" s="474" t="s">
        <v>684</v>
      </c>
      <c r="H40" s="474"/>
      <c r="I40" s="474"/>
      <c r="J40" s="474" t="s">
        <v>130</v>
      </c>
      <c r="K40" s="474"/>
      <c r="L40" s="474" t="s">
        <v>715</v>
      </c>
      <c r="M40" s="474"/>
      <c r="N40" s="474"/>
      <c r="O40" s="474">
        <v>135000</v>
      </c>
      <c r="P40" s="474"/>
      <c r="Q40" s="474"/>
      <c r="R40" s="474">
        <v>0</v>
      </c>
      <c r="S40" s="474">
        <v>0</v>
      </c>
      <c r="T40" s="474">
        <v>0</v>
      </c>
      <c r="U40" s="474">
        <v>0</v>
      </c>
      <c r="V40" s="474">
        <v>114095</v>
      </c>
      <c r="W40" s="474">
        <v>114095</v>
      </c>
      <c r="X40" s="474">
        <v>100</v>
      </c>
      <c r="Y40" s="474">
        <v>0</v>
      </c>
      <c r="Z40" s="474">
        <v>0</v>
      </c>
      <c r="AA40" s="474">
        <v>750</v>
      </c>
      <c r="AB40" s="474">
        <v>0</v>
      </c>
      <c r="AC40" s="474">
        <v>0</v>
      </c>
      <c r="AD40" s="474">
        <v>750</v>
      </c>
      <c r="AE40" s="474">
        <v>0</v>
      </c>
      <c r="AF40" s="474" t="s">
        <v>686</v>
      </c>
      <c r="AG40" s="474">
        <v>0</v>
      </c>
      <c r="AH40" s="474">
        <v>0</v>
      </c>
      <c r="AI40" s="474">
        <v>0</v>
      </c>
      <c r="AJ40" s="474">
        <v>0</v>
      </c>
      <c r="AK40" s="474">
        <v>0</v>
      </c>
      <c r="AL40" s="474">
        <v>0</v>
      </c>
      <c r="AM40" s="474">
        <v>0</v>
      </c>
      <c r="AN40" s="474">
        <v>0</v>
      </c>
      <c r="AO40" s="474">
        <v>0</v>
      </c>
      <c r="AP40" s="474">
        <v>0</v>
      </c>
      <c r="AQ40" s="477"/>
      <c r="AR40" s="477"/>
      <c r="AS40" s="477"/>
      <c r="AT40" s="477"/>
      <c r="AU40" s="477"/>
      <c r="AV40" s="477"/>
      <c r="AW40" s="477"/>
      <c r="AX40" s="477"/>
      <c r="AY40" s="477"/>
      <c r="AZ40" s="477"/>
      <c r="BA40" s="477"/>
    </row>
    <row r="41" spans="1:53" s="478" customFormat="1" ht="16.5">
      <c r="A41" s="474">
        <v>21</v>
      </c>
      <c r="B41" s="474"/>
      <c r="C41" s="474"/>
      <c r="D41" s="474" t="s">
        <v>716</v>
      </c>
      <c r="E41" s="474">
        <v>1</v>
      </c>
      <c r="F41" s="474"/>
      <c r="G41" s="474"/>
      <c r="H41" s="474"/>
      <c r="I41" s="474"/>
      <c r="J41" s="474"/>
      <c r="K41" s="474"/>
      <c r="L41" s="474"/>
      <c r="M41" s="474"/>
      <c r="N41" s="474"/>
      <c r="O41" s="474">
        <v>112100</v>
      </c>
      <c r="P41" s="474"/>
      <c r="Q41" s="474"/>
      <c r="R41" s="474">
        <v>0</v>
      </c>
      <c r="S41" s="474">
        <v>0</v>
      </c>
      <c r="T41" s="474">
        <v>0</v>
      </c>
      <c r="U41" s="474">
        <v>0</v>
      </c>
      <c r="V41" s="474">
        <v>114095</v>
      </c>
      <c r="W41" s="474">
        <v>114095</v>
      </c>
      <c r="X41" s="474">
        <v>100</v>
      </c>
      <c r="Y41" s="474">
        <v>0</v>
      </c>
      <c r="Z41" s="474">
        <v>0</v>
      </c>
      <c r="AA41" s="474">
        <v>4750</v>
      </c>
      <c r="AB41" s="474">
        <v>0</v>
      </c>
      <c r="AC41" s="474">
        <v>0</v>
      </c>
      <c r="AD41" s="474">
        <v>5870</v>
      </c>
      <c r="AE41" s="474">
        <v>0</v>
      </c>
      <c r="AF41" s="474" t="s">
        <v>788</v>
      </c>
      <c r="AG41" s="474">
        <v>0</v>
      </c>
      <c r="AH41" s="474">
        <v>0</v>
      </c>
      <c r="AI41" s="474">
        <v>0</v>
      </c>
      <c r="AJ41" s="474">
        <v>0</v>
      </c>
      <c r="AK41" s="474">
        <v>0</v>
      </c>
      <c r="AL41" s="474">
        <v>0</v>
      </c>
      <c r="AM41" s="474">
        <v>0</v>
      </c>
      <c r="AN41" s="474">
        <v>0</v>
      </c>
      <c r="AO41" s="474">
        <v>0</v>
      </c>
      <c r="AP41" s="474">
        <v>0</v>
      </c>
      <c r="AQ41" s="477"/>
      <c r="AR41" s="477"/>
      <c r="AS41" s="477"/>
      <c r="AT41" s="477"/>
      <c r="AU41" s="477"/>
      <c r="AV41" s="477"/>
      <c r="AW41" s="477"/>
      <c r="AX41" s="477"/>
      <c r="AY41" s="477"/>
      <c r="AZ41" s="477"/>
      <c r="BA41" s="477"/>
    </row>
    <row r="42" spans="1:53" s="478" customFormat="1" ht="16.5">
      <c r="A42" s="474">
        <v>22</v>
      </c>
      <c r="B42" s="474"/>
      <c r="C42" s="474"/>
      <c r="D42" s="474" t="s">
        <v>789</v>
      </c>
      <c r="E42" s="474">
        <v>1</v>
      </c>
      <c r="F42" s="474" t="s">
        <v>790</v>
      </c>
      <c r="G42" s="474" t="s">
        <v>684</v>
      </c>
      <c r="H42" s="474"/>
      <c r="I42" s="474"/>
      <c r="J42" s="474" t="s">
        <v>130</v>
      </c>
      <c r="K42" s="474"/>
      <c r="L42" s="474" t="s">
        <v>791</v>
      </c>
      <c r="M42" s="474"/>
      <c r="N42" s="474"/>
      <c r="O42" s="474">
        <v>210000</v>
      </c>
      <c r="P42" s="474"/>
      <c r="Q42" s="474"/>
      <c r="R42" s="474">
        <v>0</v>
      </c>
      <c r="S42" s="474">
        <v>0</v>
      </c>
      <c r="T42" s="474">
        <v>0</v>
      </c>
      <c r="U42" s="474">
        <v>0</v>
      </c>
      <c r="V42" s="474">
        <v>114095</v>
      </c>
      <c r="W42" s="474">
        <v>114095</v>
      </c>
      <c r="X42" s="474">
        <v>100</v>
      </c>
      <c r="Y42" s="474">
        <v>0</v>
      </c>
      <c r="Z42" s="474">
        <v>0</v>
      </c>
      <c r="AA42" s="474">
        <v>0</v>
      </c>
      <c r="AB42" s="474">
        <v>55</v>
      </c>
      <c r="AC42" s="474">
        <v>0</v>
      </c>
      <c r="AD42" s="474">
        <v>55</v>
      </c>
      <c r="AE42" s="474">
        <v>0</v>
      </c>
      <c r="AF42" s="474" t="s">
        <v>792</v>
      </c>
      <c r="AG42" s="474">
        <v>0</v>
      </c>
      <c r="AH42" s="474">
        <v>0</v>
      </c>
      <c r="AI42" s="474">
        <v>0</v>
      </c>
      <c r="AJ42" s="474">
        <v>0</v>
      </c>
      <c r="AK42" s="474">
        <v>0</v>
      </c>
      <c r="AL42" s="474">
        <v>0</v>
      </c>
      <c r="AM42" s="474">
        <v>0</v>
      </c>
      <c r="AN42" s="474">
        <v>0</v>
      </c>
      <c r="AO42" s="474">
        <v>0</v>
      </c>
      <c r="AP42" s="474">
        <v>0</v>
      </c>
      <c r="AQ42" s="477"/>
      <c r="AR42" s="477"/>
      <c r="AS42" s="477"/>
      <c r="AT42" s="477"/>
      <c r="AU42" s="477"/>
      <c r="AV42" s="477"/>
      <c r="AW42" s="477"/>
      <c r="AX42" s="477"/>
      <c r="AY42" s="477"/>
      <c r="AZ42" s="477"/>
      <c r="BA42" s="477"/>
    </row>
    <row r="43" spans="1:53" s="478" customFormat="1" ht="16.5">
      <c r="A43" s="474">
        <v>23</v>
      </c>
      <c r="B43" s="474"/>
      <c r="C43" s="474"/>
      <c r="D43" s="474" t="s">
        <v>885</v>
      </c>
      <c r="E43" s="474">
        <v>1</v>
      </c>
      <c r="F43" s="474" t="s">
        <v>886</v>
      </c>
      <c r="G43" s="474" t="s">
        <v>669</v>
      </c>
      <c r="H43" s="474"/>
      <c r="I43" s="474"/>
      <c r="J43" s="474" t="s">
        <v>130</v>
      </c>
      <c r="K43" s="474"/>
      <c r="L43" s="474" t="s">
        <v>887</v>
      </c>
      <c r="M43" s="474"/>
      <c r="N43" s="474"/>
      <c r="O43" s="474">
        <v>39200</v>
      </c>
      <c r="P43" s="474">
        <v>190000</v>
      </c>
      <c r="Q43" s="474"/>
      <c r="R43" s="474">
        <v>0</v>
      </c>
      <c r="S43" s="474">
        <v>0</v>
      </c>
      <c r="T43" s="474">
        <v>0</v>
      </c>
      <c r="U43" s="474">
        <v>0</v>
      </c>
      <c r="V43" s="474">
        <v>114095</v>
      </c>
      <c r="W43" s="474">
        <v>114095</v>
      </c>
      <c r="X43" s="474">
        <v>100</v>
      </c>
      <c r="Y43" s="474">
        <v>0</v>
      </c>
      <c r="Z43" s="474">
        <v>0</v>
      </c>
      <c r="AA43" s="474">
        <v>510</v>
      </c>
      <c r="AB43" s="474">
        <v>0</v>
      </c>
      <c r="AC43" s="474">
        <v>0</v>
      </c>
      <c r="AD43" s="474">
        <v>0</v>
      </c>
      <c r="AE43" s="474">
        <v>0</v>
      </c>
      <c r="AF43" s="474" t="s">
        <v>788</v>
      </c>
      <c r="AG43" s="474">
        <v>0</v>
      </c>
      <c r="AH43" s="474">
        <v>0</v>
      </c>
      <c r="AI43" s="474">
        <v>0</v>
      </c>
      <c r="AJ43" s="474">
        <v>0</v>
      </c>
      <c r="AK43" s="474">
        <v>0</v>
      </c>
      <c r="AL43" s="474">
        <v>0</v>
      </c>
      <c r="AM43" s="474">
        <v>0</v>
      </c>
      <c r="AN43" s="474">
        <v>0</v>
      </c>
      <c r="AO43" s="474">
        <v>0</v>
      </c>
      <c r="AP43" s="474">
        <v>0</v>
      </c>
      <c r="AQ43" s="477"/>
      <c r="AR43" s="477"/>
      <c r="AS43" s="477"/>
      <c r="AT43" s="477"/>
      <c r="AU43" s="477"/>
      <c r="AV43" s="477"/>
      <c r="AW43" s="477"/>
      <c r="AX43" s="477"/>
      <c r="AY43" s="477"/>
      <c r="AZ43" s="477"/>
      <c r="BA43" s="477"/>
    </row>
    <row r="44" spans="1:53" s="478" customFormat="1" ht="16.5">
      <c r="A44" s="474">
        <v>24</v>
      </c>
      <c r="B44" s="474"/>
      <c r="C44" s="474"/>
      <c r="D44" s="474" t="s">
        <v>718</v>
      </c>
      <c r="E44" s="474">
        <v>1</v>
      </c>
      <c r="F44" s="474"/>
      <c r="G44" s="474" t="s">
        <v>717</v>
      </c>
      <c r="H44" s="474"/>
      <c r="I44" s="474"/>
      <c r="J44" s="474"/>
      <c r="K44" s="474"/>
      <c r="L44" s="474"/>
      <c r="M44" s="474"/>
      <c r="N44" s="474"/>
      <c r="O44" s="474">
        <v>775000</v>
      </c>
      <c r="P44" s="474"/>
      <c r="Q44" s="474"/>
      <c r="R44" s="474"/>
      <c r="S44" s="474"/>
      <c r="T44" s="474"/>
      <c r="U44" s="474"/>
      <c r="V44" s="474">
        <v>114095</v>
      </c>
      <c r="W44" s="474">
        <v>9765</v>
      </c>
      <c r="X44" s="474">
        <v>8.56</v>
      </c>
      <c r="Y44" s="474"/>
      <c r="Z44" s="474"/>
      <c r="AA44" s="474"/>
      <c r="AB44" s="474"/>
      <c r="AC44" s="474"/>
      <c r="AD44" s="474"/>
      <c r="AE44" s="474">
        <v>3428</v>
      </c>
      <c r="AF44" s="474"/>
      <c r="AG44" s="474"/>
      <c r="AH44" s="474"/>
      <c r="AI44" s="474"/>
      <c r="AJ44" s="474"/>
      <c r="AK44" s="474"/>
      <c r="AL44" s="474"/>
      <c r="AM44" s="474"/>
      <c r="AN44" s="474"/>
      <c r="AO44" s="474"/>
      <c r="AP44" s="474"/>
      <c r="AQ44" s="477"/>
      <c r="AR44" s="477"/>
      <c r="AS44" s="477"/>
      <c r="AT44" s="477"/>
      <c r="AU44" s="477"/>
      <c r="AV44" s="477"/>
      <c r="AW44" s="477"/>
      <c r="AX44" s="477"/>
      <c r="AY44" s="477"/>
      <c r="AZ44" s="477"/>
      <c r="BA44" s="477"/>
    </row>
    <row r="45" spans="1:53" s="478" customFormat="1" ht="16.5">
      <c r="A45" s="474">
        <v>25</v>
      </c>
      <c r="B45" s="474"/>
      <c r="C45" s="474"/>
      <c r="D45" s="474" t="s">
        <v>720</v>
      </c>
      <c r="E45" s="474">
        <v>1</v>
      </c>
      <c r="F45" s="474"/>
      <c r="G45" s="474" t="s">
        <v>719</v>
      </c>
      <c r="H45" s="474"/>
      <c r="I45" s="474"/>
      <c r="J45" s="474"/>
      <c r="K45" s="474"/>
      <c r="L45" s="474"/>
      <c r="M45" s="474"/>
      <c r="N45" s="474"/>
      <c r="O45" s="474">
        <v>1807000</v>
      </c>
      <c r="P45" s="474"/>
      <c r="Q45" s="474"/>
      <c r="R45" s="474"/>
      <c r="S45" s="474"/>
      <c r="T45" s="474"/>
      <c r="U45" s="474"/>
      <c r="V45" s="474">
        <v>114095</v>
      </c>
      <c r="W45" s="474">
        <v>10153</v>
      </c>
      <c r="X45" s="474">
        <v>8.9</v>
      </c>
      <c r="Y45" s="474"/>
      <c r="Z45" s="474"/>
      <c r="AA45" s="474"/>
      <c r="AB45" s="474"/>
      <c r="AC45" s="474"/>
      <c r="AD45" s="474"/>
      <c r="AE45" s="474">
        <v>3276</v>
      </c>
      <c r="AF45" s="474"/>
      <c r="AG45" s="474"/>
      <c r="AH45" s="474"/>
      <c r="AI45" s="474"/>
      <c r="AJ45" s="474"/>
      <c r="AK45" s="474"/>
      <c r="AL45" s="474"/>
      <c r="AM45" s="474"/>
      <c r="AN45" s="474"/>
      <c r="AO45" s="474"/>
      <c r="AP45" s="474"/>
      <c r="AQ45" s="477"/>
      <c r="AR45" s="477"/>
      <c r="AS45" s="477"/>
      <c r="AT45" s="477"/>
      <c r="AU45" s="477"/>
      <c r="AV45" s="477"/>
      <c r="AW45" s="477"/>
      <c r="AX45" s="477"/>
      <c r="AY45" s="477"/>
      <c r="AZ45" s="477"/>
      <c r="BA45" s="477"/>
    </row>
    <row r="46" spans="1:53" s="478" customFormat="1" ht="16.5">
      <c r="A46" s="474">
        <v>26</v>
      </c>
      <c r="B46" s="474"/>
      <c r="C46" s="474"/>
      <c r="D46" s="474" t="s">
        <v>720</v>
      </c>
      <c r="E46" s="474">
        <v>1</v>
      </c>
      <c r="F46" s="474"/>
      <c r="G46" s="474" t="s">
        <v>719</v>
      </c>
      <c r="H46" s="474"/>
      <c r="I46" s="474"/>
      <c r="J46" s="474"/>
      <c r="K46" s="474"/>
      <c r="L46" s="474"/>
      <c r="M46" s="474"/>
      <c r="N46" s="474"/>
      <c r="O46" s="474">
        <v>485000</v>
      </c>
      <c r="P46" s="474"/>
      <c r="Q46" s="474"/>
      <c r="R46" s="474"/>
      <c r="S46" s="474"/>
      <c r="T46" s="474"/>
      <c r="U46" s="474"/>
      <c r="V46" s="474">
        <v>114095</v>
      </c>
      <c r="W46" s="474">
        <v>29388</v>
      </c>
      <c r="X46" s="474">
        <v>25.76</v>
      </c>
      <c r="Y46" s="474"/>
      <c r="Z46" s="474"/>
      <c r="AA46" s="474"/>
      <c r="AB46" s="474"/>
      <c r="AC46" s="474"/>
      <c r="AD46" s="474"/>
      <c r="AE46" s="474">
        <v>1277</v>
      </c>
      <c r="AF46" s="474"/>
      <c r="AG46" s="474"/>
      <c r="AH46" s="474"/>
      <c r="AI46" s="474"/>
      <c r="AJ46" s="474"/>
      <c r="AK46" s="474"/>
      <c r="AL46" s="474"/>
      <c r="AM46" s="474"/>
      <c r="AN46" s="474"/>
      <c r="AO46" s="474"/>
      <c r="AP46" s="474"/>
      <c r="AQ46" s="477"/>
      <c r="AR46" s="477"/>
      <c r="AS46" s="477"/>
      <c r="AT46" s="477"/>
      <c r="AU46" s="477"/>
      <c r="AV46" s="477"/>
      <c r="AW46" s="477"/>
      <c r="AX46" s="477"/>
      <c r="AY46" s="477"/>
      <c r="AZ46" s="477"/>
      <c r="BA46" s="477"/>
    </row>
    <row r="47" spans="1:53" s="478" customFormat="1" ht="33">
      <c r="A47" s="474">
        <v>27</v>
      </c>
      <c r="B47" s="474"/>
      <c r="C47" s="474"/>
      <c r="D47" s="474" t="s">
        <v>722</v>
      </c>
      <c r="E47" s="474">
        <v>1</v>
      </c>
      <c r="F47" s="474"/>
      <c r="G47" s="476" t="s">
        <v>721</v>
      </c>
      <c r="H47" s="474"/>
      <c r="I47" s="474"/>
      <c r="J47" s="474"/>
      <c r="K47" s="474"/>
      <c r="L47" s="474"/>
      <c r="M47" s="474"/>
      <c r="N47" s="474"/>
      <c r="O47" s="474">
        <v>241000</v>
      </c>
      <c r="P47" s="474"/>
      <c r="Q47" s="474"/>
      <c r="R47" s="474"/>
      <c r="S47" s="474"/>
      <c r="T47" s="474"/>
      <c r="U47" s="474"/>
      <c r="V47" s="474">
        <v>114095</v>
      </c>
      <c r="W47" s="474">
        <v>29388</v>
      </c>
      <c r="X47" s="474">
        <v>25.76</v>
      </c>
      <c r="Y47" s="474"/>
      <c r="Z47" s="474"/>
      <c r="AA47" s="474"/>
      <c r="AB47" s="474"/>
      <c r="AC47" s="474"/>
      <c r="AD47" s="474"/>
      <c r="AE47" s="474">
        <v>731</v>
      </c>
      <c r="AF47" s="474"/>
      <c r="AG47" s="474"/>
      <c r="AH47" s="474"/>
      <c r="AI47" s="474"/>
      <c r="AJ47" s="474"/>
      <c r="AK47" s="474"/>
      <c r="AL47" s="474"/>
      <c r="AM47" s="474"/>
      <c r="AN47" s="474"/>
      <c r="AO47" s="474"/>
      <c r="AP47" s="474"/>
      <c r="AQ47" s="477"/>
      <c r="AR47" s="477"/>
      <c r="AS47" s="477"/>
      <c r="AT47" s="477"/>
      <c r="AU47" s="477"/>
      <c r="AV47" s="477"/>
      <c r="AW47" s="477"/>
      <c r="AX47" s="477"/>
      <c r="AY47" s="477"/>
      <c r="AZ47" s="477"/>
      <c r="BA47" s="477"/>
    </row>
    <row r="48" spans="1:53" s="478" customFormat="1" ht="33">
      <c r="A48" s="474">
        <v>28</v>
      </c>
      <c r="B48" s="474"/>
      <c r="C48" s="474"/>
      <c r="D48" s="474" t="s">
        <v>723</v>
      </c>
      <c r="E48" s="474">
        <v>1</v>
      </c>
      <c r="F48" s="474"/>
      <c r="G48" s="476" t="s">
        <v>721</v>
      </c>
      <c r="H48" s="474"/>
      <c r="I48" s="474"/>
      <c r="J48" s="474"/>
      <c r="K48" s="474"/>
      <c r="L48" s="474"/>
      <c r="M48" s="474"/>
      <c r="N48" s="474"/>
      <c r="O48" s="474">
        <v>800000</v>
      </c>
      <c r="P48" s="474"/>
      <c r="Q48" s="474"/>
      <c r="R48" s="474"/>
      <c r="S48" s="474"/>
      <c r="T48" s="474"/>
      <c r="U48" s="474"/>
      <c r="V48" s="474">
        <v>114095</v>
      </c>
      <c r="W48" s="474">
        <v>29388</v>
      </c>
      <c r="X48" s="474">
        <v>25.76</v>
      </c>
      <c r="Y48" s="474"/>
      <c r="Z48" s="474"/>
      <c r="AA48" s="474"/>
      <c r="AB48" s="474"/>
      <c r="AC48" s="474"/>
      <c r="AD48" s="474"/>
      <c r="AE48" s="474">
        <v>1465</v>
      </c>
      <c r="AF48" s="474"/>
      <c r="AG48" s="474"/>
      <c r="AH48" s="474"/>
      <c r="AI48" s="474"/>
      <c r="AJ48" s="474"/>
      <c r="AK48" s="474"/>
      <c r="AL48" s="474"/>
      <c r="AM48" s="474"/>
      <c r="AN48" s="474"/>
      <c r="AO48" s="474"/>
      <c r="AP48" s="474"/>
      <c r="AQ48" s="477"/>
      <c r="AR48" s="477"/>
      <c r="AS48" s="477"/>
      <c r="AT48" s="477"/>
      <c r="AU48" s="477"/>
      <c r="AV48" s="477"/>
      <c r="AW48" s="477"/>
      <c r="AX48" s="477"/>
      <c r="AY48" s="477"/>
      <c r="AZ48" s="477"/>
      <c r="BA48" s="477"/>
    </row>
    <row r="49" spans="1:53" s="478" customFormat="1" ht="16.5">
      <c r="A49" s="474">
        <v>29</v>
      </c>
      <c r="B49" s="474"/>
      <c r="C49" s="474"/>
      <c r="D49" s="474" t="s">
        <v>724</v>
      </c>
      <c r="E49" s="474">
        <v>1</v>
      </c>
      <c r="F49" s="474"/>
      <c r="G49" s="474" t="s">
        <v>719</v>
      </c>
      <c r="H49" s="474"/>
      <c r="I49" s="474"/>
      <c r="J49" s="474"/>
      <c r="K49" s="474"/>
      <c r="L49" s="474"/>
      <c r="M49" s="474"/>
      <c r="N49" s="474"/>
      <c r="O49" s="474">
        <v>1571000</v>
      </c>
      <c r="P49" s="474"/>
      <c r="Q49" s="474"/>
      <c r="R49" s="474"/>
      <c r="S49" s="474"/>
      <c r="T49" s="474"/>
      <c r="U49" s="474"/>
      <c r="V49" s="474">
        <v>114095</v>
      </c>
      <c r="W49" s="474">
        <v>11631</v>
      </c>
      <c r="X49" s="474">
        <v>10.199999999999999</v>
      </c>
      <c r="Y49" s="474"/>
      <c r="Z49" s="474"/>
      <c r="AA49" s="474"/>
      <c r="AB49" s="474"/>
      <c r="AC49" s="474"/>
      <c r="AD49" s="474"/>
      <c r="AE49" s="474">
        <v>3745</v>
      </c>
      <c r="AF49" s="474"/>
      <c r="AG49" s="474"/>
      <c r="AH49" s="474"/>
      <c r="AI49" s="474"/>
      <c r="AJ49" s="474"/>
      <c r="AK49" s="474"/>
      <c r="AL49" s="474"/>
      <c r="AM49" s="474"/>
      <c r="AN49" s="474"/>
      <c r="AO49" s="474"/>
      <c r="AP49" s="474"/>
      <c r="AQ49" s="477"/>
      <c r="AR49" s="477"/>
      <c r="AS49" s="477"/>
      <c r="AT49" s="477"/>
      <c r="AU49" s="477"/>
      <c r="AV49" s="477"/>
      <c r="AW49" s="477"/>
      <c r="AX49" s="477"/>
      <c r="AY49" s="477"/>
      <c r="AZ49" s="477"/>
      <c r="BA49" s="477"/>
    </row>
    <row r="50" spans="1:53" s="478" customFormat="1" ht="16.5">
      <c r="A50" s="474">
        <v>30</v>
      </c>
      <c r="B50" s="474"/>
      <c r="C50" s="474"/>
      <c r="D50" s="474" t="s">
        <v>724</v>
      </c>
      <c r="E50" s="474">
        <v>1</v>
      </c>
      <c r="F50" s="474"/>
      <c r="G50" s="474" t="s">
        <v>719</v>
      </c>
      <c r="H50" s="474"/>
      <c r="I50" s="474"/>
      <c r="J50" s="474"/>
      <c r="K50" s="474"/>
      <c r="L50" s="474"/>
      <c r="M50" s="474"/>
      <c r="N50" s="474"/>
      <c r="O50" s="474">
        <v>1628000</v>
      </c>
      <c r="P50" s="474"/>
      <c r="Q50" s="474"/>
      <c r="R50" s="474"/>
      <c r="S50" s="474"/>
      <c r="T50" s="474"/>
      <c r="U50" s="474"/>
      <c r="V50" s="474">
        <v>114095</v>
      </c>
      <c r="W50" s="474">
        <v>14353</v>
      </c>
      <c r="X50" s="474">
        <v>12.58</v>
      </c>
      <c r="Y50" s="474"/>
      <c r="Z50" s="474"/>
      <c r="AA50" s="474"/>
      <c r="AB50" s="474"/>
      <c r="AC50" s="474"/>
      <c r="AD50" s="474"/>
      <c r="AE50" s="474">
        <v>3126</v>
      </c>
      <c r="AF50" s="474"/>
      <c r="AG50" s="474"/>
      <c r="AH50" s="474"/>
      <c r="AI50" s="474"/>
      <c r="AJ50" s="474"/>
      <c r="AK50" s="474"/>
      <c r="AL50" s="474"/>
      <c r="AM50" s="474"/>
      <c r="AN50" s="474"/>
      <c r="AO50" s="474"/>
      <c r="AP50" s="474"/>
      <c r="AQ50" s="477"/>
      <c r="AR50" s="477"/>
      <c r="AS50" s="477"/>
      <c r="AT50" s="477"/>
      <c r="AU50" s="477"/>
      <c r="AV50" s="477"/>
      <c r="AW50" s="477"/>
      <c r="AX50" s="477"/>
      <c r="AY50" s="477"/>
      <c r="AZ50" s="477"/>
      <c r="BA50" s="477"/>
    </row>
    <row r="51" spans="1:53" s="478" customFormat="1" ht="16.5">
      <c r="A51" s="474">
        <v>31</v>
      </c>
      <c r="B51" s="474"/>
      <c r="C51" s="474"/>
      <c r="D51" s="474" t="s">
        <v>725</v>
      </c>
      <c r="E51" s="474">
        <v>1</v>
      </c>
      <c r="F51" s="474"/>
      <c r="G51" s="474" t="s">
        <v>166</v>
      </c>
      <c r="H51" s="474"/>
      <c r="I51" s="474"/>
      <c r="J51" s="474"/>
      <c r="K51" s="474"/>
      <c r="L51" s="474"/>
      <c r="M51" s="474"/>
      <c r="N51" s="474"/>
      <c r="O51" s="474">
        <v>403000</v>
      </c>
      <c r="P51" s="474"/>
      <c r="Q51" s="474"/>
      <c r="R51" s="474"/>
      <c r="S51" s="474"/>
      <c r="T51" s="474"/>
      <c r="U51" s="474"/>
      <c r="V51" s="474">
        <v>114095</v>
      </c>
      <c r="W51" s="474">
        <v>9394</v>
      </c>
      <c r="X51" s="474">
        <v>8.23</v>
      </c>
      <c r="Y51" s="474"/>
      <c r="Z51" s="474"/>
      <c r="AA51" s="474"/>
      <c r="AB51" s="474"/>
      <c r="AC51" s="474"/>
      <c r="AD51" s="474"/>
      <c r="AE51" s="474">
        <v>6563</v>
      </c>
      <c r="AF51" s="474"/>
      <c r="AG51" s="474"/>
      <c r="AH51" s="474"/>
      <c r="AI51" s="474"/>
      <c r="AJ51" s="474"/>
      <c r="AK51" s="474"/>
      <c r="AL51" s="474"/>
      <c r="AM51" s="474"/>
      <c r="AN51" s="474"/>
      <c r="AO51" s="474"/>
      <c r="AP51" s="474"/>
      <c r="AQ51" s="477"/>
      <c r="AR51" s="477"/>
      <c r="AS51" s="477"/>
      <c r="AT51" s="477"/>
      <c r="AU51" s="477"/>
      <c r="AV51" s="477"/>
      <c r="AW51" s="477"/>
      <c r="AX51" s="477"/>
      <c r="AY51" s="477"/>
      <c r="AZ51" s="477"/>
      <c r="BA51" s="477"/>
    </row>
    <row r="52" spans="1:53" s="478" customFormat="1" ht="16.5">
      <c r="A52" s="474">
        <v>32</v>
      </c>
      <c r="B52" s="474"/>
      <c r="C52" s="474"/>
      <c r="D52" s="474" t="s">
        <v>725</v>
      </c>
      <c r="E52" s="474">
        <v>1</v>
      </c>
      <c r="F52" s="474"/>
      <c r="G52" s="474" t="s">
        <v>166</v>
      </c>
      <c r="H52" s="474"/>
      <c r="I52" s="474"/>
      <c r="J52" s="474"/>
      <c r="K52" s="474"/>
      <c r="L52" s="474"/>
      <c r="M52" s="474"/>
      <c r="N52" s="474"/>
      <c r="O52" s="474">
        <v>362000</v>
      </c>
      <c r="P52" s="474"/>
      <c r="Q52" s="474"/>
      <c r="R52" s="474"/>
      <c r="S52" s="474"/>
      <c r="T52" s="474"/>
      <c r="U52" s="474"/>
      <c r="V52" s="474"/>
      <c r="W52" s="474"/>
      <c r="X52" s="474"/>
      <c r="Y52" s="474"/>
      <c r="Z52" s="474"/>
      <c r="AA52" s="474"/>
      <c r="AB52" s="474"/>
      <c r="AC52" s="474"/>
      <c r="AD52" s="474"/>
      <c r="AE52" s="474">
        <v>5891</v>
      </c>
      <c r="AF52" s="474"/>
      <c r="AG52" s="474"/>
      <c r="AH52" s="474"/>
      <c r="AI52" s="474"/>
      <c r="AJ52" s="474"/>
      <c r="AK52" s="474"/>
      <c r="AL52" s="474"/>
      <c r="AM52" s="474"/>
      <c r="AN52" s="474"/>
      <c r="AO52" s="474"/>
      <c r="AP52" s="474"/>
      <c r="AQ52" s="477"/>
      <c r="AR52" s="477"/>
      <c r="AS52" s="477"/>
      <c r="AT52" s="477"/>
      <c r="AU52" s="477"/>
      <c r="AV52" s="477"/>
      <c r="AW52" s="477"/>
      <c r="AX52" s="477"/>
      <c r="AY52" s="477"/>
      <c r="AZ52" s="477"/>
      <c r="BA52" s="477"/>
    </row>
    <row r="53" spans="1:53" s="478" customFormat="1" ht="33">
      <c r="A53" s="474">
        <v>33</v>
      </c>
      <c r="B53" s="474"/>
      <c r="C53" s="474"/>
      <c r="D53" s="474" t="s">
        <v>727</v>
      </c>
      <c r="E53" s="474">
        <v>1</v>
      </c>
      <c r="F53" s="474" t="s">
        <v>726</v>
      </c>
      <c r="G53" s="474" t="s">
        <v>166</v>
      </c>
      <c r="H53" s="476" t="s">
        <v>728</v>
      </c>
      <c r="I53" s="474"/>
      <c r="J53" s="474"/>
      <c r="K53" s="474"/>
      <c r="L53" s="474"/>
      <c r="M53" s="474"/>
      <c r="N53" s="474"/>
      <c r="O53" s="474">
        <v>535000</v>
      </c>
      <c r="P53" s="474"/>
      <c r="Q53" s="474"/>
      <c r="R53" s="474"/>
      <c r="S53" s="474"/>
      <c r="T53" s="474"/>
      <c r="U53" s="474"/>
      <c r="V53" s="474">
        <v>114095</v>
      </c>
      <c r="W53" s="474">
        <v>12151</v>
      </c>
      <c r="X53" s="474">
        <v>10.65</v>
      </c>
      <c r="Y53" s="474"/>
      <c r="Z53" s="474"/>
      <c r="AA53" s="474"/>
      <c r="AB53" s="474"/>
      <c r="AC53" s="474"/>
      <c r="AD53" s="474"/>
      <c r="AE53" s="474">
        <v>8337</v>
      </c>
      <c r="AF53" s="474"/>
      <c r="AG53" s="474"/>
      <c r="AH53" s="474"/>
      <c r="AI53" s="474"/>
      <c r="AJ53" s="474"/>
      <c r="AK53" s="474"/>
      <c r="AL53" s="474"/>
      <c r="AM53" s="474"/>
      <c r="AN53" s="474"/>
      <c r="AO53" s="474"/>
      <c r="AP53" s="474"/>
      <c r="AQ53" s="477"/>
      <c r="AR53" s="477"/>
      <c r="AS53" s="477"/>
      <c r="AT53" s="477"/>
      <c r="AU53" s="477"/>
      <c r="AV53" s="477"/>
      <c r="AW53" s="477"/>
      <c r="AX53" s="477"/>
      <c r="AY53" s="477"/>
      <c r="AZ53" s="477"/>
      <c r="BA53" s="477"/>
    </row>
    <row r="54" spans="1:53" s="478" customFormat="1" ht="33">
      <c r="A54" s="474">
        <v>34</v>
      </c>
      <c r="B54" s="474"/>
      <c r="C54" s="474"/>
      <c r="D54" s="474" t="s">
        <v>727</v>
      </c>
      <c r="E54" s="474">
        <v>1</v>
      </c>
      <c r="F54" s="474" t="s">
        <v>729</v>
      </c>
      <c r="G54" s="474" t="s">
        <v>166</v>
      </c>
      <c r="H54" s="476" t="s">
        <v>728</v>
      </c>
      <c r="I54" s="474"/>
      <c r="J54" s="474"/>
      <c r="K54" s="474"/>
      <c r="L54" s="474"/>
      <c r="M54" s="474"/>
      <c r="N54" s="474"/>
      <c r="O54" s="474">
        <v>531000</v>
      </c>
      <c r="P54" s="474"/>
      <c r="Q54" s="474"/>
      <c r="R54" s="474"/>
      <c r="S54" s="474"/>
      <c r="T54" s="474"/>
      <c r="U54" s="474"/>
      <c r="V54" s="474">
        <v>114095</v>
      </c>
      <c r="W54" s="474">
        <v>5570</v>
      </c>
      <c r="X54" s="474">
        <v>4.88</v>
      </c>
      <c r="Y54" s="474"/>
      <c r="Z54" s="474"/>
      <c r="AA54" s="474"/>
      <c r="AB54" s="474"/>
      <c r="AC54" s="474"/>
      <c r="AD54" s="474"/>
      <c r="AE54" s="474">
        <v>8274</v>
      </c>
      <c r="AF54" s="474"/>
      <c r="AG54" s="474"/>
      <c r="AH54" s="474"/>
      <c r="AI54" s="474"/>
      <c r="AJ54" s="474"/>
      <c r="AK54" s="474"/>
      <c r="AL54" s="474"/>
      <c r="AM54" s="474"/>
      <c r="AN54" s="474"/>
      <c r="AO54" s="474"/>
      <c r="AP54" s="474"/>
      <c r="AQ54" s="477"/>
      <c r="AR54" s="477"/>
      <c r="AS54" s="477"/>
      <c r="AT54" s="477"/>
      <c r="AU54" s="477"/>
      <c r="AV54" s="477"/>
      <c r="AW54" s="477"/>
      <c r="AX54" s="477"/>
      <c r="AY54" s="477"/>
      <c r="AZ54" s="477"/>
      <c r="BA54" s="477"/>
    </row>
    <row r="55" spans="1:53" s="478" customFormat="1" ht="16.5">
      <c r="A55" s="474">
        <v>35</v>
      </c>
      <c r="B55" s="474"/>
      <c r="C55" s="474"/>
      <c r="D55" s="474" t="s">
        <v>730</v>
      </c>
      <c r="E55" s="474">
        <v>1</v>
      </c>
      <c r="F55" s="474"/>
      <c r="G55" s="474" t="s">
        <v>166</v>
      </c>
      <c r="H55" s="474"/>
      <c r="I55" s="474"/>
      <c r="J55" s="474"/>
      <c r="K55" s="474"/>
      <c r="L55" s="474"/>
      <c r="M55" s="474"/>
      <c r="N55" s="474"/>
      <c r="O55" s="474">
        <v>876000</v>
      </c>
      <c r="P55" s="474"/>
      <c r="Q55" s="474"/>
      <c r="R55" s="474"/>
      <c r="S55" s="474"/>
      <c r="T55" s="474"/>
      <c r="U55" s="474"/>
      <c r="V55" s="474"/>
      <c r="W55" s="474"/>
      <c r="X55" s="474"/>
      <c r="Y55" s="474"/>
      <c r="Z55" s="474"/>
      <c r="AA55" s="474"/>
      <c r="AB55" s="474"/>
      <c r="AC55" s="474"/>
      <c r="AD55" s="474"/>
      <c r="AE55" s="474">
        <v>7661</v>
      </c>
      <c r="AF55" s="474"/>
      <c r="AG55" s="474"/>
      <c r="AH55" s="474"/>
      <c r="AI55" s="474"/>
      <c r="AJ55" s="474"/>
      <c r="AK55" s="474"/>
      <c r="AL55" s="474"/>
      <c r="AM55" s="474"/>
      <c r="AN55" s="474"/>
      <c r="AO55" s="474"/>
      <c r="AP55" s="474"/>
      <c r="AQ55" s="477"/>
      <c r="AR55" s="477"/>
      <c r="AS55" s="477"/>
      <c r="AT55" s="477"/>
      <c r="AU55" s="477"/>
      <c r="AV55" s="477"/>
      <c r="AW55" s="477"/>
      <c r="AX55" s="477"/>
      <c r="AY55" s="477"/>
      <c r="AZ55" s="477"/>
      <c r="BA55" s="477"/>
    </row>
    <row r="56" spans="1:53" s="478" customFormat="1" ht="16.5">
      <c r="A56" s="474">
        <v>36</v>
      </c>
      <c r="B56" s="474"/>
      <c r="C56" s="474"/>
      <c r="D56" s="474" t="s">
        <v>731</v>
      </c>
      <c r="E56" s="474">
        <v>1</v>
      </c>
      <c r="F56" s="474"/>
      <c r="G56" s="474" t="s">
        <v>166</v>
      </c>
      <c r="H56" s="474"/>
      <c r="I56" s="474"/>
      <c r="J56" s="474"/>
      <c r="K56" s="474"/>
      <c r="L56" s="474"/>
      <c r="M56" s="474"/>
      <c r="N56" s="474"/>
      <c r="O56" s="474">
        <v>630000</v>
      </c>
      <c r="P56" s="474"/>
      <c r="Q56" s="474"/>
      <c r="R56" s="474"/>
      <c r="S56" s="474"/>
      <c r="T56" s="474"/>
      <c r="U56" s="474"/>
      <c r="V56" s="474">
        <v>114095</v>
      </c>
      <c r="W56" s="474">
        <v>6187</v>
      </c>
      <c r="X56" s="474">
        <v>5.42</v>
      </c>
      <c r="Y56" s="474"/>
      <c r="Z56" s="474"/>
      <c r="AA56" s="474"/>
      <c r="AB56" s="474"/>
      <c r="AC56" s="474"/>
      <c r="AD56" s="474"/>
      <c r="AE56" s="474">
        <v>6455</v>
      </c>
      <c r="AF56" s="474"/>
      <c r="AG56" s="474"/>
      <c r="AH56" s="474"/>
      <c r="AI56" s="474"/>
      <c r="AJ56" s="474"/>
      <c r="AK56" s="474"/>
      <c r="AL56" s="474"/>
      <c r="AM56" s="474"/>
      <c r="AN56" s="474"/>
      <c r="AO56" s="474"/>
      <c r="AP56" s="474"/>
      <c r="AQ56" s="477"/>
      <c r="AR56" s="477"/>
      <c r="AS56" s="477"/>
      <c r="AT56" s="477"/>
      <c r="AU56" s="477"/>
      <c r="AV56" s="477"/>
      <c r="AW56" s="477"/>
      <c r="AX56" s="477"/>
      <c r="AY56" s="477"/>
      <c r="AZ56" s="477"/>
      <c r="BA56" s="477"/>
    </row>
    <row r="57" spans="1:53" s="478" customFormat="1" ht="16.5">
      <c r="A57" s="474">
        <v>37</v>
      </c>
      <c r="B57" s="474"/>
      <c r="C57" s="474"/>
      <c r="D57" s="474" t="s">
        <v>732</v>
      </c>
      <c r="E57" s="474">
        <v>1</v>
      </c>
      <c r="F57" s="474"/>
      <c r="G57" s="474" t="s">
        <v>166</v>
      </c>
      <c r="H57" s="474"/>
      <c r="I57" s="474"/>
      <c r="J57" s="474"/>
      <c r="K57" s="474"/>
      <c r="L57" s="474"/>
      <c r="M57" s="474"/>
      <c r="N57" s="474"/>
      <c r="O57" s="474">
        <v>726000</v>
      </c>
      <c r="P57" s="474"/>
      <c r="Q57" s="474"/>
      <c r="R57" s="474"/>
      <c r="S57" s="474"/>
      <c r="T57" s="474"/>
      <c r="U57" s="474"/>
      <c r="V57" s="474">
        <v>114095</v>
      </c>
      <c r="W57" s="474">
        <v>6310</v>
      </c>
      <c r="X57" s="474">
        <v>5.53</v>
      </c>
      <c r="Y57" s="474"/>
      <c r="Z57" s="474"/>
      <c r="AA57" s="474"/>
      <c r="AB57" s="474"/>
      <c r="AC57" s="474"/>
      <c r="AD57" s="474"/>
      <c r="AE57" s="474">
        <v>7029</v>
      </c>
      <c r="AF57" s="474"/>
      <c r="AG57" s="474"/>
      <c r="AH57" s="474"/>
      <c r="AI57" s="474"/>
      <c r="AJ57" s="474"/>
      <c r="AK57" s="474"/>
      <c r="AL57" s="474"/>
      <c r="AM57" s="474"/>
      <c r="AN57" s="474"/>
      <c r="AO57" s="474"/>
      <c r="AP57" s="474"/>
      <c r="AQ57" s="477"/>
      <c r="AR57" s="477"/>
      <c r="AS57" s="477"/>
      <c r="AT57" s="477"/>
      <c r="AU57" s="477"/>
      <c r="AV57" s="477"/>
      <c r="AW57" s="477"/>
      <c r="AX57" s="477"/>
      <c r="AY57" s="477"/>
      <c r="AZ57" s="477"/>
      <c r="BA57" s="477"/>
    </row>
    <row r="58" spans="1:53" s="478" customFormat="1" ht="16.5">
      <c r="A58" s="474">
        <v>38</v>
      </c>
      <c r="B58" s="474"/>
      <c r="C58" s="474"/>
      <c r="D58" s="474" t="s">
        <v>733</v>
      </c>
      <c r="E58" s="474">
        <v>2</v>
      </c>
      <c r="F58" s="474"/>
      <c r="G58" s="474" t="s">
        <v>664</v>
      </c>
      <c r="H58" s="474"/>
      <c r="I58" s="474"/>
      <c r="J58" s="474"/>
      <c r="K58" s="474"/>
      <c r="L58" s="474"/>
      <c r="M58" s="474"/>
      <c r="N58" s="474"/>
      <c r="O58" s="474">
        <v>127000</v>
      </c>
      <c r="P58" s="474"/>
      <c r="Q58" s="474"/>
      <c r="R58" s="474"/>
      <c r="S58" s="474"/>
      <c r="T58" s="474"/>
      <c r="U58" s="474"/>
      <c r="V58" s="474"/>
      <c r="W58" s="474"/>
      <c r="X58" s="474"/>
      <c r="Y58" s="474"/>
      <c r="Z58" s="474"/>
      <c r="AA58" s="474"/>
      <c r="AB58" s="474"/>
      <c r="AC58" s="474"/>
      <c r="AD58" s="474"/>
      <c r="AE58" s="474">
        <v>4984</v>
      </c>
      <c r="AF58" s="474"/>
      <c r="AG58" s="474"/>
      <c r="AH58" s="474"/>
      <c r="AI58" s="474"/>
      <c r="AJ58" s="474"/>
      <c r="AK58" s="474"/>
      <c r="AL58" s="474"/>
      <c r="AM58" s="474"/>
      <c r="AN58" s="474"/>
      <c r="AO58" s="474"/>
      <c r="AP58" s="474"/>
      <c r="AQ58" s="477"/>
      <c r="AR58" s="477"/>
      <c r="AS58" s="477"/>
      <c r="AT58" s="477"/>
      <c r="AU58" s="477"/>
      <c r="AV58" s="477"/>
      <c r="AW58" s="477"/>
      <c r="AX58" s="477"/>
      <c r="AY58" s="477"/>
      <c r="AZ58" s="477"/>
      <c r="BA58" s="477"/>
    </row>
    <row r="59" spans="1:53" s="478" customFormat="1" ht="16.5">
      <c r="A59" s="474">
        <v>39</v>
      </c>
      <c r="B59" s="474"/>
      <c r="C59" s="474"/>
      <c r="D59" s="474" t="s">
        <v>735</v>
      </c>
      <c r="E59" s="474">
        <v>1</v>
      </c>
      <c r="F59" s="474"/>
      <c r="G59" s="474" t="s">
        <v>734</v>
      </c>
      <c r="H59" s="474"/>
      <c r="I59" s="474"/>
      <c r="J59" s="474"/>
      <c r="K59" s="474"/>
      <c r="L59" s="474"/>
      <c r="M59" s="474"/>
      <c r="N59" s="474"/>
      <c r="O59" s="474">
        <v>230000</v>
      </c>
      <c r="P59" s="474"/>
      <c r="Q59" s="474"/>
      <c r="R59" s="474"/>
      <c r="S59" s="474"/>
      <c r="T59" s="474"/>
      <c r="U59" s="474"/>
      <c r="V59" s="474"/>
      <c r="W59" s="474"/>
      <c r="X59" s="474"/>
      <c r="Y59" s="474"/>
      <c r="Z59" s="474"/>
      <c r="AA59" s="474"/>
      <c r="AB59" s="474"/>
      <c r="AC59" s="474"/>
      <c r="AD59" s="474"/>
      <c r="AE59" s="474"/>
      <c r="AF59" s="474"/>
      <c r="AG59" s="474"/>
      <c r="AH59" s="474"/>
      <c r="AI59" s="474"/>
      <c r="AJ59" s="474"/>
      <c r="AK59" s="474"/>
      <c r="AL59" s="474"/>
      <c r="AM59" s="474"/>
      <c r="AN59" s="474"/>
      <c r="AO59" s="474"/>
      <c r="AP59" s="474"/>
      <c r="AQ59" s="477"/>
      <c r="AR59" s="477"/>
      <c r="AS59" s="477"/>
      <c r="AT59" s="477"/>
      <c r="AU59" s="477"/>
      <c r="AV59" s="477"/>
      <c r="AW59" s="477"/>
      <c r="AX59" s="477"/>
      <c r="AY59" s="477"/>
      <c r="AZ59" s="477"/>
      <c r="BA59" s="477"/>
    </row>
    <row r="60" spans="1:53" s="478" customFormat="1" ht="33">
      <c r="A60" s="474">
        <v>40</v>
      </c>
      <c r="B60" s="474"/>
      <c r="C60" s="474"/>
      <c r="D60" s="474" t="s">
        <v>737</v>
      </c>
      <c r="E60" s="474">
        <v>1</v>
      </c>
      <c r="F60" s="474" t="s">
        <v>736</v>
      </c>
      <c r="G60" s="474" t="s">
        <v>616</v>
      </c>
      <c r="H60" s="476" t="s">
        <v>728</v>
      </c>
      <c r="I60" s="474"/>
      <c r="J60" s="474"/>
      <c r="K60" s="474"/>
      <c r="L60" s="474"/>
      <c r="M60" s="474"/>
      <c r="N60" s="474"/>
      <c r="O60" s="474">
        <v>3047000</v>
      </c>
      <c r="P60" s="474"/>
      <c r="Q60" s="474"/>
      <c r="R60" s="474"/>
      <c r="S60" s="474"/>
      <c r="T60" s="474"/>
      <c r="U60" s="474"/>
      <c r="V60" s="474"/>
      <c r="W60" s="474"/>
      <c r="X60" s="474"/>
      <c r="Y60" s="474"/>
      <c r="Z60" s="474"/>
      <c r="AA60" s="474"/>
      <c r="AB60" s="474"/>
      <c r="AC60" s="474"/>
      <c r="AD60" s="474"/>
      <c r="AE60" s="474"/>
      <c r="AF60" s="474"/>
      <c r="AG60" s="474"/>
      <c r="AH60" s="474"/>
      <c r="AI60" s="474"/>
      <c r="AJ60" s="474"/>
      <c r="AK60" s="474"/>
      <c r="AL60" s="474"/>
      <c r="AM60" s="474"/>
      <c r="AN60" s="474"/>
      <c r="AO60" s="474"/>
      <c r="AP60" s="474"/>
      <c r="AQ60" s="477"/>
      <c r="AR60" s="477"/>
      <c r="AS60" s="477"/>
      <c r="AT60" s="477"/>
      <c r="AU60" s="477"/>
      <c r="AV60" s="477"/>
      <c r="AW60" s="477"/>
      <c r="AX60" s="477"/>
      <c r="AY60" s="477"/>
      <c r="AZ60" s="477"/>
      <c r="BA60" s="477"/>
    </row>
    <row r="61" spans="1:53" s="480" customFormat="1" ht="17.25">
      <c r="A61" s="479"/>
      <c r="B61" s="479" t="s">
        <v>121</v>
      </c>
      <c r="C61" s="479">
        <v>12</v>
      </c>
      <c r="D61" s="479"/>
      <c r="E61" s="479">
        <v>9</v>
      </c>
      <c r="F61" s="479"/>
      <c r="G61" s="479"/>
      <c r="H61" s="479"/>
      <c r="I61" s="479"/>
      <c r="J61" s="479"/>
      <c r="K61" s="479"/>
      <c r="L61" s="479"/>
      <c r="M61" s="479"/>
      <c r="N61" s="479"/>
      <c r="O61" s="479"/>
      <c r="P61" s="479"/>
      <c r="Q61" s="479"/>
      <c r="R61" s="479"/>
      <c r="S61" s="479"/>
      <c r="T61" s="479"/>
      <c r="U61" s="479"/>
      <c r="V61" s="479"/>
      <c r="W61" s="479"/>
      <c r="X61" s="479"/>
      <c r="Y61" s="479"/>
      <c r="Z61" s="479"/>
      <c r="AA61" s="479"/>
      <c r="AB61" s="479"/>
      <c r="AC61" s="479"/>
      <c r="AD61" s="479"/>
      <c r="AE61" s="479"/>
      <c r="AF61" s="479"/>
      <c r="AG61" s="479"/>
      <c r="AH61" s="479"/>
      <c r="AI61" s="479"/>
      <c r="AJ61" s="479"/>
      <c r="AK61" s="479"/>
      <c r="AL61" s="479"/>
      <c r="AM61" s="479"/>
      <c r="AN61" s="479"/>
      <c r="AO61" s="479"/>
      <c r="AP61" s="479"/>
    </row>
    <row r="62" spans="1:53" ht="40.5">
      <c r="A62" s="463"/>
      <c r="B62" s="463"/>
      <c r="C62" s="463"/>
      <c r="D62" s="463" t="s">
        <v>276</v>
      </c>
      <c r="E62" s="463">
        <v>1</v>
      </c>
      <c r="F62" s="463" t="s">
        <v>739</v>
      </c>
      <c r="G62" s="463" t="s">
        <v>740</v>
      </c>
      <c r="H62" s="463" t="s">
        <v>269</v>
      </c>
      <c r="I62" s="463"/>
      <c r="J62" s="463"/>
      <c r="K62" s="465" t="s">
        <v>741</v>
      </c>
      <c r="L62" s="465"/>
      <c r="M62" s="463"/>
      <c r="N62" s="463">
        <v>0</v>
      </c>
      <c r="O62" s="463">
        <v>470000</v>
      </c>
      <c r="P62" s="463"/>
      <c r="Q62" s="463">
        <v>470000</v>
      </c>
      <c r="R62" s="463"/>
      <c r="S62" s="463"/>
      <c r="T62" s="463"/>
      <c r="U62" s="463"/>
      <c r="V62" s="463">
        <v>42539</v>
      </c>
      <c r="W62" s="463" t="s">
        <v>132</v>
      </c>
      <c r="X62" s="481">
        <v>0.9</v>
      </c>
      <c r="Y62" s="463"/>
      <c r="Z62" s="463"/>
      <c r="AA62" s="463"/>
      <c r="AB62" s="463"/>
      <c r="AC62" s="463"/>
      <c r="AD62" s="463"/>
      <c r="AE62" s="463"/>
      <c r="AF62" s="463"/>
      <c r="AG62" s="463"/>
      <c r="AH62" s="463"/>
      <c r="AI62" s="463"/>
      <c r="AJ62" s="463"/>
      <c r="AK62" s="463">
        <v>0</v>
      </c>
      <c r="AL62" s="463">
        <v>0</v>
      </c>
      <c r="AM62" s="463">
        <v>0</v>
      </c>
      <c r="AN62" s="463">
        <v>0</v>
      </c>
      <c r="AO62" s="463">
        <v>0</v>
      </c>
      <c r="AP62" s="463"/>
    </row>
    <row r="63" spans="1:53" ht="40.5">
      <c r="A63" s="463"/>
      <c r="B63" s="463"/>
      <c r="C63" s="463"/>
      <c r="D63" s="463" t="s">
        <v>742</v>
      </c>
      <c r="E63" s="463">
        <v>1</v>
      </c>
      <c r="F63" s="463" t="s">
        <v>739</v>
      </c>
      <c r="G63" s="463" t="s">
        <v>743</v>
      </c>
      <c r="H63" s="463" t="s">
        <v>269</v>
      </c>
      <c r="I63" s="463"/>
      <c r="J63" s="463"/>
      <c r="K63" s="465" t="s">
        <v>744</v>
      </c>
      <c r="L63" s="463"/>
      <c r="M63" s="463"/>
      <c r="N63" s="463">
        <v>0</v>
      </c>
      <c r="O63" s="463">
        <v>0</v>
      </c>
      <c r="P63" s="463">
        <v>0</v>
      </c>
      <c r="Q63" s="463">
        <v>0</v>
      </c>
      <c r="R63" s="463"/>
      <c r="S63" s="463"/>
      <c r="T63" s="463"/>
      <c r="U63" s="463"/>
      <c r="V63" s="463"/>
      <c r="W63" s="463"/>
      <c r="X63" s="463"/>
      <c r="Y63" s="463"/>
      <c r="Z63" s="463"/>
      <c r="AA63" s="463"/>
      <c r="AB63" s="463"/>
      <c r="AC63" s="463"/>
      <c r="AD63" s="463"/>
      <c r="AE63" s="463"/>
      <c r="AF63" s="463"/>
      <c r="AG63" s="463"/>
      <c r="AH63" s="463"/>
      <c r="AI63" s="463"/>
      <c r="AJ63" s="463"/>
      <c r="AK63" s="463">
        <v>0</v>
      </c>
      <c r="AL63" s="463">
        <v>0</v>
      </c>
      <c r="AM63" s="463">
        <v>0</v>
      </c>
      <c r="AN63" s="463">
        <v>0</v>
      </c>
      <c r="AO63" s="463">
        <v>0</v>
      </c>
      <c r="AP63" s="463">
        <v>0</v>
      </c>
    </row>
    <row r="64" spans="1:53" ht="27">
      <c r="A64" s="463"/>
      <c r="B64" s="463"/>
      <c r="C64" s="463"/>
      <c r="D64" s="463" t="s">
        <v>745</v>
      </c>
      <c r="E64" s="463">
        <v>1</v>
      </c>
      <c r="F64" s="463" t="s">
        <v>746</v>
      </c>
      <c r="G64" s="463" t="s">
        <v>747</v>
      </c>
      <c r="H64" s="463" t="s">
        <v>748</v>
      </c>
      <c r="I64" s="463"/>
      <c r="J64" s="463"/>
      <c r="K64" s="463"/>
      <c r="L64" s="465" t="s">
        <v>749</v>
      </c>
      <c r="M64" s="463"/>
      <c r="N64" s="463">
        <v>0</v>
      </c>
      <c r="O64" s="463">
        <v>927500</v>
      </c>
      <c r="P64" s="463">
        <v>180000</v>
      </c>
      <c r="Q64" s="463">
        <v>1107000</v>
      </c>
      <c r="R64" s="463"/>
      <c r="S64" s="463"/>
      <c r="T64" s="463"/>
      <c r="U64" s="463"/>
      <c r="V64" s="463"/>
      <c r="W64" s="463"/>
      <c r="X64" s="463"/>
      <c r="Y64" s="463"/>
      <c r="Z64" s="463"/>
      <c r="AA64" s="463"/>
      <c r="AB64" s="463"/>
      <c r="AC64" s="463"/>
      <c r="AD64" s="463"/>
      <c r="AE64" s="463"/>
      <c r="AF64" s="463"/>
      <c r="AG64" s="463"/>
      <c r="AH64" s="463"/>
      <c r="AI64" s="463"/>
      <c r="AJ64" s="463"/>
      <c r="AK64" s="463"/>
      <c r="AL64" s="463"/>
      <c r="AM64" s="463"/>
      <c r="AN64" s="463"/>
      <c r="AO64" s="463"/>
      <c r="AP64" s="463"/>
    </row>
    <row r="65" spans="1:42" ht="40.5">
      <c r="A65" s="463"/>
      <c r="B65" s="463"/>
      <c r="C65" s="463"/>
      <c r="D65" s="463" t="s">
        <v>750</v>
      </c>
      <c r="E65" s="463">
        <v>3</v>
      </c>
      <c r="F65" s="463" t="s">
        <v>751</v>
      </c>
      <c r="G65" s="463" t="s">
        <v>752</v>
      </c>
      <c r="H65" s="463" t="s">
        <v>269</v>
      </c>
      <c r="I65" s="463"/>
      <c r="J65" s="463"/>
      <c r="K65" s="465" t="s">
        <v>753</v>
      </c>
      <c r="L65" s="463"/>
      <c r="M65" s="463"/>
      <c r="N65" s="463">
        <v>0</v>
      </c>
      <c r="O65" s="463">
        <v>611000</v>
      </c>
      <c r="P65" s="463">
        <v>0</v>
      </c>
      <c r="Q65" s="463">
        <v>611000</v>
      </c>
      <c r="R65" s="463"/>
      <c r="S65" s="463"/>
      <c r="T65" s="463"/>
      <c r="U65" s="463"/>
      <c r="V65" s="463"/>
      <c r="W65" s="463"/>
      <c r="X65" s="463"/>
      <c r="Y65" s="463"/>
      <c r="Z65" s="463"/>
      <c r="AA65" s="463"/>
      <c r="AB65" s="463"/>
      <c r="AC65" s="463"/>
      <c r="AD65" s="463"/>
      <c r="AE65" s="463"/>
      <c r="AF65" s="463"/>
      <c r="AG65" s="463"/>
      <c r="AH65" s="463"/>
      <c r="AI65" s="463"/>
      <c r="AJ65" s="463"/>
      <c r="AK65" s="463"/>
      <c r="AL65" s="463"/>
      <c r="AM65" s="463"/>
      <c r="AN65" s="463"/>
      <c r="AO65" s="463"/>
      <c r="AP65" s="463"/>
    </row>
    <row r="66" spans="1:42" ht="40.5">
      <c r="A66" s="463"/>
      <c r="B66" s="463"/>
      <c r="C66" s="463"/>
      <c r="D66" s="463" t="s">
        <v>675</v>
      </c>
      <c r="E66" s="463">
        <v>1</v>
      </c>
      <c r="F66" s="463" t="s">
        <v>754</v>
      </c>
      <c r="G66" s="463" t="s">
        <v>755</v>
      </c>
      <c r="H66" s="463" t="s">
        <v>652</v>
      </c>
      <c r="I66" s="463"/>
      <c r="J66" s="463"/>
      <c r="K66" s="465" t="s">
        <v>756</v>
      </c>
      <c r="L66" s="463"/>
      <c r="M66" s="463"/>
      <c r="N66" s="463">
        <v>0</v>
      </c>
      <c r="O66" s="463">
        <v>1190000</v>
      </c>
      <c r="P66" s="463">
        <v>340000</v>
      </c>
      <c r="Q66" s="463">
        <v>1530000</v>
      </c>
      <c r="R66" s="463"/>
      <c r="S66" s="463"/>
      <c r="T66" s="463"/>
      <c r="U66" s="463"/>
      <c r="V66" s="463"/>
      <c r="W66" s="463"/>
      <c r="X66" s="463"/>
      <c r="Y66" s="463"/>
      <c r="Z66" s="463"/>
      <c r="AA66" s="463"/>
      <c r="AB66" s="463"/>
      <c r="AC66" s="463"/>
      <c r="AD66" s="463"/>
      <c r="AE66" s="463"/>
      <c r="AF66" s="463"/>
      <c r="AG66" s="463"/>
      <c r="AH66" s="463"/>
      <c r="AI66" s="463"/>
      <c r="AJ66" s="463"/>
      <c r="AK66" s="463"/>
      <c r="AL66" s="463"/>
      <c r="AM66" s="463"/>
      <c r="AN66" s="463"/>
      <c r="AO66" s="463"/>
      <c r="AP66" s="463"/>
    </row>
    <row r="67" spans="1:42" ht="27">
      <c r="A67" s="463"/>
      <c r="B67" s="463"/>
      <c r="C67" s="463"/>
      <c r="D67" s="463" t="s">
        <v>757</v>
      </c>
      <c r="E67" s="463">
        <v>2</v>
      </c>
      <c r="F67" s="463" t="s">
        <v>758</v>
      </c>
      <c r="G67" s="463" t="s">
        <v>759</v>
      </c>
      <c r="H67" s="463" t="s">
        <v>748</v>
      </c>
      <c r="I67" s="463"/>
      <c r="J67" s="463"/>
      <c r="K67" s="465" t="s">
        <v>760</v>
      </c>
      <c r="L67" s="463"/>
      <c r="M67" s="463"/>
      <c r="N67" s="463">
        <v>0</v>
      </c>
      <c r="O67" s="463">
        <v>1208299</v>
      </c>
      <c r="P67" s="463">
        <v>292000</v>
      </c>
      <c r="Q67" s="463">
        <v>1500299</v>
      </c>
      <c r="R67" s="463"/>
      <c r="S67" s="463"/>
      <c r="T67" s="463"/>
      <c r="U67" s="463"/>
      <c r="V67" s="463"/>
      <c r="W67" s="463"/>
      <c r="X67" s="463"/>
      <c r="Y67" s="463"/>
      <c r="Z67" s="463"/>
      <c r="AA67" s="463"/>
      <c r="AB67" s="463"/>
      <c r="AC67" s="463"/>
      <c r="AD67" s="463"/>
      <c r="AE67" s="463"/>
      <c r="AF67" s="463"/>
      <c r="AG67" s="463"/>
      <c r="AH67" s="463"/>
      <c r="AI67" s="463"/>
      <c r="AJ67" s="463"/>
      <c r="AK67" s="463">
        <v>0</v>
      </c>
      <c r="AL67" s="463">
        <v>0</v>
      </c>
      <c r="AM67" s="463">
        <v>0</v>
      </c>
      <c r="AN67" s="463">
        <v>0</v>
      </c>
      <c r="AO67" s="463">
        <v>0</v>
      </c>
      <c r="AP67" s="463"/>
    </row>
    <row r="68" spans="1:42" s="478" customFormat="1" ht="122.25" customHeight="1">
      <c r="A68" s="470">
        <v>1</v>
      </c>
      <c r="B68" s="482" t="s">
        <v>888</v>
      </c>
      <c r="C68" s="470">
        <v>19</v>
      </c>
      <c r="D68" s="483" t="s">
        <v>889</v>
      </c>
      <c r="E68" s="470">
        <v>6</v>
      </c>
      <c r="F68" s="483" t="s">
        <v>890</v>
      </c>
      <c r="G68" s="483" t="s">
        <v>891</v>
      </c>
      <c r="H68" s="470" t="s">
        <v>738</v>
      </c>
      <c r="I68" s="470">
        <v>0</v>
      </c>
      <c r="J68" s="470" t="s">
        <v>793</v>
      </c>
      <c r="K68" s="470">
        <v>0</v>
      </c>
      <c r="L68" s="470" t="s">
        <v>793</v>
      </c>
      <c r="M68" s="470"/>
      <c r="N68" s="470">
        <v>1080000</v>
      </c>
      <c r="O68" s="470">
        <v>3980000</v>
      </c>
      <c r="P68" s="470">
        <v>745000</v>
      </c>
      <c r="Q68" s="470">
        <v>5805000</v>
      </c>
      <c r="R68" s="470"/>
      <c r="S68" s="470"/>
      <c r="T68" s="470"/>
      <c r="U68" s="470"/>
      <c r="V68" s="470">
        <v>53500</v>
      </c>
      <c r="W68" s="470">
        <v>48150</v>
      </c>
      <c r="X68" s="484">
        <v>0.9</v>
      </c>
      <c r="Y68" s="470"/>
      <c r="Z68" s="470"/>
      <c r="AA68" s="483">
        <v>0</v>
      </c>
      <c r="AB68" s="483"/>
      <c r="AC68" s="470"/>
      <c r="AD68" s="470"/>
      <c r="AE68" s="470">
        <v>1.3</v>
      </c>
      <c r="AF68" s="470">
        <v>4070</v>
      </c>
      <c r="AG68" s="470"/>
      <c r="AH68" s="470"/>
      <c r="AI68" s="470"/>
      <c r="AJ68" s="470"/>
      <c r="AK68" s="470"/>
      <c r="AL68" s="470"/>
      <c r="AM68" s="470"/>
      <c r="AN68" s="470"/>
      <c r="AO68" s="470"/>
      <c r="AP68" s="470"/>
    </row>
    <row r="69" spans="1:42" ht="14.25" thickBot="1">
      <c r="A69" s="463"/>
      <c r="B69" s="463"/>
      <c r="C69" s="463"/>
      <c r="D69" s="463"/>
      <c r="E69" s="463"/>
      <c r="F69" s="463"/>
      <c r="G69" s="463"/>
      <c r="H69" s="463"/>
      <c r="I69" s="463"/>
      <c r="J69" s="463"/>
      <c r="K69" s="463"/>
      <c r="L69" s="463"/>
      <c r="M69" s="463"/>
      <c r="N69" s="463"/>
      <c r="O69" s="463"/>
      <c r="P69" s="463"/>
      <c r="Q69" s="463"/>
      <c r="R69" s="463"/>
      <c r="S69" s="463"/>
      <c r="T69" s="463"/>
      <c r="U69" s="463"/>
      <c r="V69" s="463"/>
      <c r="W69" s="463"/>
      <c r="X69" s="463"/>
      <c r="Y69" s="463"/>
      <c r="Z69" s="463"/>
      <c r="AA69" s="463"/>
      <c r="AB69" s="463"/>
      <c r="AC69" s="463"/>
      <c r="AD69" s="463"/>
      <c r="AE69" s="463"/>
      <c r="AF69" s="463"/>
      <c r="AG69" s="463"/>
      <c r="AH69" s="463"/>
      <c r="AI69" s="463"/>
      <c r="AJ69" s="463"/>
      <c r="AK69" s="463"/>
      <c r="AL69" s="463"/>
      <c r="AM69" s="463"/>
      <c r="AN69" s="463"/>
      <c r="AO69" s="463"/>
      <c r="AP69" s="463"/>
    </row>
    <row r="70" spans="1:42" s="50" customFormat="1" ht="15" thickBot="1">
      <c r="A70" s="136"/>
      <c r="B70" s="137" t="s">
        <v>115</v>
      </c>
      <c r="C70" s="138">
        <f>C68+C61+C20+C7</f>
        <v>96</v>
      </c>
      <c r="D70" s="138"/>
      <c r="E70" s="138">
        <f t="shared" ref="D70:AP70" si="5">E68+E61+E20+E7</f>
        <v>68</v>
      </c>
      <c r="F70" s="138"/>
      <c r="G70" s="138"/>
      <c r="H70" s="138"/>
      <c r="I70" s="138">
        <f t="shared" si="5"/>
        <v>0</v>
      </c>
      <c r="J70" s="138"/>
      <c r="K70" s="138">
        <f t="shared" si="5"/>
        <v>0</v>
      </c>
      <c r="L70" s="138"/>
      <c r="M70" s="138">
        <f t="shared" si="5"/>
        <v>0</v>
      </c>
      <c r="N70" s="138">
        <f t="shared" si="5"/>
        <v>1080000</v>
      </c>
      <c r="O70" s="138">
        <f t="shared" si="5"/>
        <v>3980000</v>
      </c>
      <c r="P70" s="138">
        <f t="shared" si="5"/>
        <v>745000</v>
      </c>
      <c r="Q70" s="138">
        <f t="shared" si="5"/>
        <v>5805000</v>
      </c>
      <c r="R70" s="138">
        <f t="shared" si="5"/>
        <v>0</v>
      </c>
      <c r="S70" s="138">
        <f t="shared" si="5"/>
        <v>0</v>
      </c>
      <c r="T70" s="138">
        <f t="shared" si="5"/>
        <v>0</v>
      </c>
      <c r="U70" s="138">
        <f t="shared" si="5"/>
        <v>0</v>
      </c>
      <c r="V70" s="138">
        <f t="shared" si="5"/>
        <v>53500</v>
      </c>
      <c r="W70" s="138">
        <f t="shared" si="5"/>
        <v>48150</v>
      </c>
      <c r="X70" s="138">
        <f t="shared" si="5"/>
        <v>0.9</v>
      </c>
      <c r="Y70" s="138">
        <f t="shared" si="5"/>
        <v>0</v>
      </c>
      <c r="Z70" s="138">
        <f t="shared" si="5"/>
        <v>0</v>
      </c>
      <c r="AA70" s="138">
        <f t="shared" si="5"/>
        <v>0</v>
      </c>
      <c r="AB70" s="138">
        <f t="shared" si="5"/>
        <v>0</v>
      </c>
      <c r="AC70" s="138">
        <f t="shared" si="5"/>
        <v>0</v>
      </c>
      <c r="AD70" s="138">
        <f t="shared" si="5"/>
        <v>0</v>
      </c>
      <c r="AE70" s="138">
        <f t="shared" si="5"/>
        <v>1.3</v>
      </c>
      <c r="AF70" s="138">
        <f t="shared" si="5"/>
        <v>4070</v>
      </c>
      <c r="AG70" s="138">
        <f t="shared" si="5"/>
        <v>0</v>
      </c>
      <c r="AH70" s="138">
        <f t="shared" si="5"/>
        <v>0</v>
      </c>
      <c r="AI70" s="138">
        <f t="shared" si="5"/>
        <v>0</v>
      </c>
      <c r="AJ70" s="138">
        <f t="shared" si="5"/>
        <v>0</v>
      </c>
      <c r="AK70" s="138">
        <f t="shared" si="5"/>
        <v>0</v>
      </c>
      <c r="AL70" s="138">
        <f t="shared" si="5"/>
        <v>0</v>
      </c>
      <c r="AM70" s="138">
        <f t="shared" si="5"/>
        <v>0</v>
      </c>
      <c r="AN70" s="138">
        <f t="shared" si="5"/>
        <v>0</v>
      </c>
      <c r="AO70" s="138">
        <f t="shared" si="5"/>
        <v>0</v>
      </c>
      <c r="AP70" s="138">
        <f t="shared" si="5"/>
        <v>0</v>
      </c>
    </row>
  </sheetData>
  <mergeCells count="32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FAB52-3D59-4526-9094-CA21E8FF4B16}">
  <dimension ref="A1:AZ141"/>
  <sheetViews>
    <sheetView topLeftCell="A46" zoomScale="89" zoomScaleNormal="89" workbookViewId="0">
      <selection activeCell="A49" sqref="A49:XFD49"/>
    </sheetView>
  </sheetViews>
  <sheetFormatPr defaultRowHeight="13.5"/>
  <cols>
    <col min="1" max="1" width="4.7109375" style="50" customWidth="1"/>
    <col min="2" max="2" width="11" style="50" customWidth="1"/>
    <col min="3" max="3" width="5.42578125" style="50" customWidth="1"/>
    <col min="4" max="4" width="13.140625" style="50" customWidth="1"/>
    <col min="5" max="5" width="5.85546875" style="50" customWidth="1"/>
    <col min="6" max="6" width="11.5703125" style="50" customWidth="1"/>
    <col min="7" max="7" width="28.28515625" style="50" customWidth="1"/>
    <col min="8" max="8" width="29" style="50" customWidth="1"/>
    <col min="9" max="11" width="5.85546875" style="50" customWidth="1"/>
    <col min="12" max="13" width="4.140625" style="50" customWidth="1"/>
    <col min="14" max="14" width="6.28515625" style="50" customWidth="1"/>
    <col min="15" max="15" width="5.140625" style="50" customWidth="1"/>
    <col min="16" max="16" width="4.85546875" style="50" customWidth="1"/>
    <col min="17" max="17" width="5.7109375" style="50" customWidth="1"/>
    <col min="18" max="18" width="4.85546875" style="50" customWidth="1"/>
    <col min="19" max="19" width="4.42578125" style="50" customWidth="1"/>
    <col min="20" max="20" width="4.5703125" style="50" customWidth="1"/>
    <col min="21" max="21" width="3.42578125" style="50" customWidth="1"/>
    <col min="22" max="22" width="5.85546875" style="50" customWidth="1"/>
    <col min="23" max="23" width="5.42578125" style="50" customWidth="1"/>
    <col min="24" max="24" width="4.85546875" style="50" customWidth="1"/>
    <col min="25" max="25" width="4.5703125" style="50" customWidth="1"/>
    <col min="26" max="26" width="5.42578125" style="50" customWidth="1"/>
    <col min="27" max="27" width="4.5703125" style="50" customWidth="1"/>
    <col min="28" max="28" width="3.5703125" style="50" customWidth="1"/>
    <col min="29" max="29" width="4.85546875" style="50" customWidth="1"/>
    <col min="30" max="31" width="5.42578125" style="50" customWidth="1"/>
    <col min="32" max="32" width="3.42578125" style="50" customWidth="1"/>
    <col min="33" max="34" width="4.85546875" style="117" customWidth="1"/>
    <col min="35" max="35" width="5.5703125" style="117" customWidth="1"/>
    <col min="36" max="36" width="4.42578125" style="117" customWidth="1"/>
    <col min="37" max="37" width="4.7109375" style="50" customWidth="1"/>
    <col min="38" max="38" width="6.85546875" style="50" customWidth="1"/>
    <col min="39" max="39" width="4" style="50" customWidth="1"/>
    <col min="40" max="40" width="4.42578125" style="50" customWidth="1"/>
    <col min="41" max="41" width="7.42578125" style="50" customWidth="1"/>
    <col min="42" max="42" width="18.85546875" style="50" customWidth="1"/>
    <col min="43" max="43" width="8.85546875" style="50" customWidth="1"/>
    <col min="44" max="44" width="9.28515625" style="50" customWidth="1"/>
    <col min="45" max="45" width="4.140625" style="50" customWidth="1"/>
    <col min="46" max="46" width="6.5703125" style="50" customWidth="1"/>
    <col min="47" max="47" width="5.42578125" style="50" customWidth="1"/>
    <col min="48" max="48" width="5" style="50" customWidth="1"/>
    <col min="49" max="49" width="8" style="50" customWidth="1"/>
    <col min="50" max="50" width="5" style="50" customWidth="1"/>
    <col min="51" max="51" width="6.140625" style="50" customWidth="1"/>
    <col min="52" max="52" width="4.28515625" style="50" customWidth="1"/>
    <col min="53" max="53" width="36.7109375" style="50" customWidth="1"/>
    <col min="54" max="16384" width="9.140625" style="50"/>
  </cols>
  <sheetData>
    <row r="1" spans="1:52" ht="33" customHeight="1" thickBot="1">
      <c r="A1" s="886" t="s">
        <v>892</v>
      </c>
      <c r="B1" s="886"/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86"/>
      <c r="O1" s="886"/>
      <c r="P1" s="886"/>
      <c r="Q1" s="886"/>
      <c r="R1" s="886"/>
      <c r="S1" s="886"/>
      <c r="T1" s="886"/>
      <c r="U1" s="886"/>
      <c r="V1" s="886"/>
      <c r="W1" s="886"/>
      <c r="X1" s="886"/>
      <c r="Y1" s="886"/>
      <c r="Z1" s="886"/>
      <c r="AA1" s="886"/>
      <c r="AB1" s="886"/>
      <c r="AC1" s="886"/>
      <c r="AD1" s="886"/>
      <c r="AE1" s="886"/>
      <c r="AF1" s="886"/>
      <c r="AG1" s="886"/>
      <c r="AH1" s="886"/>
      <c r="AI1" s="886"/>
      <c r="AJ1" s="886"/>
      <c r="AK1" s="886"/>
      <c r="AL1" s="886"/>
      <c r="AM1" s="886"/>
      <c r="AN1" s="886"/>
      <c r="AO1" s="886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</row>
    <row r="2" spans="1:52" ht="57" customHeight="1">
      <c r="A2" s="887" t="s">
        <v>0</v>
      </c>
      <c r="B2" s="880" t="s">
        <v>1</v>
      </c>
      <c r="C2" s="891" t="s">
        <v>2</v>
      </c>
      <c r="D2" s="880" t="s">
        <v>3</v>
      </c>
      <c r="E2" s="880"/>
      <c r="F2" s="880"/>
      <c r="G2" s="880"/>
      <c r="H2" s="880"/>
      <c r="I2" s="902" t="s">
        <v>4</v>
      </c>
      <c r="J2" s="902"/>
      <c r="K2" s="902"/>
      <c r="L2" s="902"/>
      <c r="M2" s="902"/>
      <c r="N2" s="908" t="s">
        <v>5</v>
      </c>
      <c r="O2" s="908"/>
      <c r="P2" s="908"/>
      <c r="Q2" s="908"/>
      <c r="R2" s="893" t="s">
        <v>6</v>
      </c>
      <c r="S2" s="893"/>
      <c r="T2" s="893"/>
      <c r="U2" s="893"/>
      <c r="V2" s="902" t="s">
        <v>7</v>
      </c>
      <c r="W2" s="902"/>
      <c r="X2" s="902"/>
      <c r="Y2" s="880" t="s">
        <v>8</v>
      </c>
      <c r="Z2" s="880"/>
      <c r="AA2" s="880"/>
      <c r="AB2" s="880"/>
      <c r="AC2" s="880"/>
      <c r="AD2" s="880"/>
      <c r="AE2" s="880"/>
      <c r="AF2" s="880"/>
      <c r="AG2" s="902" t="s">
        <v>9</v>
      </c>
      <c r="AH2" s="902"/>
      <c r="AI2" s="902"/>
      <c r="AJ2" s="902"/>
      <c r="AK2" s="902"/>
      <c r="AL2" s="902"/>
      <c r="AM2" s="902"/>
      <c r="AN2" s="902"/>
      <c r="AO2" s="902"/>
      <c r="AP2" s="903"/>
      <c r="AQ2" s="74"/>
      <c r="AR2" s="74"/>
      <c r="AS2" s="74"/>
      <c r="AT2" s="74"/>
      <c r="AU2" s="74"/>
      <c r="AV2" s="74"/>
    </row>
    <row r="3" spans="1:52" ht="136.5" customHeight="1">
      <c r="A3" s="888"/>
      <c r="B3" s="873"/>
      <c r="C3" s="882"/>
      <c r="D3" s="882" t="s">
        <v>10</v>
      </c>
      <c r="E3" s="873" t="s">
        <v>11</v>
      </c>
      <c r="F3" s="904" t="s">
        <v>12</v>
      </c>
      <c r="G3" s="905" t="s">
        <v>13</v>
      </c>
      <c r="H3" s="906" t="s">
        <v>117</v>
      </c>
      <c r="I3" s="905" t="s">
        <v>14</v>
      </c>
      <c r="J3" s="905" t="s">
        <v>15</v>
      </c>
      <c r="K3" s="905" t="s">
        <v>16</v>
      </c>
      <c r="L3" s="905" t="s">
        <v>17</v>
      </c>
      <c r="M3" s="899" t="s">
        <v>18</v>
      </c>
      <c r="N3" s="900" t="s">
        <v>19</v>
      </c>
      <c r="O3" s="900" t="s">
        <v>20</v>
      </c>
      <c r="P3" s="900" t="s">
        <v>21</v>
      </c>
      <c r="Q3" s="901" t="s">
        <v>22</v>
      </c>
      <c r="R3" s="894"/>
      <c r="S3" s="894"/>
      <c r="T3" s="894"/>
      <c r="U3" s="894"/>
      <c r="V3" s="899" t="s">
        <v>23</v>
      </c>
      <c r="W3" s="899"/>
      <c r="X3" s="899"/>
      <c r="Y3" s="873" t="s">
        <v>118</v>
      </c>
      <c r="Z3" s="873"/>
      <c r="AA3" s="873"/>
      <c r="AB3" s="873"/>
      <c r="AC3" s="873" t="s">
        <v>24</v>
      </c>
      <c r="AD3" s="873"/>
      <c r="AE3" s="873"/>
      <c r="AF3" s="873"/>
      <c r="AG3" s="874" t="s">
        <v>25</v>
      </c>
      <c r="AH3" s="874"/>
      <c r="AI3" s="874"/>
      <c r="AJ3" s="874"/>
      <c r="AK3" s="896" t="s">
        <v>26</v>
      </c>
      <c r="AL3" s="896"/>
      <c r="AM3" s="896"/>
      <c r="AN3" s="896"/>
      <c r="AO3" s="897" t="s">
        <v>22</v>
      </c>
      <c r="AP3" s="898" t="s">
        <v>27</v>
      </c>
      <c r="AQ3" s="81"/>
      <c r="AR3" s="81"/>
      <c r="AS3" s="81"/>
      <c r="AT3" s="81"/>
      <c r="AU3" s="81"/>
      <c r="AV3" s="81"/>
    </row>
    <row r="4" spans="1:52" ht="93.75" customHeight="1">
      <c r="A4" s="888"/>
      <c r="B4" s="873"/>
      <c r="C4" s="882"/>
      <c r="D4" s="882"/>
      <c r="E4" s="873"/>
      <c r="F4" s="904"/>
      <c r="G4" s="905"/>
      <c r="H4" s="906"/>
      <c r="I4" s="905"/>
      <c r="J4" s="905"/>
      <c r="K4" s="905"/>
      <c r="L4" s="905"/>
      <c r="M4" s="899"/>
      <c r="N4" s="900"/>
      <c r="O4" s="900"/>
      <c r="P4" s="900"/>
      <c r="Q4" s="901"/>
      <c r="R4" s="82" t="s">
        <v>28</v>
      </c>
      <c r="S4" s="82" t="s">
        <v>29</v>
      </c>
      <c r="T4" s="82" t="s">
        <v>30</v>
      </c>
      <c r="U4" s="82" t="s">
        <v>31</v>
      </c>
      <c r="V4" s="80" t="s">
        <v>119</v>
      </c>
      <c r="W4" s="80" t="s">
        <v>33</v>
      </c>
      <c r="X4" s="80" t="s">
        <v>34</v>
      </c>
      <c r="Y4" s="83" t="s">
        <v>35</v>
      </c>
      <c r="Z4" s="83" t="s">
        <v>36</v>
      </c>
      <c r="AA4" s="83" t="s">
        <v>37</v>
      </c>
      <c r="AB4" s="83" t="s">
        <v>18</v>
      </c>
      <c r="AC4" s="83" t="s">
        <v>35</v>
      </c>
      <c r="AD4" s="83" t="s">
        <v>36</v>
      </c>
      <c r="AE4" s="83" t="s">
        <v>37</v>
      </c>
      <c r="AF4" s="83" t="s">
        <v>18</v>
      </c>
      <c r="AG4" s="84" t="s">
        <v>35</v>
      </c>
      <c r="AH4" s="84" t="s">
        <v>36</v>
      </c>
      <c r="AI4" s="84" t="s">
        <v>37</v>
      </c>
      <c r="AJ4" s="85" t="s">
        <v>31</v>
      </c>
      <c r="AK4" s="86" t="s">
        <v>35</v>
      </c>
      <c r="AL4" s="86" t="s">
        <v>36</v>
      </c>
      <c r="AM4" s="86" t="s">
        <v>37</v>
      </c>
      <c r="AN4" s="87" t="s">
        <v>31</v>
      </c>
      <c r="AO4" s="897"/>
      <c r="AP4" s="898"/>
      <c r="AQ4" s="88"/>
      <c r="AR4" s="88"/>
      <c r="AS4" s="81"/>
      <c r="AT4" s="88"/>
      <c r="AU4" s="88"/>
      <c r="AV4" s="88"/>
    </row>
    <row r="5" spans="1:52" ht="30.75" customHeight="1" thickBot="1">
      <c r="A5" s="889"/>
      <c r="B5" s="890"/>
      <c r="C5" s="89" t="s">
        <v>38</v>
      </c>
      <c r="D5" s="883"/>
      <c r="E5" s="89" t="s">
        <v>38</v>
      </c>
      <c r="F5" s="90"/>
      <c r="G5" s="90"/>
      <c r="H5" s="91"/>
      <c r="I5" s="19"/>
      <c r="J5" s="19"/>
      <c r="K5" s="20"/>
      <c r="L5" s="19"/>
      <c r="M5" s="19"/>
      <c r="N5" s="23" t="s">
        <v>39</v>
      </c>
      <c r="O5" s="23" t="s">
        <v>39</v>
      </c>
      <c r="P5" s="23" t="s">
        <v>39</v>
      </c>
      <c r="Q5" s="24" t="s">
        <v>39</v>
      </c>
      <c r="R5" s="92" t="s">
        <v>40</v>
      </c>
      <c r="S5" s="92" t="s">
        <v>40</v>
      </c>
      <c r="T5" s="92" t="s">
        <v>40</v>
      </c>
      <c r="U5" s="92" t="s">
        <v>40</v>
      </c>
      <c r="V5" s="19" t="s">
        <v>41</v>
      </c>
      <c r="W5" s="19" t="s">
        <v>38</v>
      </c>
      <c r="X5" s="19" t="s">
        <v>34</v>
      </c>
      <c r="Y5" s="93" t="s">
        <v>42</v>
      </c>
      <c r="Z5" s="93" t="s">
        <v>43</v>
      </c>
      <c r="AA5" s="93" t="s">
        <v>44</v>
      </c>
      <c r="AB5" s="93"/>
      <c r="AC5" s="93" t="s">
        <v>42</v>
      </c>
      <c r="AD5" s="93" t="s">
        <v>43</v>
      </c>
      <c r="AE5" s="93" t="s">
        <v>44</v>
      </c>
      <c r="AF5" s="93"/>
      <c r="AG5" s="94" t="s">
        <v>40</v>
      </c>
      <c r="AH5" s="94" t="s">
        <v>40</v>
      </c>
      <c r="AI5" s="94" t="s">
        <v>40</v>
      </c>
      <c r="AJ5" s="94" t="s">
        <v>40</v>
      </c>
      <c r="AK5" s="95" t="s">
        <v>40</v>
      </c>
      <c r="AL5" s="95" t="s">
        <v>40</v>
      </c>
      <c r="AM5" s="95" t="s">
        <v>40</v>
      </c>
      <c r="AN5" s="27" t="s">
        <v>39</v>
      </c>
      <c r="AO5" s="28" t="s">
        <v>39</v>
      </c>
      <c r="AP5" s="96" t="s">
        <v>39</v>
      </c>
      <c r="AQ5" s="1"/>
      <c r="AR5" s="1"/>
      <c r="AS5" s="1"/>
      <c r="AT5" s="1"/>
      <c r="AU5" s="1"/>
      <c r="AV5" s="1"/>
    </row>
    <row r="6" spans="1:52" ht="19.5" customHeight="1">
      <c r="A6" s="97">
        <v>1</v>
      </c>
      <c r="B6" s="29">
        <v>2</v>
      </c>
      <c r="C6" s="98">
        <v>3</v>
      </c>
      <c r="D6" s="29">
        <v>4</v>
      </c>
      <c r="E6" s="98">
        <v>5</v>
      </c>
      <c r="F6" s="29">
        <v>6</v>
      </c>
      <c r="G6" s="98">
        <v>7</v>
      </c>
      <c r="H6" s="99">
        <v>8</v>
      </c>
      <c r="I6" s="98">
        <v>9</v>
      </c>
      <c r="J6" s="29">
        <v>10</v>
      </c>
      <c r="K6" s="98">
        <v>11</v>
      </c>
      <c r="L6" s="29">
        <v>12</v>
      </c>
      <c r="M6" s="98">
        <v>13</v>
      </c>
      <c r="N6" s="100">
        <v>14</v>
      </c>
      <c r="O6" s="101">
        <v>15</v>
      </c>
      <c r="P6" s="100">
        <v>16</v>
      </c>
      <c r="Q6" s="102">
        <v>17</v>
      </c>
      <c r="R6" s="103">
        <v>18</v>
      </c>
      <c r="S6" s="104">
        <v>19</v>
      </c>
      <c r="T6" s="103">
        <v>20</v>
      </c>
      <c r="U6" s="104">
        <v>21</v>
      </c>
      <c r="V6" s="29">
        <v>22</v>
      </c>
      <c r="W6" s="98">
        <v>23</v>
      </c>
      <c r="X6" s="29">
        <v>24</v>
      </c>
      <c r="Y6" s="98">
        <v>25</v>
      </c>
      <c r="Z6" s="29">
        <v>26</v>
      </c>
      <c r="AA6" s="98">
        <v>27</v>
      </c>
      <c r="AB6" s="29">
        <v>28</v>
      </c>
      <c r="AC6" s="98">
        <v>29</v>
      </c>
      <c r="AD6" s="29">
        <v>30</v>
      </c>
      <c r="AE6" s="98">
        <v>31</v>
      </c>
      <c r="AF6" s="29">
        <v>32</v>
      </c>
      <c r="AG6" s="105">
        <v>33</v>
      </c>
      <c r="AH6" s="106">
        <v>34</v>
      </c>
      <c r="AI6" s="105">
        <v>35</v>
      </c>
      <c r="AJ6" s="106">
        <v>36</v>
      </c>
      <c r="AK6" s="107">
        <v>37</v>
      </c>
      <c r="AL6" s="108">
        <v>38</v>
      </c>
      <c r="AM6" s="107">
        <v>39</v>
      </c>
      <c r="AN6" s="108">
        <v>40</v>
      </c>
      <c r="AO6" s="109">
        <v>41</v>
      </c>
      <c r="AP6" s="110">
        <v>42</v>
      </c>
      <c r="AQ6" s="2"/>
      <c r="AR6" s="5"/>
      <c r="AS6" s="2"/>
      <c r="AT6" s="5"/>
      <c r="AU6" s="2"/>
      <c r="AV6" s="111"/>
    </row>
    <row r="7" spans="1:52" ht="99" customHeight="1">
      <c r="A7" s="485">
        <v>1</v>
      </c>
      <c r="B7" s="7" t="s">
        <v>852</v>
      </c>
      <c r="C7" s="7">
        <v>13</v>
      </c>
      <c r="D7" s="7" t="s">
        <v>853</v>
      </c>
      <c r="E7" s="7">
        <v>1</v>
      </c>
      <c r="F7" s="66" t="s">
        <v>854</v>
      </c>
      <c r="G7" s="66" t="s">
        <v>855</v>
      </c>
      <c r="H7" s="132" t="s">
        <v>142</v>
      </c>
      <c r="I7" s="7"/>
      <c r="J7" s="486" t="s">
        <v>856</v>
      </c>
      <c r="K7" s="7"/>
      <c r="L7" s="7"/>
      <c r="M7" s="7"/>
      <c r="N7" s="129"/>
      <c r="O7" s="360">
        <v>450000</v>
      </c>
      <c r="P7" s="360">
        <v>375000</v>
      </c>
      <c r="Q7" s="361">
        <f>N7+O7+P7</f>
        <v>825000</v>
      </c>
      <c r="R7" s="10"/>
      <c r="S7" s="10"/>
      <c r="T7" s="10"/>
      <c r="U7" s="10"/>
      <c r="V7" s="362">
        <v>28680</v>
      </c>
      <c r="W7" s="362">
        <v>27246</v>
      </c>
      <c r="X7" s="487">
        <v>0.95</v>
      </c>
      <c r="Y7" s="66">
        <v>0</v>
      </c>
      <c r="Z7" s="362" t="s">
        <v>893</v>
      </c>
      <c r="AA7" s="362">
        <v>0</v>
      </c>
      <c r="AB7" s="7"/>
      <c r="AC7" s="7"/>
      <c r="AD7" s="7"/>
      <c r="AE7" s="7"/>
      <c r="AF7" s="7"/>
      <c r="AG7" s="11"/>
      <c r="AH7" s="11"/>
      <c r="AI7" s="11"/>
      <c r="AJ7" s="11"/>
      <c r="AK7" s="488">
        <f t="shared" ref="AK7:AL9" si="0">R7*Y7</f>
        <v>0</v>
      </c>
      <c r="AL7" s="488">
        <v>0</v>
      </c>
      <c r="AM7" s="488">
        <f t="shared" ref="AM7:AO9" si="1">T7*AA7</f>
        <v>0</v>
      </c>
      <c r="AN7" s="488">
        <f t="shared" si="1"/>
        <v>0</v>
      </c>
      <c r="AO7" s="488">
        <f t="shared" si="1"/>
        <v>0</v>
      </c>
      <c r="AP7" s="60">
        <v>0</v>
      </c>
      <c r="AQ7" s="1"/>
      <c r="AR7" s="1"/>
      <c r="AS7" s="1"/>
      <c r="AT7" s="1"/>
      <c r="AU7" s="1"/>
      <c r="AV7" s="1"/>
    </row>
    <row r="8" spans="1:52" ht="95.25" customHeight="1">
      <c r="A8" s="485">
        <v>2</v>
      </c>
      <c r="B8" s="7"/>
      <c r="C8" s="7"/>
      <c r="D8" s="7" t="s">
        <v>857</v>
      </c>
      <c r="E8" s="7">
        <v>1</v>
      </c>
      <c r="F8" s="7" t="s">
        <v>858</v>
      </c>
      <c r="G8" s="7" t="s">
        <v>859</v>
      </c>
      <c r="H8" s="132" t="s">
        <v>142</v>
      </c>
      <c r="I8" s="7"/>
      <c r="J8" s="489" t="s">
        <v>856</v>
      </c>
      <c r="K8" s="7"/>
      <c r="L8" s="7"/>
      <c r="M8" s="7"/>
      <c r="N8" s="129"/>
      <c r="O8" s="129"/>
      <c r="P8" s="129"/>
      <c r="Q8" s="130">
        <f t="shared" ref="Q8:Q9" si="2">N8+O8+P8</f>
        <v>0</v>
      </c>
      <c r="R8" s="10"/>
      <c r="S8" s="10"/>
      <c r="T8" s="10"/>
      <c r="U8" s="10"/>
      <c r="V8" s="8"/>
      <c r="W8" s="8"/>
      <c r="X8" s="7"/>
      <c r="Y8" s="7"/>
      <c r="Z8" s="7"/>
      <c r="AA8" s="7"/>
      <c r="AB8" s="7"/>
      <c r="AC8" s="7"/>
      <c r="AD8" s="7"/>
      <c r="AE8" s="7"/>
      <c r="AF8" s="7"/>
      <c r="AG8" s="11"/>
      <c r="AH8" s="11"/>
      <c r="AI8" s="11"/>
      <c r="AJ8" s="11"/>
      <c r="AK8" s="488">
        <f t="shared" si="0"/>
        <v>0</v>
      </c>
      <c r="AL8" s="488">
        <f t="shared" si="0"/>
        <v>0</v>
      </c>
      <c r="AM8" s="488">
        <f t="shared" si="1"/>
        <v>0</v>
      </c>
      <c r="AN8" s="488">
        <f t="shared" si="1"/>
        <v>0</v>
      </c>
      <c r="AO8" s="488">
        <f t="shared" si="1"/>
        <v>0</v>
      </c>
      <c r="AP8" s="60">
        <f t="shared" ref="AP8" si="3">AO8-Q8</f>
        <v>0</v>
      </c>
      <c r="AQ8" s="1"/>
      <c r="AR8" s="1"/>
      <c r="AS8" s="1"/>
      <c r="AT8" s="1"/>
      <c r="AU8" s="1"/>
      <c r="AV8" s="1"/>
    </row>
    <row r="9" spans="1:52" ht="88.5" customHeight="1">
      <c r="A9" s="490">
        <v>3</v>
      </c>
      <c r="B9" s="66"/>
      <c r="C9" s="66"/>
      <c r="D9" s="7" t="s">
        <v>860</v>
      </c>
      <c r="E9" s="66">
        <v>1</v>
      </c>
      <c r="F9" s="7" t="s">
        <v>861</v>
      </c>
      <c r="G9" s="7" t="s">
        <v>862</v>
      </c>
      <c r="H9" s="142" t="s">
        <v>142</v>
      </c>
      <c r="I9" s="66"/>
      <c r="J9" s="486" t="s">
        <v>856</v>
      </c>
      <c r="K9" s="66"/>
      <c r="L9" s="66"/>
      <c r="M9" s="66"/>
      <c r="N9" s="491"/>
      <c r="O9" s="492">
        <v>1600000</v>
      </c>
      <c r="P9" s="492">
        <v>340000</v>
      </c>
      <c r="Q9" s="363">
        <f t="shared" si="2"/>
        <v>1940000</v>
      </c>
      <c r="R9" s="493"/>
      <c r="S9" s="493"/>
      <c r="T9" s="493"/>
      <c r="U9" s="493"/>
      <c r="V9" s="362">
        <v>28680</v>
      </c>
      <c r="W9" s="362">
        <v>27246</v>
      </c>
      <c r="X9" s="487">
        <v>0.95</v>
      </c>
      <c r="Y9" s="66">
        <v>0</v>
      </c>
      <c r="Z9" s="362" t="s">
        <v>894</v>
      </c>
      <c r="AA9" s="362" t="s">
        <v>895</v>
      </c>
      <c r="AB9" s="66"/>
      <c r="AC9" s="66"/>
      <c r="AD9" s="66"/>
      <c r="AE9" s="66"/>
      <c r="AF9" s="66"/>
      <c r="AG9" s="145"/>
      <c r="AH9" s="145"/>
      <c r="AI9" s="145"/>
      <c r="AJ9" s="145"/>
      <c r="AK9" s="488">
        <f t="shared" si="0"/>
        <v>0</v>
      </c>
      <c r="AL9" s="488">
        <v>0</v>
      </c>
      <c r="AM9" s="488">
        <v>0</v>
      </c>
      <c r="AN9" s="488">
        <f t="shared" si="1"/>
        <v>0</v>
      </c>
      <c r="AO9" s="488">
        <f t="shared" si="1"/>
        <v>0</v>
      </c>
      <c r="AP9" s="342">
        <v>0</v>
      </c>
      <c r="AQ9" s="1"/>
      <c r="AR9" s="1"/>
      <c r="AS9" s="1"/>
      <c r="AT9" s="1"/>
      <c r="AU9" s="1"/>
      <c r="AV9" s="1"/>
    </row>
    <row r="10" spans="1:52" ht="88.5" customHeight="1" thickBot="1">
      <c r="A10" s="494"/>
      <c r="B10" s="64"/>
      <c r="C10" s="64"/>
      <c r="D10" s="64" t="s">
        <v>863</v>
      </c>
      <c r="E10" s="64">
        <v>1</v>
      </c>
      <c r="F10" s="64"/>
      <c r="G10" s="64"/>
      <c r="H10" s="132" t="s">
        <v>864</v>
      </c>
      <c r="I10" s="7"/>
      <c r="J10" s="489"/>
      <c r="K10" s="7"/>
      <c r="L10" s="7"/>
      <c r="M10" s="495"/>
      <c r="N10" s="496"/>
      <c r="O10" s="360"/>
      <c r="P10" s="360"/>
      <c r="Q10" s="361">
        <v>0</v>
      </c>
      <c r="R10" s="10"/>
      <c r="S10" s="10"/>
      <c r="T10" s="10"/>
      <c r="U10" s="10"/>
      <c r="V10" s="8"/>
      <c r="W10" s="8"/>
      <c r="X10" s="497"/>
      <c r="Y10" s="7"/>
      <c r="Z10" s="8"/>
      <c r="AA10" s="8"/>
      <c r="AB10" s="7"/>
      <c r="AC10" s="7"/>
      <c r="AD10" s="7"/>
      <c r="AE10" s="7"/>
      <c r="AF10" s="7"/>
      <c r="AG10" s="11"/>
      <c r="AH10" s="11"/>
      <c r="AI10" s="11"/>
      <c r="AJ10" s="11"/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498"/>
      <c r="AQ10" s="1"/>
      <c r="AR10" s="1"/>
      <c r="AS10" s="1"/>
      <c r="AT10" s="1"/>
      <c r="AU10" s="1"/>
      <c r="AV10" s="1"/>
    </row>
    <row r="11" spans="1:52" ht="63" customHeight="1" thickBot="1">
      <c r="A11" s="499"/>
      <c r="B11" s="500" t="s">
        <v>115</v>
      </c>
      <c r="C11" s="500">
        <f>SUM(C7:C9)</f>
        <v>13</v>
      </c>
      <c r="D11" s="500"/>
      <c r="E11" s="500">
        <v>4</v>
      </c>
      <c r="F11" s="500"/>
      <c r="G11" s="500"/>
      <c r="H11" s="400"/>
      <c r="I11" s="400"/>
      <c r="J11" s="400"/>
      <c r="K11" s="400"/>
      <c r="L11" s="400"/>
      <c r="M11" s="501"/>
      <c r="N11" s="502">
        <f t="shared" ref="N11:AP11" si="4">SUM(N7:N9)</f>
        <v>0</v>
      </c>
      <c r="O11" s="503">
        <f t="shared" si="4"/>
        <v>2050000</v>
      </c>
      <c r="P11" s="504">
        <f t="shared" si="4"/>
        <v>715000</v>
      </c>
      <c r="Q11" s="504">
        <f t="shared" si="4"/>
        <v>2765000</v>
      </c>
      <c r="R11" s="400">
        <f t="shared" si="4"/>
        <v>0</v>
      </c>
      <c r="S11" s="400">
        <f t="shared" si="4"/>
        <v>0</v>
      </c>
      <c r="T11" s="400">
        <f t="shared" si="4"/>
        <v>0</v>
      </c>
      <c r="U11" s="504">
        <f t="shared" si="4"/>
        <v>0</v>
      </c>
      <c r="V11" s="504">
        <f t="shared" si="4"/>
        <v>57360</v>
      </c>
      <c r="W11" s="504">
        <f t="shared" si="4"/>
        <v>54492</v>
      </c>
      <c r="X11" s="504">
        <f t="shared" si="4"/>
        <v>1.9</v>
      </c>
      <c r="Y11" s="504">
        <f t="shared" si="4"/>
        <v>0</v>
      </c>
      <c r="Z11" s="504">
        <f t="shared" si="4"/>
        <v>0</v>
      </c>
      <c r="AA11" s="504">
        <f t="shared" si="4"/>
        <v>0</v>
      </c>
      <c r="AB11" s="504">
        <f t="shared" si="4"/>
        <v>0</v>
      </c>
      <c r="AC11" s="504">
        <f t="shared" si="4"/>
        <v>0</v>
      </c>
      <c r="AD11" s="400">
        <f t="shared" si="4"/>
        <v>0</v>
      </c>
      <c r="AE11" s="400">
        <f t="shared" si="4"/>
        <v>0</v>
      </c>
      <c r="AF11" s="400">
        <f t="shared" si="4"/>
        <v>0</v>
      </c>
      <c r="AG11" s="400">
        <f t="shared" si="4"/>
        <v>0</v>
      </c>
      <c r="AH11" s="400">
        <f t="shared" si="4"/>
        <v>0</v>
      </c>
      <c r="AI11" s="400">
        <f t="shared" si="4"/>
        <v>0</v>
      </c>
      <c r="AJ11" s="400">
        <f t="shared" si="4"/>
        <v>0</v>
      </c>
      <c r="AK11" s="400">
        <f t="shared" si="4"/>
        <v>0</v>
      </c>
      <c r="AL11" s="400">
        <f t="shared" si="4"/>
        <v>0</v>
      </c>
      <c r="AM11" s="400">
        <f t="shared" si="4"/>
        <v>0</v>
      </c>
      <c r="AN11" s="400">
        <f t="shared" si="4"/>
        <v>0</v>
      </c>
      <c r="AO11" s="400">
        <f t="shared" si="4"/>
        <v>0</v>
      </c>
      <c r="AP11" s="505">
        <f t="shared" si="4"/>
        <v>0</v>
      </c>
      <c r="AQ11" s="1"/>
      <c r="AR11" s="1"/>
      <c r="AS11" s="1"/>
      <c r="AT11" s="1"/>
      <c r="AU11" s="1"/>
      <c r="AV11" s="1"/>
    </row>
    <row r="12" spans="1:52" ht="45" customHeight="1">
      <c r="A12" s="506">
        <v>1</v>
      </c>
      <c r="B12" s="507" t="s">
        <v>125</v>
      </c>
      <c r="C12" s="507">
        <v>11</v>
      </c>
      <c r="D12" s="508" t="s">
        <v>126</v>
      </c>
      <c r="E12" s="507">
        <v>1</v>
      </c>
      <c r="F12" s="509" t="s">
        <v>841</v>
      </c>
      <c r="G12" s="509" t="s">
        <v>842</v>
      </c>
      <c r="H12" s="510" t="s">
        <v>127</v>
      </c>
      <c r="I12" s="507"/>
      <c r="J12" s="511" t="s">
        <v>128</v>
      </c>
      <c r="K12" s="507"/>
      <c r="L12" s="511" t="s">
        <v>128</v>
      </c>
      <c r="M12" s="507"/>
      <c r="N12" s="512"/>
      <c r="O12" s="513">
        <v>225000</v>
      </c>
      <c r="P12" s="512">
        <v>0</v>
      </c>
      <c r="Q12" s="514"/>
      <c r="R12" s="515"/>
      <c r="S12" s="515"/>
      <c r="T12" s="515"/>
      <c r="U12" s="515"/>
      <c r="V12" s="509">
        <v>39298</v>
      </c>
      <c r="W12" s="509">
        <v>11500</v>
      </c>
      <c r="X12" s="507">
        <v>30</v>
      </c>
      <c r="Y12" s="507"/>
      <c r="Z12" s="507"/>
      <c r="AA12" s="507">
        <v>30</v>
      </c>
      <c r="AB12" s="511" t="s">
        <v>128</v>
      </c>
      <c r="AC12" s="507"/>
      <c r="AD12" s="507"/>
      <c r="AE12" s="507"/>
      <c r="AF12" s="507"/>
      <c r="AG12" s="516"/>
      <c r="AH12" s="516"/>
      <c r="AI12" s="516"/>
      <c r="AJ12" s="516"/>
      <c r="AK12" s="517">
        <f>R12*Y12</f>
        <v>0</v>
      </c>
      <c r="AL12" s="517">
        <f t="shared" ref="AL12:AN15" si="5">S12*Z12</f>
        <v>0</v>
      </c>
      <c r="AM12" s="517">
        <f t="shared" si="5"/>
        <v>0</v>
      </c>
      <c r="AN12" s="517" t="e">
        <f t="shared" si="5"/>
        <v>#VALUE!</v>
      </c>
      <c r="AO12" s="518" t="e">
        <f>AK12+AL12+AM12+AN12</f>
        <v>#VALUE!</v>
      </c>
      <c r="AP12" s="519" t="e">
        <f>AO12-Q12</f>
        <v>#VALUE!</v>
      </c>
    </row>
    <row r="13" spans="1:52" ht="76.5">
      <c r="A13" s="506">
        <v>2</v>
      </c>
      <c r="B13" s="507" t="s">
        <v>125</v>
      </c>
      <c r="C13" s="507">
        <v>11</v>
      </c>
      <c r="D13" s="508" t="s">
        <v>843</v>
      </c>
      <c r="E13" s="507">
        <v>2</v>
      </c>
      <c r="F13" s="509" t="s">
        <v>844</v>
      </c>
      <c r="G13" s="509" t="s">
        <v>845</v>
      </c>
      <c r="H13" s="510" t="s">
        <v>127</v>
      </c>
      <c r="I13" s="507"/>
      <c r="J13" s="511" t="s">
        <v>128</v>
      </c>
      <c r="K13" s="507"/>
      <c r="L13" s="511" t="s">
        <v>128</v>
      </c>
      <c r="M13" s="507"/>
      <c r="N13" s="512"/>
      <c r="O13" s="512">
        <v>650000</v>
      </c>
      <c r="P13" s="512">
        <v>1969050</v>
      </c>
      <c r="Q13" s="514"/>
      <c r="R13" s="515"/>
      <c r="S13" s="515"/>
      <c r="T13" s="515"/>
      <c r="U13" s="515"/>
      <c r="V13" s="507">
        <v>39298</v>
      </c>
      <c r="W13" s="507">
        <v>23100</v>
      </c>
      <c r="X13" s="507">
        <v>60</v>
      </c>
      <c r="Y13" s="507"/>
      <c r="Z13" s="507"/>
      <c r="AA13" s="507"/>
      <c r="AB13" s="511" t="s">
        <v>128</v>
      </c>
      <c r="AC13" s="507"/>
      <c r="AD13" s="507"/>
      <c r="AE13" s="507"/>
      <c r="AF13" s="507"/>
      <c r="AG13" s="516"/>
      <c r="AH13" s="516"/>
      <c r="AI13" s="516"/>
      <c r="AJ13" s="516"/>
      <c r="AK13" s="517">
        <f t="shared" ref="AK13:AK15" si="6">R13*Y13</f>
        <v>0</v>
      </c>
      <c r="AL13" s="517">
        <f t="shared" si="5"/>
        <v>0</v>
      </c>
      <c r="AM13" s="517">
        <f t="shared" si="5"/>
        <v>0</v>
      </c>
      <c r="AN13" s="517" t="e">
        <f t="shared" si="5"/>
        <v>#VALUE!</v>
      </c>
      <c r="AO13" s="518" t="e">
        <f t="shared" ref="AO13:AO15" si="7">AK13+AL13+AM13+AN13</f>
        <v>#VALUE!</v>
      </c>
      <c r="AP13" s="519" t="e">
        <f t="shared" ref="AP13:AP15" si="8">AO13-Q13</f>
        <v>#VALUE!</v>
      </c>
    </row>
    <row r="14" spans="1:52" ht="15" customHeight="1">
      <c r="A14" s="520">
        <v>3</v>
      </c>
      <c r="B14" s="507" t="s">
        <v>125</v>
      </c>
      <c r="C14" s="521">
        <v>11</v>
      </c>
      <c r="D14" s="522" t="s">
        <v>846</v>
      </c>
      <c r="E14" s="521">
        <v>1</v>
      </c>
      <c r="F14" s="522" t="s">
        <v>847</v>
      </c>
      <c r="G14" s="522" t="s">
        <v>848</v>
      </c>
      <c r="H14" s="510" t="s">
        <v>127</v>
      </c>
      <c r="I14" s="521"/>
      <c r="J14" s="523"/>
      <c r="K14" s="521"/>
      <c r="L14" s="523"/>
      <c r="M14" s="521"/>
      <c r="N14" s="524"/>
      <c r="O14" s="524">
        <v>150000</v>
      </c>
      <c r="P14" s="524">
        <v>370700</v>
      </c>
      <c r="Q14" s="525"/>
      <c r="R14" s="526"/>
      <c r="S14" s="526"/>
      <c r="T14" s="526"/>
      <c r="U14" s="526"/>
      <c r="V14" s="521">
        <v>39928</v>
      </c>
      <c r="W14" s="521">
        <v>11500</v>
      </c>
      <c r="X14" s="521">
        <v>60</v>
      </c>
      <c r="Y14" s="521"/>
      <c r="Z14" s="521"/>
      <c r="AA14" s="521"/>
      <c r="AB14" s="523" t="s">
        <v>128</v>
      </c>
      <c r="AC14" s="521"/>
      <c r="AD14" s="521"/>
      <c r="AE14" s="521"/>
      <c r="AF14" s="521"/>
      <c r="AG14" s="527"/>
      <c r="AH14" s="527"/>
      <c r="AI14" s="527"/>
      <c r="AJ14" s="527"/>
      <c r="AK14" s="528"/>
      <c r="AL14" s="528"/>
      <c r="AM14" s="528"/>
      <c r="AN14" s="528"/>
      <c r="AO14" s="529"/>
      <c r="AP14" s="530"/>
    </row>
    <row r="15" spans="1:52" ht="64.5" thickBot="1">
      <c r="A15" s="520">
        <v>4</v>
      </c>
      <c r="B15" s="507" t="s">
        <v>125</v>
      </c>
      <c r="C15" s="521">
        <v>11</v>
      </c>
      <c r="D15" s="522" t="s">
        <v>849</v>
      </c>
      <c r="E15" s="521">
        <v>1</v>
      </c>
      <c r="F15" s="522" t="s">
        <v>850</v>
      </c>
      <c r="G15" s="522" t="s">
        <v>851</v>
      </c>
      <c r="H15" s="510" t="s">
        <v>127</v>
      </c>
      <c r="I15" s="521"/>
      <c r="J15" s="523" t="s">
        <v>128</v>
      </c>
      <c r="K15" s="521"/>
      <c r="L15" s="523" t="s">
        <v>128</v>
      </c>
      <c r="M15" s="521"/>
      <c r="N15" s="524"/>
      <c r="O15" s="524">
        <v>40000</v>
      </c>
      <c r="P15" s="524">
        <v>307000</v>
      </c>
      <c r="Q15" s="525"/>
      <c r="R15" s="526"/>
      <c r="S15" s="526"/>
      <c r="T15" s="526"/>
      <c r="U15" s="526"/>
      <c r="V15" s="521">
        <v>25000</v>
      </c>
      <c r="W15" s="521">
        <v>25000</v>
      </c>
      <c r="X15" s="521">
        <v>60</v>
      </c>
      <c r="Y15" s="521"/>
      <c r="Z15" s="521"/>
      <c r="AA15" s="521"/>
      <c r="AB15" s="523" t="s">
        <v>128</v>
      </c>
      <c r="AC15" s="521"/>
      <c r="AD15" s="521"/>
      <c r="AE15" s="521"/>
      <c r="AF15" s="521"/>
      <c r="AG15" s="527"/>
      <c r="AH15" s="527"/>
      <c r="AI15" s="527"/>
      <c r="AJ15" s="527"/>
      <c r="AK15" s="528">
        <f t="shared" si="6"/>
        <v>0</v>
      </c>
      <c r="AL15" s="528">
        <f t="shared" si="5"/>
        <v>0</v>
      </c>
      <c r="AM15" s="528">
        <f t="shared" si="5"/>
        <v>0</v>
      </c>
      <c r="AN15" s="528" t="e">
        <f t="shared" si="5"/>
        <v>#VALUE!</v>
      </c>
      <c r="AO15" s="529" t="e">
        <f t="shared" si="7"/>
        <v>#VALUE!</v>
      </c>
      <c r="AP15" s="530" t="e">
        <f t="shared" si="8"/>
        <v>#VALUE!</v>
      </c>
    </row>
    <row r="16" spans="1:52" ht="27" customHeight="1" thickBot="1">
      <c r="A16" s="531"/>
      <c r="B16" s="532" t="s">
        <v>115</v>
      </c>
      <c r="C16" s="532">
        <f>SUM(C12:C15)</f>
        <v>44</v>
      </c>
      <c r="D16" s="532"/>
      <c r="E16" s="532">
        <f t="shared" ref="E16:AP16" si="9">SUM(E12:E15)</f>
        <v>5</v>
      </c>
      <c r="F16" s="532"/>
      <c r="G16" s="532"/>
      <c r="H16" s="532"/>
      <c r="I16" s="532"/>
      <c r="J16" s="532"/>
      <c r="K16" s="532"/>
      <c r="L16" s="532"/>
      <c r="M16" s="533"/>
      <c r="N16" s="534">
        <f t="shared" si="9"/>
        <v>0</v>
      </c>
      <c r="O16" s="535">
        <f t="shared" si="9"/>
        <v>1065000</v>
      </c>
      <c r="P16" s="532">
        <f t="shared" si="9"/>
        <v>2646750</v>
      </c>
      <c r="Q16" s="532">
        <f t="shared" si="9"/>
        <v>0</v>
      </c>
      <c r="R16" s="532">
        <f t="shared" si="9"/>
        <v>0</v>
      </c>
      <c r="S16" s="532">
        <f t="shared" si="9"/>
        <v>0</v>
      </c>
      <c r="T16" s="532">
        <f t="shared" si="9"/>
        <v>0</v>
      </c>
      <c r="U16" s="532">
        <f t="shared" si="9"/>
        <v>0</v>
      </c>
      <c r="V16" s="532">
        <f t="shared" si="9"/>
        <v>143524</v>
      </c>
      <c r="W16" s="532">
        <f t="shared" si="9"/>
        <v>71100</v>
      </c>
      <c r="X16" s="532">
        <f t="shared" si="9"/>
        <v>210</v>
      </c>
      <c r="Y16" s="532">
        <f t="shared" si="9"/>
        <v>0</v>
      </c>
      <c r="Z16" s="532">
        <f t="shared" si="9"/>
        <v>0</v>
      </c>
      <c r="AA16" s="532">
        <f t="shared" si="9"/>
        <v>30</v>
      </c>
      <c r="AB16" s="532">
        <f t="shared" si="9"/>
        <v>0</v>
      </c>
      <c r="AC16" s="532">
        <f t="shared" si="9"/>
        <v>0</v>
      </c>
      <c r="AD16" s="532">
        <f t="shared" si="9"/>
        <v>0</v>
      </c>
      <c r="AE16" s="532">
        <f t="shared" si="9"/>
        <v>0</v>
      </c>
      <c r="AF16" s="532">
        <f t="shared" si="9"/>
        <v>0</v>
      </c>
      <c r="AG16" s="532">
        <f t="shared" si="9"/>
        <v>0</v>
      </c>
      <c r="AH16" s="532">
        <f t="shared" si="9"/>
        <v>0</v>
      </c>
      <c r="AI16" s="532">
        <f t="shared" si="9"/>
        <v>0</v>
      </c>
      <c r="AJ16" s="532">
        <f t="shared" si="9"/>
        <v>0</v>
      </c>
      <c r="AK16" s="532">
        <f t="shared" si="9"/>
        <v>0</v>
      </c>
      <c r="AL16" s="532">
        <f t="shared" si="9"/>
        <v>0</v>
      </c>
      <c r="AM16" s="532">
        <f t="shared" si="9"/>
        <v>0</v>
      </c>
      <c r="AN16" s="532" t="e">
        <f t="shared" si="9"/>
        <v>#VALUE!</v>
      </c>
      <c r="AO16" s="532" t="e">
        <f t="shared" si="9"/>
        <v>#VALUE!</v>
      </c>
      <c r="AP16" s="536" t="e">
        <f t="shared" si="9"/>
        <v>#VALUE!</v>
      </c>
    </row>
    <row r="17" spans="1:42" ht="28.5">
      <c r="A17" s="6">
        <v>1</v>
      </c>
      <c r="B17" s="39" t="s">
        <v>827</v>
      </c>
      <c r="C17" s="39">
        <v>14</v>
      </c>
      <c r="D17" s="7" t="s">
        <v>129</v>
      </c>
      <c r="E17" s="39">
        <v>1</v>
      </c>
      <c r="F17" s="39">
        <v>2024</v>
      </c>
      <c r="G17" s="7" t="s">
        <v>828</v>
      </c>
      <c r="H17" s="132" t="s">
        <v>829</v>
      </c>
      <c r="I17" s="39"/>
      <c r="J17" s="39"/>
      <c r="K17" s="412" t="s">
        <v>130</v>
      </c>
      <c r="L17" s="39"/>
      <c r="M17" s="39"/>
      <c r="N17" s="537"/>
      <c r="O17" s="537" t="s">
        <v>896</v>
      </c>
      <c r="P17" s="537" t="s">
        <v>897</v>
      </c>
      <c r="Q17" s="538">
        <f t="shared" ref="Q17:Q20" si="10">N17+O17+P17</f>
        <v>1090</v>
      </c>
      <c r="R17" s="43"/>
      <c r="S17" s="43"/>
      <c r="T17" s="43"/>
      <c r="U17" s="43"/>
      <c r="V17" s="39">
        <v>19500</v>
      </c>
      <c r="W17" s="39">
        <v>19500</v>
      </c>
      <c r="X17" s="39">
        <v>100</v>
      </c>
      <c r="Y17" s="39"/>
      <c r="Z17" s="39"/>
      <c r="AA17" s="39"/>
      <c r="AB17" s="539">
        <v>0</v>
      </c>
      <c r="AC17" s="39"/>
      <c r="AD17" s="39"/>
      <c r="AE17" s="39"/>
      <c r="AF17" s="39"/>
      <c r="AG17" s="44"/>
      <c r="AH17" s="44"/>
      <c r="AI17" s="44"/>
      <c r="AJ17" s="44"/>
      <c r="AK17" s="45">
        <f>R17*Y17</f>
        <v>0</v>
      </c>
      <c r="AL17" s="45">
        <f t="shared" ref="AL17:AN21" si="11">S17*Z17</f>
        <v>0</v>
      </c>
      <c r="AM17" s="45">
        <f t="shared" si="11"/>
        <v>0</v>
      </c>
      <c r="AN17" s="45">
        <f t="shared" si="11"/>
        <v>0</v>
      </c>
      <c r="AO17" s="13">
        <f>AK17+AL17+AM17+AN17</f>
        <v>0</v>
      </c>
      <c r="AP17" s="60">
        <f>AO17-Q17</f>
        <v>-1090</v>
      </c>
    </row>
    <row r="18" spans="1:42" ht="28.5">
      <c r="A18" s="540"/>
      <c r="B18" s="52"/>
      <c r="C18" s="39"/>
      <c r="D18" s="7" t="s">
        <v>131</v>
      </c>
      <c r="E18" s="39">
        <v>1</v>
      </c>
      <c r="F18" s="39">
        <v>2024</v>
      </c>
      <c r="G18" s="7" t="s">
        <v>830</v>
      </c>
      <c r="H18" s="40" t="s">
        <v>60</v>
      </c>
      <c r="I18" s="52"/>
      <c r="J18" s="52"/>
      <c r="K18" s="412" t="s">
        <v>130</v>
      </c>
      <c r="L18" s="52"/>
      <c r="M18" s="52"/>
      <c r="N18" s="541"/>
      <c r="O18" s="541" t="s">
        <v>898</v>
      </c>
      <c r="P18" s="541" t="s">
        <v>836</v>
      </c>
      <c r="Q18" s="538">
        <f t="shared" si="10"/>
        <v>1150</v>
      </c>
      <c r="R18" s="57"/>
      <c r="S18" s="57"/>
      <c r="T18" s="57"/>
      <c r="U18" s="57"/>
      <c r="V18" s="39">
        <v>19500</v>
      </c>
      <c r="W18" s="52">
        <v>19500</v>
      </c>
      <c r="X18" s="39">
        <v>100</v>
      </c>
      <c r="Y18" s="52"/>
      <c r="Z18" s="39"/>
      <c r="AA18" s="52"/>
      <c r="AB18" s="539">
        <v>0</v>
      </c>
      <c r="AC18" s="52"/>
      <c r="AD18" s="52"/>
      <c r="AE18" s="52"/>
      <c r="AF18" s="52"/>
      <c r="AG18" s="58"/>
      <c r="AH18" s="58"/>
      <c r="AI18" s="58"/>
      <c r="AJ18" s="58"/>
      <c r="AK18" s="45">
        <f t="shared" ref="AK18:AK21" si="12">R18*Y18</f>
        <v>0</v>
      </c>
      <c r="AL18" s="45">
        <f t="shared" si="11"/>
        <v>0</v>
      </c>
      <c r="AM18" s="45">
        <f t="shared" si="11"/>
        <v>0</v>
      </c>
      <c r="AN18" s="45">
        <f t="shared" si="11"/>
        <v>0</v>
      </c>
      <c r="AO18" s="13">
        <f t="shared" ref="AO18:AO21" si="13">AK18+AL18+AM18+AN18</f>
        <v>0</v>
      </c>
      <c r="AP18" s="60">
        <f t="shared" ref="AP18:AP21" si="14">AO18-Q18</f>
        <v>-1150</v>
      </c>
    </row>
    <row r="19" spans="1:42" ht="14.25">
      <c r="A19" s="542"/>
      <c r="B19" s="112"/>
      <c r="C19" s="65"/>
      <c r="D19" s="66" t="s">
        <v>831</v>
      </c>
      <c r="E19" s="65">
        <v>1</v>
      </c>
      <c r="F19" s="65">
        <v>2021</v>
      </c>
      <c r="G19" s="65"/>
      <c r="H19" s="142" t="s">
        <v>832</v>
      </c>
      <c r="I19" s="112"/>
      <c r="J19" s="112"/>
      <c r="K19" s="413"/>
      <c r="L19" s="112"/>
      <c r="M19" s="112"/>
      <c r="N19" s="543"/>
      <c r="O19" s="541" t="s">
        <v>835</v>
      </c>
      <c r="P19" s="543" t="s">
        <v>899</v>
      </c>
      <c r="Q19" s="538">
        <f t="shared" si="10"/>
        <v>970</v>
      </c>
      <c r="R19" s="114"/>
      <c r="S19" s="114"/>
      <c r="T19" s="114"/>
      <c r="U19" s="114"/>
      <c r="V19" s="65">
        <v>19500</v>
      </c>
      <c r="W19" s="112">
        <v>5000</v>
      </c>
      <c r="X19" s="65">
        <v>25.6</v>
      </c>
      <c r="Y19" s="52"/>
      <c r="Z19" s="65">
        <v>68040</v>
      </c>
      <c r="AA19" s="112"/>
      <c r="AB19" s="414"/>
      <c r="AC19" s="112"/>
      <c r="AD19" s="112"/>
      <c r="AE19" s="112"/>
      <c r="AF19" s="112"/>
      <c r="AG19" s="115"/>
      <c r="AH19" s="115"/>
      <c r="AI19" s="115"/>
      <c r="AJ19" s="115"/>
      <c r="AK19" s="45">
        <f t="shared" si="12"/>
        <v>0</v>
      </c>
      <c r="AL19" s="45">
        <f t="shared" si="11"/>
        <v>0</v>
      </c>
      <c r="AM19" s="45">
        <f t="shared" si="11"/>
        <v>0</v>
      </c>
      <c r="AN19" s="45">
        <f t="shared" si="11"/>
        <v>0</v>
      </c>
      <c r="AO19" s="13">
        <f t="shared" si="13"/>
        <v>0</v>
      </c>
      <c r="AP19" s="60">
        <f t="shared" si="14"/>
        <v>-970</v>
      </c>
    </row>
    <row r="20" spans="1:42" ht="57">
      <c r="A20" s="542"/>
      <c r="B20" s="112"/>
      <c r="C20" s="65"/>
      <c r="D20" s="66" t="s">
        <v>833</v>
      </c>
      <c r="E20" s="65">
        <v>1</v>
      </c>
      <c r="F20" s="65">
        <v>2024</v>
      </c>
      <c r="G20" s="66" t="s">
        <v>834</v>
      </c>
      <c r="H20" s="69" t="s">
        <v>60</v>
      </c>
      <c r="I20" s="112"/>
      <c r="J20" s="112"/>
      <c r="K20" s="412" t="s">
        <v>130</v>
      </c>
      <c r="L20" s="112"/>
      <c r="M20" s="112"/>
      <c r="N20" s="543"/>
      <c r="O20" s="541" t="s">
        <v>839</v>
      </c>
      <c r="P20" s="543" t="s">
        <v>900</v>
      </c>
      <c r="Q20" s="538">
        <f t="shared" si="10"/>
        <v>535</v>
      </c>
      <c r="R20" s="114"/>
      <c r="S20" s="114"/>
      <c r="T20" s="114"/>
      <c r="U20" s="114"/>
      <c r="V20" s="65">
        <v>19500</v>
      </c>
      <c r="W20" s="112">
        <v>5500</v>
      </c>
      <c r="X20" s="65">
        <v>28.2</v>
      </c>
      <c r="Y20" s="412" t="s">
        <v>132</v>
      </c>
      <c r="Z20" s="65">
        <v>39360</v>
      </c>
      <c r="AA20" s="112"/>
      <c r="AB20" s="112"/>
      <c r="AC20" s="112"/>
      <c r="AD20" s="112"/>
      <c r="AE20" s="112"/>
      <c r="AF20" s="112"/>
      <c r="AG20" s="115"/>
      <c r="AH20" s="115"/>
      <c r="AI20" s="115"/>
      <c r="AJ20" s="115"/>
      <c r="AK20" s="45" t="e">
        <f t="shared" si="12"/>
        <v>#VALUE!</v>
      </c>
      <c r="AL20" s="45">
        <f t="shared" si="11"/>
        <v>0</v>
      </c>
      <c r="AM20" s="45">
        <f t="shared" si="11"/>
        <v>0</v>
      </c>
      <c r="AN20" s="45">
        <f t="shared" si="11"/>
        <v>0</v>
      </c>
      <c r="AO20" s="13" t="e">
        <f t="shared" si="13"/>
        <v>#VALUE!</v>
      </c>
      <c r="AP20" s="60" t="e">
        <f t="shared" si="14"/>
        <v>#VALUE!</v>
      </c>
    </row>
    <row r="21" spans="1:42" ht="43.5" thickBot="1">
      <c r="A21" s="542"/>
      <c r="B21" s="112"/>
      <c r="C21" s="65"/>
      <c r="D21" s="66" t="s">
        <v>837</v>
      </c>
      <c r="E21" s="65">
        <v>1</v>
      </c>
      <c r="F21" s="65">
        <v>2024</v>
      </c>
      <c r="G21" s="66" t="s">
        <v>838</v>
      </c>
      <c r="H21" s="69" t="s">
        <v>60</v>
      </c>
      <c r="I21" s="112"/>
      <c r="J21" s="112"/>
      <c r="K21" s="414" t="s">
        <v>130</v>
      </c>
      <c r="L21" s="112"/>
      <c r="M21" s="112"/>
      <c r="N21" s="543"/>
      <c r="O21" s="541" t="s">
        <v>901</v>
      </c>
      <c r="P21" s="543" t="s">
        <v>840</v>
      </c>
      <c r="Q21" s="538">
        <f>N21+O21+P21</f>
        <v>115</v>
      </c>
      <c r="R21" s="114"/>
      <c r="S21" s="114"/>
      <c r="T21" s="114"/>
      <c r="U21" s="114"/>
      <c r="V21" s="65">
        <v>19500</v>
      </c>
      <c r="W21" s="112">
        <v>1000</v>
      </c>
      <c r="X21" s="65">
        <v>5.0999999999999996</v>
      </c>
      <c r="Y21" s="414" t="s">
        <v>132</v>
      </c>
      <c r="Z21" s="65"/>
      <c r="AA21" s="112"/>
      <c r="AB21" s="112"/>
      <c r="AC21" s="112"/>
      <c r="AD21" s="112"/>
      <c r="AE21" s="112"/>
      <c r="AF21" s="112"/>
      <c r="AG21" s="115"/>
      <c r="AH21" s="115"/>
      <c r="AI21" s="115"/>
      <c r="AJ21" s="115"/>
      <c r="AK21" s="45" t="e">
        <f t="shared" si="12"/>
        <v>#VALUE!</v>
      </c>
      <c r="AL21" s="45">
        <f t="shared" si="11"/>
        <v>0</v>
      </c>
      <c r="AM21" s="45">
        <f t="shared" si="11"/>
        <v>0</v>
      </c>
      <c r="AN21" s="45">
        <f t="shared" si="11"/>
        <v>0</v>
      </c>
      <c r="AO21" s="13" t="e">
        <f t="shared" si="13"/>
        <v>#VALUE!</v>
      </c>
      <c r="AP21" s="60" t="e">
        <f t="shared" si="14"/>
        <v>#VALUE!</v>
      </c>
    </row>
    <row r="22" spans="1:42" ht="15" thickBot="1">
      <c r="A22" s="136"/>
      <c r="B22" s="137" t="s">
        <v>115</v>
      </c>
      <c r="C22" s="138">
        <v>14</v>
      </c>
      <c r="D22" s="137"/>
      <c r="E22" s="138">
        <f t="shared" ref="E22:AP22" si="15">SUM(E17:E21)</f>
        <v>5</v>
      </c>
      <c r="F22" s="138"/>
      <c r="G22" s="138"/>
      <c r="H22" s="137"/>
      <c r="I22" s="137"/>
      <c r="J22" s="139"/>
      <c r="K22" s="297"/>
      <c r="L22" s="141"/>
      <c r="M22" s="139"/>
      <c r="N22" s="140">
        <f t="shared" si="15"/>
        <v>0</v>
      </c>
      <c r="O22" s="347">
        <f t="shared" si="15"/>
        <v>0</v>
      </c>
      <c r="P22" s="137">
        <f t="shared" si="15"/>
        <v>0</v>
      </c>
      <c r="Q22" s="137">
        <f t="shared" si="15"/>
        <v>3860</v>
      </c>
      <c r="R22" s="137">
        <f t="shared" si="15"/>
        <v>0</v>
      </c>
      <c r="S22" s="137">
        <f t="shared" si="15"/>
        <v>0</v>
      </c>
      <c r="T22" s="137">
        <f t="shared" si="15"/>
        <v>0</v>
      </c>
      <c r="U22" s="137">
        <f t="shared" si="15"/>
        <v>0</v>
      </c>
      <c r="V22" s="138">
        <f t="shared" si="15"/>
        <v>97500</v>
      </c>
      <c r="W22" s="137">
        <f t="shared" si="15"/>
        <v>50500</v>
      </c>
      <c r="X22" s="147">
        <f t="shared" si="15"/>
        <v>258.89999999999998</v>
      </c>
      <c r="Y22" s="140">
        <f t="shared" si="15"/>
        <v>0</v>
      </c>
      <c r="Z22" s="298">
        <f t="shared" si="15"/>
        <v>107400</v>
      </c>
      <c r="AA22" s="137">
        <f t="shared" si="15"/>
        <v>0</v>
      </c>
      <c r="AB22" s="137">
        <f t="shared" si="15"/>
        <v>0</v>
      </c>
      <c r="AC22" s="137">
        <f t="shared" si="15"/>
        <v>0</v>
      </c>
      <c r="AD22" s="137">
        <f t="shared" si="15"/>
        <v>0</v>
      </c>
      <c r="AE22" s="137">
        <f t="shared" si="15"/>
        <v>0</v>
      </c>
      <c r="AF22" s="137">
        <f t="shared" si="15"/>
        <v>0</v>
      </c>
      <c r="AG22" s="137">
        <f t="shared" si="15"/>
        <v>0</v>
      </c>
      <c r="AH22" s="137">
        <f t="shared" si="15"/>
        <v>0</v>
      </c>
      <c r="AI22" s="137">
        <f t="shared" si="15"/>
        <v>0</v>
      </c>
      <c r="AJ22" s="137">
        <f t="shared" si="15"/>
        <v>0</v>
      </c>
      <c r="AK22" s="137" t="e">
        <f t="shared" si="15"/>
        <v>#VALUE!</v>
      </c>
      <c r="AL22" s="137">
        <f t="shared" si="15"/>
        <v>0</v>
      </c>
      <c r="AM22" s="137">
        <f t="shared" si="15"/>
        <v>0</v>
      </c>
      <c r="AN22" s="137">
        <f t="shared" si="15"/>
        <v>0</v>
      </c>
      <c r="AO22" s="137" t="e">
        <f t="shared" si="15"/>
        <v>#VALUE!</v>
      </c>
      <c r="AP22" s="211" t="e">
        <f t="shared" si="15"/>
        <v>#VALUE!</v>
      </c>
    </row>
    <row r="23" spans="1:42" ht="409.5">
      <c r="A23" s="544">
        <v>1</v>
      </c>
      <c r="B23" s="545" t="s">
        <v>133</v>
      </c>
      <c r="C23" s="546">
        <v>2</v>
      </c>
      <c r="D23" s="547" t="s">
        <v>817</v>
      </c>
      <c r="E23" s="546">
        <v>1</v>
      </c>
      <c r="F23" s="548">
        <v>45357</v>
      </c>
      <c r="G23" s="546" t="s">
        <v>818</v>
      </c>
      <c r="H23" s="549" t="s">
        <v>819</v>
      </c>
      <c r="I23" s="546"/>
      <c r="J23" s="546"/>
      <c r="K23" s="546"/>
      <c r="L23" s="546"/>
      <c r="M23" s="546"/>
      <c r="N23" s="550">
        <v>54419531</v>
      </c>
      <c r="O23" s="550">
        <v>15937700</v>
      </c>
      <c r="P23" s="550">
        <v>2049359</v>
      </c>
      <c r="Q23" s="551">
        <f>N23+O23+P23</f>
        <v>72406590</v>
      </c>
      <c r="R23" s="552"/>
      <c r="S23" s="552"/>
      <c r="T23" s="552"/>
      <c r="U23" s="552"/>
      <c r="V23" s="546">
        <v>39971</v>
      </c>
      <c r="W23" s="546">
        <v>100</v>
      </c>
      <c r="X23" s="546">
        <v>100</v>
      </c>
      <c r="Y23" s="546"/>
      <c r="Z23" s="546"/>
      <c r="AA23" s="546"/>
      <c r="AB23" s="546"/>
      <c r="AC23" s="546"/>
      <c r="AD23" s="546"/>
      <c r="AE23" s="546"/>
      <c r="AF23" s="553" t="s">
        <v>820</v>
      </c>
      <c r="AG23" s="554"/>
      <c r="AH23" s="554"/>
      <c r="AI23" s="554"/>
      <c r="AJ23" s="554">
        <v>66586506</v>
      </c>
      <c r="AK23" s="555">
        <f>R23*Y23</f>
        <v>0</v>
      </c>
      <c r="AL23" s="555">
        <f>S23*Z23</f>
        <v>0</v>
      </c>
      <c r="AM23" s="555">
        <f>T23*AA23</f>
        <v>0</v>
      </c>
      <c r="AN23" s="555">
        <f>U23*AB23</f>
        <v>0</v>
      </c>
      <c r="AO23" s="556">
        <f>AK23+AL23+AM23+AN23</f>
        <v>0</v>
      </c>
      <c r="AP23" s="557">
        <f>AO23-Q23</f>
        <v>-72406590</v>
      </c>
    </row>
    <row r="24" spans="1:42" ht="85.5">
      <c r="A24" s="558">
        <v>2</v>
      </c>
      <c r="B24" s="559"/>
      <c r="C24" s="560"/>
      <c r="D24" s="561" t="s">
        <v>821</v>
      </c>
      <c r="E24" s="560">
        <v>1</v>
      </c>
      <c r="F24" s="560" t="s">
        <v>822</v>
      </c>
      <c r="G24" s="560" t="s">
        <v>823</v>
      </c>
      <c r="H24" s="562" t="s">
        <v>824</v>
      </c>
      <c r="I24" s="560"/>
      <c r="J24" s="560"/>
      <c r="K24" s="560"/>
      <c r="L24" s="560"/>
      <c r="M24" s="560"/>
      <c r="N24" s="563"/>
      <c r="O24" s="563"/>
      <c r="P24" s="563"/>
      <c r="Q24" s="564"/>
      <c r="R24" s="565"/>
      <c r="S24" s="565"/>
      <c r="T24" s="565"/>
      <c r="U24" s="565"/>
      <c r="V24" s="56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6"/>
      <c r="AH24" s="566"/>
      <c r="AI24" s="566"/>
      <c r="AJ24" s="566"/>
      <c r="AK24" s="567"/>
      <c r="AL24" s="567"/>
      <c r="AM24" s="567"/>
      <c r="AN24" s="567"/>
      <c r="AO24" s="568"/>
      <c r="AP24" s="569"/>
    </row>
    <row r="25" spans="1:42" ht="85.5">
      <c r="A25" s="544">
        <v>3</v>
      </c>
      <c r="B25" s="559"/>
      <c r="C25" s="560"/>
      <c r="D25" s="561" t="s">
        <v>821</v>
      </c>
      <c r="E25" s="560">
        <v>1</v>
      </c>
      <c r="F25" s="560" t="s">
        <v>822</v>
      </c>
      <c r="G25" s="560" t="s">
        <v>823</v>
      </c>
      <c r="H25" s="562" t="s">
        <v>825</v>
      </c>
      <c r="I25" s="560"/>
      <c r="J25" s="560"/>
      <c r="K25" s="560"/>
      <c r="L25" s="560"/>
      <c r="M25" s="560"/>
      <c r="N25" s="563"/>
      <c r="O25" s="563"/>
      <c r="P25" s="563"/>
      <c r="Q25" s="564"/>
      <c r="R25" s="565"/>
      <c r="S25" s="565"/>
      <c r="T25" s="565"/>
      <c r="U25" s="565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6"/>
      <c r="AH25" s="566"/>
      <c r="AI25" s="566"/>
      <c r="AJ25" s="566"/>
      <c r="AK25" s="567"/>
      <c r="AL25" s="567"/>
      <c r="AM25" s="567"/>
      <c r="AN25" s="567"/>
      <c r="AO25" s="568"/>
      <c r="AP25" s="569"/>
    </row>
    <row r="26" spans="1:42" ht="85.5">
      <c r="A26" s="558">
        <v>4</v>
      </c>
      <c r="B26" s="559"/>
      <c r="C26" s="560"/>
      <c r="D26" s="561" t="s">
        <v>821</v>
      </c>
      <c r="E26" s="560">
        <v>1</v>
      </c>
      <c r="F26" s="560" t="s">
        <v>822</v>
      </c>
      <c r="G26" s="560" t="s">
        <v>823</v>
      </c>
      <c r="H26" s="570"/>
      <c r="I26" s="560"/>
      <c r="J26" s="560"/>
      <c r="K26" s="560"/>
      <c r="L26" s="560"/>
      <c r="M26" s="560"/>
      <c r="N26" s="563"/>
      <c r="O26" s="563"/>
      <c r="P26" s="563"/>
      <c r="Q26" s="564"/>
      <c r="R26" s="565"/>
      <c r="S26" s="565"/>
      <c r="T26" s="565"/>
      <c r="U26" s="565"/>
      <c r="V26" s="560"/>
      <c r="W26" s="560"/>
      <c r="X26" s="560"/>
      <c r="Y26" s="560"/>
      <c r="Z26" s="560"/>
      <c r="AA26" s="560"/>
      <c r="AB26" s="560"/>
      <c r="AC26" s="560"/>
      <c r="AD26" s="560"/>
      <c r="AE26" s="560"/>
      <c r="AF26" s="560"/>
      <c r="AG26" s="566"/>
      <c r="AH26" s="566"/>
      <c r="AI26" s="566"/>
      <c r="AJ26" s="566"/>
      <c r="AK26" s="567"/>
      <c r="AL26" s="567"/>
      <c r="AM26" s="567"/>
      <c r="AN26" s="567"/>
      <c r="AO26" s="568"/>
      <c r="AP26" s="569"/>
    </row>
    <row r="27" spans="1:42" ht="85.5">
      <c r="A27" s="544">
        <v>5</v>
      </c>
      <c r="B27" s="559"/>
      <c r="C27" s="560"/>
      <c r="D27" s="561" t="s">
        <v>821</v>
      </c>
      <c r="E27" s="560">
        <v>1</v>
      </c>
      <c r="F27" s="560" t="s">
        <v>822</v>
      </c>
      <c r="G27" s="560" t="s">
        <v>823</v>
      </c>
      <c r="H27" s="570"/>
      <c r="I27" s="560"/>
      <c r="J27" s="560"/>
      <c r="K27" s="560"/>
      <c r="L27" s="560"/>
      <c r="M27" s="560"/>
      <c r="N27" s="563"/>
      <c r="O27" s="563"/>
      <c r="P27" s="563"/>
      <c r="Q27" s="564"/>
      <c r="R27" s="565"/>
      <c r="S27" s="565"/>
      <c r="T27" s="565"/>
      <c r="U27" s="565"/>
      <c r="V27" s="560"/>
      <c r="W27" s="560"/>
      <c r="X27" s="560"/>
      <c r="Y27" s="560"/>
      <c r="Z27" s="560"/>
      <c r="AA27" s="560"/>
      <c r="AB27" s="560"/>
      <c r="AC27" s="560"/>
      <c r="AD27" s="560"/>
      <c r="AE27" s="560"/>
      <c r="AF27" s="560"/>
      <c r="AG27" s="566"/>
      <c r="AH27" s="566"/>
      <c r="AI27" s="566"/>
      <c r="AJ27" s="566"/>
      <c r="AK27" s="567"/>
      <c r="AL27" s="567"/>
      <c r="AM27" s="567"/>
      <c r="AN27" s="567"/>
      <c r="AO27" s="568"/>
      <c r="AP27" s="569"/>
    </row>
    <row r="28" spans="1:42" ht="85.5">
      <c r="A28" s="558">
        <v>6</v>
      </c>
      <c r="B28" s="559"/>
      <c r="C28" s="560"/>
      <c r="D28" s="561" t="s">
        <v>821</v>
      </c>
      <c r="E28" s="560">
        <v>1</v>
      </c>
      <c r="F28" s="560" t="s">
        <v>902</v>
      </c>
      <c r="G28" s="560" t="s">
        <v>823</v>
      </c>
      <c r="H28" s="570"/>
      <c r="I28" s="560"/>
      <c r="J28" s="560"/>
      <c r="K28" s="560"/>
      <c r="L28" s="560"/>
      <c r="M28" s="560"/>
      <c r="N28" s="563"/>
      <c r="O28" s="563"/>
      <c r="P28" s="563"/>
      <c r="Q28" s="564"/>
      <c r="R28" s="565"/>
      <c r="S28" s="565"/>
      <c r="T28" s="565"/>
      <c r="U28" s="565"/>
      <c r="V28" s="56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6"/>
      <c r="AH28" s="566"/>
      <c r="AI28" s="566"/>
      <c r="AJ28" s="566"/>
      <c r="AK28" s="567"/>
      <c r="AL28" s="567"/>
      <c r="AM28" s="567"/>
      <c r="AN28" s="567"/>
      <c r="AO28" s="568"/>
      <c r="AP28" s="569"/>
    </row>
    <row r="29" spans="1:42" ht="85.5">
      <c r="A29" s="544">
        <v>7</v>
      </c>
      <c r="B29" s="559"/>
      <c r="C29" s="560"/>
      <c r="D29" s="561" t="s">
        <v>821</v>
      </c>
      <c r="E29" s="560">
        <v>1</v>
      </c>
      <c r="F29" s="560" t="s">
        <v>822</v>
      </c>
      <c r="G29" s="560" t="s">
        <v>823</v>
      </c>
      <c r="H29" s="570"/>
      <c r="I29" s="560"/>
      <c r="J29" s="560"/>
      <c r="K29" s="560"/>
      <c r="L29" s="560"/>
      <c r="M29" s="560"/>
      <c r="N29" s="563"/>
      <c r="O29" s="563"/>
      <c r="P29" s="563"/>
      <c r="Q29" s="564"/>
      <c r="R29" s="565"/>
      <c r="S29" s="565"/>
      <c r="T29" s="565"/>
      <c r="U29" s="565"/>
      <c r="V29" s="560"/>
      <c r="W29" s="560"/>
      <c r="X29" s="560"/>
      <c r="Y29" s="560"/>
      <c r="Z29" s="560"/>
      <c r="AA29" s="560"/>
      <c r="AB29" s="560"/>
      <c r="AC29" s="560"/>
      <c r="AD29" s="560"/>
      <c r="AE29" s="560"/>
      <c r="AF29" s="560"/>
      <c r="AG29" s="566"/>
      <c r="AH29" s="566"/>
      <c r="AI29" s="566"/>
      <c r="AJ29" s="566"/>
      <c r="AK29" s="567"/>
      <c r="AL29" s="567"/>
      <c r="AM29" s="567"/>
      <c r="AN29" s="567"/>
      <c r="AO29" s="568"/>
      <c r="AP29" s="569"/>
    </row>
    <row r="30" spans="1:42" ht="85.5">
      <c r="A30" s="558">
        <v>8</v>
      </c>
      <c r="B30" s="559"/>
      <c r="C30" s="560"/>
      <c r="D30" s="561" t="s">
        <v>821</v>
      </c>
      <c r="E30" s="560">
        <v>1</v>
      </c>
      <c r="F30" s="560" t="s">
        <v>822</v>
      </c>
      <c r="G30" s="560" t="s">
        <v>823</v>
      </c>
      <c r="H30" s="570"/>
      <c r="I30" s="560"/>
      <c r="J30" s="560"/>
      <c r="K30" s="560"/>
      <c r="L30" s="560"/>
      <c r="M30" s="560"/>
      <c r="N30" s="563"/>
      <c r="O30" s="563"/>
      <c r="P30" s="563"/>
      <c r="Q30" s="564"/>
      <c r="R30" s="565"/>
      <c r="S30" s="565"/>
      <c r="T30" s="565"/>
      <c r="U30" s="565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6"/>
      <c r="AH30" s="566"/>
      <c r="AI30" s="566"/>
      <c r="AJ30" s="566"/>
      <c r="AK30" s="567"/>
      <c r="AL30" s="567"/>
      <c r="AM30" s="567"/>
      <c r="AN30" s="567"/>
      <c r="AO30" s="568"/>
      <c r="AP30" s="569"/>
    </row>
    <row r="31" spans="1:42" ht="14.25">
      <c r="A31" s="544">
        <v>9</v>
      </c>
      <c r="B31" s="560" t="s">
        <v>132</v>
      </c>
      <c r="C31" s="560">
        <v>17</v>
      </c>
      <c r="D31" s="561" t="s">
        <v>865</v>
      </c>
      <c r="E31" s="560">
        <v>3</v>
      </c>
      <c r="F31" s="560" t="s">
        <v>866</v>
      </c>
      <c r="G31" s="560" t="s">
        <v>135</v>
      </c>
      <c r="H31" s="571" t="s">
        <v>136</v>
      </c>
      <c r="I31" s="560"/>
      <c r="J31" s="560"/>
      <c r="K31" s="560"/>
      <c r="L31" s="560"/>
      <c r="M31" s="560"/>
      <c r="N31" s="572"/>
      <c r="O31" s="572">
        <v>4000000</v>
      </c>
      <c r="P31" s="572"/>
      <c r="Q31" s="564">
        <f>N31+O31+P31</f>
        <v>4000000</v>
      </c>
      <c r="R31" s="573"/>
      <c r="S31" s="573"/>
      <c r="T31" s="573"/>
      <c r="U31" s="573"/>
      <c r="V31" s="560"/>
      <c r="W31" s="560"/>
      <c r="X31" s="560"/>
      <c r="Y31" s="560"/>
      <c r="Z31" s="560"/>
      <c r="AA31" s="560">
        <v>80</v>
      </c>
      <c r="AB31" s="560"/>
      <c r="AC31" s="560"/>
      <c r="AD31" s="560"/>
      <c r="AE31" s="560"/>
      <c r="AF31" s="560"/>
      <c r="AG31" s="574"/>
      <c r="AH31" s="574"/>
      <c r="AI31" s="574"/>
      <c r="AJ31" s="574"/>
      <c r="AK31" s="575">
        <f>R31*Y31</f>
        <v>0</v>
      </c>
      <c r="AL31" s="575">
        <f t="shared" ref="AL31:AN32" si="16">S31*Z31</f>
        <v>0</v>
      </c>
      <c r="AM31" s="575">
        <f t="shared" si="16"/>
        <v>0</v>
      </c>
      <c r="AN31" s="575">
        <f t="shared" si="16"/>
        <v>0</v>
      </c>
      <c r="AO31" s="568">
        <f>AK31+AL31+AM31+AN31</f>
        <v>0</v>
      </c>
      <c r="AP31" s="576">
        <f>AO31-Q31</f>
        <v>-4000000</v>
      </c>
    </row>
    <row r="32" spans="1:42" ht="28.5">
      <c r="A32" s="558">
        <v>10</v>
      </c>
      <c r="B32" s="560"/>
      <c r="C32" s="560"/>
      <c r="D32" s="561" t="s">
        <v>867</v>
      </c>
      <c r="E32" s="560">
        <v>1</v>
      </c>
      <c r="F32" s="560" t="s">
        <v>868</v>
      </c>
      <c r="G32" s="561" t="s">
        <v>869</v>
      </c>
      <c r="H32" s="571" t="s">
        <v>136</v>
      </c>
      <c r="I32" s="560"/>
      <c r="J32" s="560"/>
      <c r="K32" s="560"/>
      <c r="L32" s="560"/>
      <c r="M32" s="560"/>
      <c r="N32" s="572"/>
      <c r="O32" s="572">
        <v>1500000</v>
      </c>
      <c r="P32" s="572"/>
      <c r="Q32" s="564">
        <f t="shared" ref="Q32" si="17">N32+O32+P32</f>
        <v>1500000</v>
      </c>
      <c r="R32" s="573"/>
      <c r="S32" s="573"/>
      <c r="T32" s="573"/>
      <c r="U32" s="573"/>
      <c r="V32" s="560"/>
      <c r="W32" s="560"/>
      <c r="X32" s="560"/>
      <c r="Y32" s="560"/>
      <c r="Z32" s="560"/>
      <c r="AA32" s="560"/>
      <c r="AB32" s="561"/>
      <c r="AC32" s="560"/>
      <c r="AD32" s="560"/>
      <c r="AE32" s="560"/>
      <c r="AF32" s="560"/>
      <c r="AG32" s="574"/>
      <c r="AH32" s="574"/>
      <c r="AI32" s="574"/>
      <c r="AJ32" s="574"/>
      <c r="AK32" s="575">
        <f t="shared" ref="AK32" si="18">R32*Y32</f>
        <v>0</v>
      </c>
      <c r="AL32" s="575">
        <f t="shared" si="16"/>
        <v>0</v>
      </c>
      <c r="AM32" s="575">
        <f t="shared" si="16"/>
        <v>0</v>
      </c>
      <c r="AN32" s="575">
        <f t="shared" si="16"/>
        <v>0</v>
      </c>
      <c r="AO32" s="568">
        <f t="shared" ref="AO32" si="19">AK32+AL32+AM32+AN32</f>
        <v>0</v>
      </c>
      <c r="AP32" s="577">
        <f t="shared" ref="AP32" si="20">AO32-Q32</f>
        <v>-1500000</v>
      </c>
    </row>
    <row r="33" spans="1:42" ht="28.5">
      <c r="A33" s="544">
        <v>11</v>
      </c>
      <c r="B33" s="559"/>
      <c r="C33" s="560"/>
      <c r="D33" s="561" t="s">
        <v>867</v>
      </c>
      <c r="E33" s="560">
        <v>1</v>
      </c>
      <c r="F33" s="560" t="s">
        <v>868</v>
      </c>
      <c r="G33" s="560" t="s">
        <v>869</v>
      </c>
      <c r="H33" s="570" t="s">
        <v>136</v>
      </c>
      <c r="I33" s="560"/>
      <c r="J33" s="560"/>
      <c r="K33" s="560"/>
      <c r="L33" s="560"/>
      <c r="M33" s="560"/>
      <c r="N33" s="563"/>
      <c r="O33" s="563">
        <v>1500000</v>
      </c>
      <c r="P33" s="563"/>
      <c r="Q33" s="564">
        <v>1500000</v>
      </c>
      <c r="R33" s="565"/>
      <c r="S33" s="565"/>
      <c r="T33" s="565"/>
      <c r="U33" s="565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6"/>
      <c r="AH33" s="566"/>
      <c r="AI33" s="566"/>
      <c r="AJ33" s="566"/>
      <c r="AK33" s="567">
        <v>0</v>
      </c>
      <c r="AL33" s="567"/>
      <c r="AM33" s="567"/>
      <c r="AN33" s="567"/>
      <c r="AO33" s="568"/>
      <c r="AP33" s="578"/>
    </row>
    <row r="34" spans="1:42" ht="15" thickBot="1">
      <c r="A34" s="579"/>
      <c r="B34" s="580" t="s">
        <v>115</v>
      </c>
      <c r="C34" s="580">
        <f>SUM(C23:C33)</f>
        <v>19</v>
      </c>
      <c r="D34" s="580"/>
      <c r="E34" s="580">
        <f>SUM(E23:E33)</f>
        <v>13</v>
      </c>
      <c r="F34" s="580"/>
      <c r="G34" s="580"/>
      <c r="H34" s="580"/>
      <c r="I34" s="580"/>
      <c r="J34" s="580"/>
      <c r="K34" s="580"/>
      <c r="L34" s="580"/>
      <c r="M34" s="581"/>
      <c r="N34" s="582">
        <f t="shared" ref="N34:AP34" si="21">SUM(N23:N33)</f>
        <v>54419531</v>
      </c>
      <c r="O34" s="583">
        <f t="shared" si="21"/>
        <v>22937700</v>
      </c>
      <c r="P34" s="580">
        <f t="shared" si="21"/>
        <v>2049359</v>
      </c>
      <c r="Q34" s="580">
        <f t="shared" si="21"/>
        <v>79406590</v>
      </c>
      <c r="R34" s="580">
        <f t="shared" si="21"/>
        <v>0</v>
      </c>
      <c r="S34" s="580">
        <f t="shared" si="21"/>
        <v>0</v>
      </c>
      <c r="T34" s="580">
        <f t="shared" si="21"/>
        <v>0</v>
      </c>
      <c r="U34" s="580">
        <f t="shared" si="21"/>
        <v>0</v>
      </c>
      <c r="V34" s="580">
        <f t="shared" si="21"/>
        <v>39971</v>
      </c>
      <c r="W34" s="580">
        <f t="shared" si="21"/>
        <v>100</v>
      </c>
      <c r="X34" s="580">
        <f t="shared" si="21"/>
        <v>100</v>
      </c>
      <c r="Y34" s="580">
        <f t="shared" si="21"/>
        <v>0</v>
      </c>
      <c r="Z34" s="580">
        <f t="shared" si="21"/>
        <v>0</v>
      </c>
      <c r="AA34" s="580">
        <f t="shared" si="21"/>
        <v>80</v>
      </c>
      <c r="AB34" s="580">
        <f t="shared" si="21"/>
        <v>0</v>
      </c>
      <c r="AC34" s="580">
        <f t="shared" si="21"/>
        <v>0</v>
      </c>
      <c r="AD34" s="580">
        <f t="shared" si="21"/>
        <v>0</v>
      </c>
      <c r="AE34" s="580">
        <f t="shared" si="21"/>
        <v>0</v>
      </c>
      <c r="AF34" s="580">
        <f t="shared" si="21"/>
        <v>0</v>
      </c>
      <c r="AG34" s="580">
        <f t="shared" si="21"/>
        <v>0</v>
      </c>
      <c r="AH34" s="580">
        <f t="shared" si="21"/>
        <v>0</v>
      </c>
      <c r="AI34" s="580">
        <f t="shared" si="21"/>
        <v>0</v>
      </c>
      <c r="AJ34" s="580">
        <f t="shared" si="21"/>
        <v>66586506</v>
      </c>
      <c r="AK34" s="580">
        <f t="shared" si="21"/>
        <v>0</v>
      </c>
      <c r="AL34" s="580">
        <f t="shared" si="21"/>
        <v>0</v>
      </c>
      <c r="AM34" s="580">
        <f t="shared" si="21"/>
        <v>0</v>
      </c>
      <c r="AN34" s="580">
        <f t="shared" si="21"/>
        <v>0</v>
      </c>
      <c r="AO34" s="580">
        <f t="shared" si="21"/>
        <v>0</v>
      </c>
      <c r="AP34" s="584">
        <f t="shared" si="21"/>
        <v>-77906590</v>
      </c>
    </row>
    <row r="35" spans="1:42" ht="34.5">
      <c r="A35" s="7">
        <v>1</v>
      </c>
      <c r="B35" s="929" t="s">
        <v>137</v>
      </c>
      <c r="C35" s="929">
        <v>31</v>
      </c>
      <c r="D35" s="929" t="s">
        <v>794</v>
      </c>
      <c r="E35" s="929">
        <v>1</v>
      </c>
      <c r="F35" s="585" t="s">
        <v>795</v>
      </c>
      <c r="G35" s="929" t="s">
        <v>903</v>
      </c>
      <c r="H35" s="946" t="s">
        <v>136</v>
      </c>
      <c r="I35" s="585"/>
      <c r="J35" s="585"/>
      <c r="K35" s="585"/>
      <c r="L35" s="940" t="s">
        <v>796</v>
      </c>
      <c r="M35" s="585"/>
      <c r="N35" s="587"/>
      <c r="O35" s="588">
        <v>1031634</v>
      </c>
      <c r="P35" s="930"/>
      <c r="Q35" s="932">
        <v>2113400</v>
      </c>
      <c r="R35" s="10"/>
      <c r="S35" s="10"/>
      <c r="T35" s="10"/>
      <c r="U35" s="10"/>
      <c r="V35" s="943">
        <v>81782</v>
      </c>
      <c r="W35" s="7"/>
      <c r="X35" s="943">
        <v>100</v>
      </c>
      <c r="Y35" s="7"/>
      <c r="Z35" s="873"/>
      <c r="AA35" s="873"/>
      <c r="AB35" s="589"/>
      <c r="AC35" s="7"/>
      <c r="AD35" s="7"/>
      <c r="AE35" s="7"/>
      <c r="AF35" s="7"/>
      <c r="AG35" s="11"/>
      <c r="AH35" s="11"/>
      <c r="AI35" s="11"/>
      <c r="AJ35" s="11"/>
      <c r="AK35" s="12">
        <f>R35*Y35</f>
        <v>0</v>
      </c>
      <c r="AL35" s="12">
        <f t="shared" ref="AL35:AN37" si="22">S35*Z35</f>
        <v>0</v>
      </c>
      <c r="AM35" s="12">
        <f t="shared" si="22"/>
        <v>0</v>
      </c>
      <c r="AN35" s="12">
        <f t="shared" si="22"/>
        <v>0</v>
      </c>
      <c r="AO35" s="13">
        <f>AK35+AL35+AM35+AN35</f>
        <v>0</v>
      </c>
      <c r="AP35" s="934">
        <f>AO35-Q35</f>
        <v>-2113400</v>
      </c>
    </row>
    <row r="36" spans="1:42" ht="17.25">
      <c r="A36" s="7">
        <v>2</v>
      </c>
      <c r="B36" s="929"/>
      <c r="C36" s="929"/>
      <c r="D36" s="929"/>
      <c r="E36" s="929"/>
      <c r="F36" s="590"/>
      <c r="G36" s="929"/>
      <c r="H36" s="946"/>
      <c r="I36" s="585"/>
      <c r="J36" s="585"/>
      <c r="K36" s="585"/>
      <c r="L36" s="941"/>
      <c r="M36" s="585"/>
      <c r="N36" s="587"/>
      <c r="O36" s="591"/>
      <c r="P36" s="931"/>
      <c r="Q36" s="933"/>
      <c r="R36" s="10"/>
      <c r="S36" s="10"/>
      <c r="T36" s="10"/>
      <c r="U36" s="10"/>
      <c r="V36" s="944"/>
      <c r="W36" s="7"/>
      <c r="X36" s="944"/>
      <c r="Y36" s="7"/>
      <c r="Z36" s="873"/>
      <c r="AA36" s="873"/>
      <c r="AB36" s="589"/>
      <c r="AC36" s="7"/>
      <c r="AD36" s="7"/>
      <c r="AE36" s="7"/>
      <c r="AF36" s="7"/>
      <c r="AG36" s="11"/>
      <c r="AH36" s="11"/>
      <c r="AI36" s="11"/>
      <c r="AJ36" s="11"/>
      <c r="AK36" s="12">
        <f>R36*Y36</f>
        <v>0</v>
      </c>
      <c r="AL36" s="12">
        <f>S36</f>
        <v>0</v>
      </c>
      <c r="AM36" s="12">
        <f>T36*Z36</f>
        <v>0</v>
      </c>
      <c r="AN36" s="12">
        <f t="shared" si="22"/>
        <v>0</v>
      </c>
      <c r="AO36" s="13">
        <f>AK36+AL36+AM36+AN36</f>
        <v>0</v>
      </c>
      <c r="AP36" s="934"/>
    </row>
    <row r="37" spans="1:42" ht="34.5">
      <c r="A37" s="7">
        <v>3</v>
      </c>
      <c r="B37" s="929"/>
      <c r="C37" s="929"/>
      <c r="D37" s="592" t="s">
        <v>50</v>
      </c>
      <c r="E37" s="585">
        <v>1</v>
      </c>
      <c r="F37" s="585" t="s">
        <v>797</v>
      </c>
      <c r="G37" s="585" t="s">
        <v>798</v>
      </c>
      <c r="H37" s="946"/>
      <c r="I37" s="585"/>
      <c r="J37" s="585"/>
      <c r="K37" s="585"/>
      <c r="L37" s="942"/>
      <c r="M37" s="585"/>
      <c r="N37" s="587"/>
      <c r="O37" s="588">
        <v>3457368</v>
      </c>
      <c r="P37" s="587">
        <v>130000</v>
      </c>
      <c r="Q37" s="593">
        <f>N37+O37+P37</f>
        <v>3587368</v>
      </c>
      <c r="R37" s="10"/>
      <c r="S37" s="10"/>
      <c r="T37" s="10"/>
      <c r="U37" s="10"/>
      <c r="V37" s="944"/>
      <c r="W37" s="7"/>
      <c r="X37" s="944"/>
      <c r="Y37" s="7"/>
      <c r="Z37" s="935"/>
      <c r="AA37" s="936"/>
      <c r="AB37" s="589"/>
      <c r="AC37" s="7"/>
      <c r="AD37" s="7"/>
      <c r="AE37" s="7"/>
      <c r="AF37" s="7"/>
      <c r="AG37" s="11"/>
      <c r="AH37" s="11"/>
      <c r="AI37" s="11"/>
      <c r="AJ37" s="11"/>
      <c r="AK37" s="12">
        <f>R37*Y37</f>
        <v>0</v>
      </c>
      <c r="AL37" s="12" t="e">
        <f>S37*#REF!</f>
        <v>#REF!</v>
      </c>
      <c r="AM37" s="12">
        <f>T37*Z37</f>
        <v>0</v>
      </c>
      <c r="AN37" s="12">
        <f t="shared" si="22"/>
        <v>0</v>
      </c>
      <c r="AO37" s="13" t="e">
        <f>AK37+AL37+AM37+AN37</f>
        <v>#REF!</v>
      </c>
      <c r="AP37" s="62" t="e">
        <f>AO37-Q37</f>
        <v>#REF!</v>
      </c>
    </row>
    <row r="38" spans="1:42" ht="293.25">
      <c r="A38" s="7"/>
      <c r="B38" s="929"/>
      <c r="C38" s="929"/>
      <c r="D38" s="418" t="s">
        <v>799</v>
      </c>
      <c r="E38" s="586"/>
      <c r="F38" s="590">
        <v>45814</v>
      </c>
      <c r="G38" s="585" t="s">
        <v>800</v>
      </c>
      <c r="H38" s="946"/>
      <c r="I38" s="585"/>
      <c r="J38" s="585"/>
      <c r="K38" s="585"/>
      <c r="L38" s="585" t="s">
        <v>801</v>
      </c>
      <c r="M38" s="585"/>
      <c r="N38" s="587"/>
      <c r="O38" s="588">
        <v>836460</v>
      </c>
      <c r="P38" s="587"/>
      <c r="Q38" s="593"/>
      <c r="R38" s="10"/>
      <c r="S38" s="10"/>
      <c r="T38" s="10"/>
      <c r="U38" s="10"/>
      <c r="V38" s="944"/>
      <c r="W38" s="7"/>
      <c r="X38" s="944"/>
      <c r="Y38" s="7"/>
      <c r="Z38" s="495"/>
      <c r="AA38" s="392"/>
      <c r="AB38" s="589"/>
      <c r="AC38" s="7"/>
      <c r="AD38" s="7"/>
      <c r="AE38" s="7"/>
      <c r="AF38" s="7"/>
      <c r="AG38" s="11"/>
      <c r="AH38" s="11"/>
      <c r="AI38" s="11"/>
      <c r="AJ38" s="11"/>
      <c r="AK38" s="12"/>
      <c r="AL38" s="12"/>
      <c r="AM38" s="12"/>
      <c r="AN38" s="12"/>
      <c r="AO38" s="13"/>
      <c r="AP38" s="62"/>
    </row>
    <row r="39" spans="1:42" ht="310.5">
      <c r="A39" s="48">
        <v>4</v>
      </c>
      <c r="B39" s="929"/>
      <c r="C39" s="929"/>
      <c r="D39" s="594" t="s">
        <v>802</v>
      </c>
      <c r="E39" s="594">
        <v>1</v>
      </c>
      <c r="F39" s="592" t="s">
        <v>803</v>
      </c>
      <c r="G39" s="592" t="s">
        <v>804</v>
      </c>
      <c r="H39" s="946"/>
      <c r="I39" s="592"/>
      <c r="J39" s="592"/>
      <c r="K39" s="592"/>
      <c r="L39" s="585" t="s">
        <v>805</v>
      </c>
      <c r="M39" s="592"/>
      <c r="N39" s="587"/>
      <c r="O39" s="588">
        <v>920106</v>
      </c>
      <c r="P39" s="587"/>
      <c r="Q39" s="593">
        <v>199200</v>
      </c>
      <c r="R39" s="10"/>
      <c r="S39" s="10"/>
      <c r="T39" s="10"/>
      <c r="U39" s="10"/>
      <c r="V39" s="944"/>
      <c r="W39" s="48"/>
      <c r="X39" s="944"/>
      <c r="Y39" s="48"/>
      <c r="Z39" s="48"/>
      <c r="AA39" s="48"/>
      <c r="AB39" s="589"/>
      <c r="AC39" s="48"/>
      <c r="AD39" s="48"/>
      <c r="AE39" s="48"/>
      <c r="AF39" s="48"/>
      <c r="AG39" s="11"/>
      <c r="AH39" s="11"/>
      <c r="AI39" s="11"/>
      <c r="AJ39" s="11"/>
      <c r="AK39" s="12"/>
      <c r="AL39" s="12"/>
      <c r="AM39" s="12"/>
      <c r="AN39" s="12"/>
      <c r="AO39" s="13"/>
      <c r="AP39" s="62"/>
    </row>
    <row r="40" spans="1:42" ht="327.75">
      <c r="A40" s="48"/>
      <c r="B40" s="929"/>
      <c r="C40" s="929"/>
      <c r="D40" s="937" t="s">
        <v>76</v>
      </c>
      <c r="E40" s="937">
        <v>2</v>
      </c>
      <c r="F40" s="592" t="s">
        <v>806</v>
      </c>
      <c r="G40" s="592" t="s">
        <v>807</v>
      </c>
      <c r="H40" s="946"/>
      <c r="I40" s="592"/>
      <c r="J40" s="592"/>
      <c r="K40" s="592"/>
      <c r="L40" s="585" t="s">
        <v>808</v>
      </c>
      <c r="M40" s="592"/>
      <c r="N40" s="587"/>
      <c r="O40" s="587"/>
      <c r="P40" s="587"/>
      <c r="Q40" s="593"/>
      <c r="R40" s="10"/>
      <c r="S40" s="10"/>
      <c r="T40" s="10"/>
      <c r="U40" s="10"/>
      <c r="V40" s="944"/>
      <c r="W40" s="48"/>
      <c r="X40" s="944"/>
      <c r="Y40" s="48"/>
      <c r="Z40" s="48"/>
      <c r="AA40" s="48"/>
      <c r="AB40" s="589"/>
      <c r="AC40" s="48"/>
      <c r="AD40" s="48"/>
      <c r="AE40" s="48"/>
      <c r="AF40" s="48"/>
      <c r="AG40" s="11"/>
      <c r="AH40" s="11"/>
      <c r="AI40" s="11"/>
      <c r="AJ40" s="11"/>
      <c r="AK40" s="12"/>
      <c r="AL40" s="12"/>
      <c r="AM40" s="12"/>
      <c r="AN40" s="12"/>
      <c r="AO40" s="13"/>
      <c r="AP40" s="62"/>
    </row>
    <row r="41" spans="1:42" ht="34.5">
      <c r="A41" s="48">
        <v>5</v>
      </c>
      <c r="B41" s="929"/>
      <c r="C41" s="929"/>
      <c r="D41" s="938"/>
      <c r="E41" s="938"/>
      <c r="F41" s="592" t="s">
        <v>809</v>
      </c>
      <c r="G41" s="592" t="s">
        <v>810</v>
      </c>
      <c r="H41" s="946"/>
      <c r="I41" s="592"/>
      <c r="J41" s="592"/>
      <c r="K41" s="592"/>
      <c r="L41" s="937" t="s">
        <v>796</v>
      </c>
      <c r="M41" s="592"/>
      <c r="N41" s="587"/>
      <c r="O41" s="587"/>
      <c r="P41" s="587"/>
      <c r="Q41" s="593"/>
      <c r="R41" s="10"/>
      <c r="S41" s="10"/>
      <c r="T41" s="10"/>
      <c r="U41" s="10"/>
      <c r="V41" s="944"/>
      <c r="W41" s="48"/>
      <c r="X41" s="944"/>
      <c r="Y41" s="48"/>
      <c r="Z41" s="48"/>
      <c r="AA41" s="48"/>
      <c r="AB41" s="589"/>
      <c r="AC41" s="48"/>
      <c r="AD41" s="48"/>
      <c r="AE41" s="48"/>
      <c r="AF41" s="48"/>
      <c r="AG41" s="11"/>
      <c r="AH41" s="11"/>
      <c r="AI41" s="11"/>
      <c r="AJ41" s="11"/>
      <c r="AK41" s="12"/>
      <c r="AL41" s="12"/>
      <c r="AM41" s="12"/>
      <c r="AN41" s="12"/>
      <c r="AO41" s="13"/>
      <c r="AP41" s="62"/>
    </row>
    <row r="42" spans="1:42" ht="51.75">
      <c r="A42" s="48">
        <v>6</v>
      </c>
      <c r="B42" s="929"/>
      <c r="C42" s="929"/>
      <c r="D42" s="592" t="s">
        <v>811</v>
      </c>
      <c r="E42" s="592">
        <v>1</v>
      </c>
      <c r="F42" s="592" t="s">
        <v>812</v>
      </c>
      <c r="G42" s="592" t="s">
        <v>813</v>
      </c>
      <c r="H42" s="946"/>
      <c r="I42" s="592"/>
      <c r="J42" s="592"/>
      <c r="K42" s="592"/>
      <c r="L42" s="939"/>
      <c r="M42" s="592"/>
      <c r="N42" s="587"/>
      <c r="O42" s="588">
        <v>710991</v>
      </c>
      <c r="P42" s="587"/>
      <c r="Q42" s="593">
        <v>158400</v>
      </c>
      <c r="R42" s="10"/>
      <c r="S42" s="10"/>
      <c r="T42" s="10"/>
      <c r="U42" s="10"/>
      <c r="V42" s="944"/>
      <c r="W42" s="48"/>
      <c r="X42" s="944"/>
      <c r="Y42" s="48"/>
      <c r="Z42" s="48"/>
      <c r="AA42" s="48"/>
      <c r="AB42" s="589"/>
      <c r="AC42" s="48"/>
      <c r="AD42" s="48"/>
      <c r="AE42" s="48"/>
      <c r="AF42" s="48"/>
      <c r="AG42" s="11"/>
      <c r="AH42" s="11"/>
      <c r="AI42" s="11"/>
      <c r="AJ42" s="11"/>
      <c r="AK42" s="12"/>
      <c r="AL42" s="12"/>
      <c r="AM42" s="12"/>
      <c r="AN42" s="12"/>
      <c r="AO42" s="13"/>
      <c r="AP42" s="62"/>
    </row>
    <row r="43" spans="1:42" ht="51.75">
      <c r="A43" s="873">
        <v>7</v>
      </c>
      <c r="B43" s="585"/>
      <c r="C43" s="585"/>
      <c r="D43" s="929" t="s">
        <v>138</v>
      </c>
      <c r="E43" s="929">
        <v>2</v>
      </c>
      <c r="F43" s="585" t="s">
        <v>814</v>
      </c>
      <c r="G43" s="585" t="s">
        <v>815</v>
      </c>
      <c r="H43" s="947"/>
      <c r="I43" s="585"/>
      <c r="J43" s="585"/>
      <c r="K43" s="585"/>
      <c r="L43" s="939"/>
      <c r="M43" s="585"/>
      <c r="N43" s="587"/>
      <c r="O43" s="595" t="s">
        <v>904</v>
      </c>
      <c r="P43" s="930">
        <v>430200</v>
      </c>
      <c r="Q43" s="932">
        <v>2339700</v>
      </c>
      <c r="R43" s="10"/>
      <c r="S43" s="10"/>
      <c r="T43" s="10"/>
      <c r="U43" s="10"/>
      <c r="V43" s="944"/>
      <c r="W43" s="7"/>
      <c r="X43" s="944"/>
      <c r="Y43" s="7"/>
      <c r="Z43" s="7"/>
      <c r="AA43" s="7"/>
      <c r="AB43" s="589"/>
      <c r="AC43" s="7"/>
      <c r="AD43" s="7"/>
      <c r="AE43" s="7"/>
      <c r="AF43" s="7"/>
      <c r="AG43" s="11"/>
      <c r="AH43" s="11"/>
      <c r="AI43" s="11"/>
      <c r="AJ43" s="11"/>
      <c r="AK43" s="12"/>
      <c r="AL43" s="12"/>
      <c r="AM43" s="12"/>
      <c r="AN43" s="12"/>
      <c r="AO43" s="13"/>
      <c r="AP43" s="62"/>
    </row>
    <row r="44" spans="1:42" ht="34.5">
      <c r="A44" s="928"/>
      <c r="B44" s="585"/>
      <c r="C44" s="585"/>
      <c r="D44" s="928"/>
      <c r="E44" s="928"/>
      <c r="F44" s="585" t="s">
        <v>814</v>
      </c>
      <c r="G44" s="585" t="s">
        <v>816</v>
      </c>
      <c r="H44" s="947"/>
      <c r="I44" s="585"/>
      <c r="J44" s="585"/>
      <c r="K44" s="585"/>
      <c r="L44" s="938"/>
      <c r="M44" s="585"/>
      <c r="N44" s="587"/>
      <c r="O44" s="588">
        <v>1812330</v>
      </c>
      <c r="P44" s="931"/>
      <c r="Q44" s="933"/>
      <c r="R44" s="10"/>
      <c r="S44" s="10"/>
      <c r="T44" s="10"/>
      <c r="U44" s="10"/>
      <c r="V44" s="945"/>
      <c r="W44" s="7"/>
      <c r="X44" s="945"/>
      <c r="Y44" s="7"/>
      <c r="Z44" s="7"/>
      <c r="AA44" s="7"/>
      <c r="AB44" s="589"/>
      <c r="AC44" s="7"/>
      <c r="AD44" s="7"/>
      <c r="AE44" s="7"/>
      <c r="AF44" s="7"/>
      <c r="AG44" s="11"/>
      <c r="AH44" s="11"/>
      <c r="AI44" s="11"/>
      <c r="AJ44" s="11"/>
      <c r="AK44" s="12"/>
      <c r="AL44" s="12"/>
      <c r="AM44" s="12"/>
      <c r="AN44" s="12"/>
      <c r="AO44" s="13"/>
      <c r="AP44" s="62"/>
    </row>
    <row r="45" spans="1:42" ht="17.25" thickBot="1">
      <c r="A45" s="597"/>
      <c r="B45" s="400" t="s">
        <v>115</v>
      </c>
      <c r="C45" s="400">
        <f>SUM(C35:C37)</f>
        <v>31</v>
      </c>
      <c r="D45" s="596"/>
      <c r="E45" s="400">
        <f>SUM(E35:E44)</f>
        <v>8</v>
      </c>
      <c r="F45" s="400"/>
      <c r="G45" s="400"/>
      <c r="H45" s="400"/>
      <c r="I45" s="400"/>
      <c r="J45" s="400"/>
      <c r="K45" s="400"/>
      <c r="L45" s="400"/>
      <c r="M45" s="501"/>
      <c r="N45" s="502">
        <f>SUM(N35:N37)</f>
        <v>0</v>
      </c>
      <c r="O45" s="598">
        <f>SUM(O35:O44)</f>
        <v>8768889</v>
      </c>
      <c r="P45" s="598">
        <f>SUM(P35:P44)</f>
        <v>560200</v>
      </c>
      <c r="Q45" s="400">
        <f>SUM(Q35,Q36,Q37,Q39,Q40,Q41,Q42,Q43,Q44)</f>
        <v>8398068</v>
      </c>
      <c r="R45" s="400">
        <f t="shared" ref="R45:AP45" si="23">SUM(R35:R37)</f>
        <v>0</v>
      </c>
      <c r="S45" s="400">
        <f t="shared" si="23"/>
        <v>0</v>
      </c>
      <c r="T45" s="400">
        <f t="shared" si="23"/>
        <v>0</v>
      </c>
      <c r="U45" s="400">
        <f t="shared" si="23"/>
        <v>0</v>
      </c>
      <c r="V45" s="400">
        <f t="shared" si="23"/>
        <v>81782</v>
      </c>
      <c r="W45" s="400">
        <f t="shared" si="23"/>
        <v>0</v>
      </c>
      <c r="X45" s="400">
        <f t="shared" si="23"/>
        <v>100</v>
      </c>
      <c r="Y45" s="400">
        <f t="shared" si="23"/>
        <v>0</v>
      </c>
      <c r="Z45" s="400">
        <f>SUM(Z35:Z37)</f>
        <v>0</v>
      </c>
      <c r="AA45" s="400">
        <f t="shared" si="23"/>
        <v>0</v>
      </c>
      <c r="AB45" s="599">
        <f t="shared" si="23"/>
        <v>0</v>
      </c>
      <c r="AC45" s="400">
        <f t="shared" si="23"/>
        <v>0</v>
      </c>
      <c r="AD45" s="400">
        <f t="shared" si="23"/>
        <v>0</v>
      </c>
      <c r="AE45" s="400">
        <f t="shared" si="23"/>
        <v>0</v>
      </c>
      <c r="AF45" s="400">
        <f t="shared" si="23"/>
        <v>0</v>
      </c>
      <c r="AG45" s="400">
        <f t="shared" si="23"/>
        <v>0</v>
      </c>
      <c r="AH45" s="400">
        <f t="shared" si="23"/>
        <v>0</v>
      </c>
      <c r="AI45" s="400">
        <f t="shared" si="23"/>
        <v>0</v>
      </c>
      <c r="AJ45" s="400">
        <f t="shared" si="23"/>
        <v>0</v>
      </c>
      <c r="AK45" s="400">
        <f t="shared" si="23"/>
        <v>0</v>
      </c>
      <c r="AL45" s="400" t="e">
        <f t="shared" si="23"/>
        <v>#REF!</v>
      </c>
      <c r="AM45" s="400">
        <f t="shared" si="23"/>
        <v>0</v>
      </c>
      <c r="AN45" s="400">
        <f t="shared" si="23"/>
        <v>0</v>
      </c>
      <c r="AO45" s="400" t="e">
        <f t="shared" si="23"/>
        <v>#REF!</v>
      </c>
      <c r="AP45" s="600" t="e">
        <f t="shared" si="23"/>
        <v>#REF!</v>
      </c>
    </row>
    <row r="46" spans="1:42" ht="213.75">
      <c r="A46" s="6">
        <v>1</v>
      </c>
      <c r="B46" s="39" t="s">
        <v>139</v>
      </c>
      <c r="C46" s="39">
        <v>9</v>
      </c>
      <c r="D46" s="7" t="s">
        <v>870</v>
      </c>
      <c r="E46" s="39">
        <v>1</v>
      </c>
      <c r="F46" s="39" t="s">
        <v>871</v>
      </c>
      <c r="G46" s="7" t="s">
        <v>872</v>
      </c>
      <c r="H46" s="132" t="s">
        <v>873</v>
      </c>
      <c r="I46" s="39" t="s">
        <v>193</v>
      </c>
      <c r="J46" s="39" t="s">
        <v>193</v>
      </c>
      <c r="K46" s="39" t="s">
        <v>193</v>
      </c>
      <c r="L46" s="39" t="s">
        <v>193</v>
      </c>
      <c r="M46" s="39" t="s">
        <v>134</v>
      </c>
      <c r="N46" s="41"/>
      <c r="O46" s="41">
        <f>198050+852125+440000</f>
        <v>1490175</v>
      </c>
      <c r="P46" s="601">
        <f>229200+20000+74200+26000+8400+18000+20000+35000+96600+15000+41670+20000+85800+116000+17500+24000</f>
        <v>847370</v>
      </c>
      <c r="Q46" s="602">
        <f>N46+O46+P46</f>
        <v>2337545</v>
      </c>
      <c r="R46" s="43"/>
      <c r="S46" s="43"/>
      <c r="T46" s="43"/>
      <c r="U46" s="43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44"/>
      <c r="AH46" s="44"/>
      <c r="AI46" s="44"/>
      <c r="AJ46" s="44"/>
      <c r="AK46" s="45">
        <f>R46*Y46</f>
        <v>0</v>
      </c>
      <c r="AL46" s="45">
        <f t="shared" ref="AL46:AN48" si="24">S46*Z46</f>
        <v>0</v>
      </c>
      <c r="AM46" s="45">
        <f t="shared" si="24"/>
        <v>0</v>
      </c>
      <c r="AN46" s="45">
        <f t="shared" si="24"/>
        <v>0</v>
      </c>
      <c r="AO46" s="13">
        <f>AK46+AL46+AM46+AN46</f>
        <v>0</v>
      </c>
      <c r="AP46" s="60">
        <f>AO46-Q46</f>
        <v>-2337545</v>
      </c>
    </row>
    <row r="47" spans="1:42" ht="57">
      <c r="A47" s="540">
        <v>2</v>
      </c>
      <c r="B47" s="52"/>
      <c r="C47" s="39"/>
      <c r="D47" s="53" t="s">
        <v>874</v>
      </c>
      <c r="E47" s="39">
        <v>1</v>
      </c>
      <c r="F47" s="52" t="s">
        <v>875</v>
      </c>
      <c r="G47" s="7" t="s">
        <v>876</v>
      </c>
      <c r="H47" s="132" t="s">
        <v>873</v>
      </c>
      <c r="I47" s="52" t="s">
        <v>193</v>
      </c>
      <c r="J47" s="52" t="s">
        <v>193</v>
      </c>
      <c r="K47" s="52" t="s">
        <v>193</v>
      </c>
      <c r="L47" s="52" t="s">
        <v>193</v>
      </c>
      <c r="M47" s="39" t="s">
        <v>134</v>
      </c>
      <c r="N47" s="55"/>
      <c r="O47" s="55">
        <f>68000+289000+149600</f>
        <v>506600</v>
      </c>
      <c r="P47" s="55">
        <f>95000+42000+142500+40000+200000</f>
        <v>519500</v>
      </c>
      <c r="Q47" s="603">
        <f>N47+O47+P47</f>
        <v>1026100</v>
      </c>
      <c r="R47" s="57"/>
      <c r="S47" s="57"/>
      <c r="T47" s="57"/>
      <c r="U47" s="57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8"/>
      <c r="AH47" s="58"/>
      <c r="AI47" s="58"/>
      <c r="AJ47" s="58"/>
      <c r="AK47" s="59">
        <f t="shared" ref="AK47:AK48" si="25">R47*Y47</f>
        <v>0</v>
      </c>
      <c r="AL47" s="59">
        <f t="shared" si="24"/>
        <v>0</v>
      </c>
      <c r="AM47" s="59">
        <f t="shared" si="24"/>
        <v>0</v>
      </c>
      <c r="AN47" s="59">
        <f t="shared" si="24"/>
        <v>0</v>
      </c>
      <c r="AO47" s="13">
        <f t="shared" ref="AO47:AO48" si="26">AK47+AL47+AM47+AN47</f>
        <v>0</v>
      </c>
      <c r="AP47" s="60">
        <f t="shared" ref="AP47:AP48" si="27">AO47-Q47</f>
        <v>-1026100</v>
      </c>
    </row>
    <row r="48" spans="1:42" ht="114.75" thickBot="1">
      <c r="A48" s="542"/>
      <c r="B48" s="112"/>
      <c r="C48" s="65"/>
      <c r="D48" s="604" t="s">
        <v>905</v>
      </c>
      <c r="E48" s="65">
        <v>1</v>
      </c>
      <c r="F48" s="112" t="s">
        <v>877</v>
      </c>
      <c r="G48" s="66" t="s">
        <v>906</v>
      </c>
      <c r="H48" s="132" t="s">
        <v>873</v>
      </c>
      <c r="I48" s="112" t="s">
        <v>193</v>
      </c>
      <c r="J48" s="112" t="s">
        <v>193</v>
      </c>
      <c r="K48" s="112" t="s">
        <v>193</v>
      </c>
      <c r="L48" s="112" t="s">
        <v>193</v>
      </c>
      <c r="M48" s="65" t="s">
        <v>134</v>
      </c>
      <c r="N48" s="113"/>
      <c r="O48" s="113">
        <f>17000+34000+70400</f>
        <v>121400</v>
      </c>
      <c r="P48" s="605">
        <f>95000+42000+190000</f>
        <v>327000</v>
      </c>
      <c r="Q48" s="606">
        <f>N48+O48+P48</f>
        <v>448400</v>
      </c>
      <c r="R48" s="114"/>
      <c r="S48" s="114"/>
      <c r="T48" s="114"/>
      <c r="U48" s="114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5"/>
      <c r="AH48" s="115"/>
      <c r="AI48" s="115"/>
      <c r="AJ48" s="115"/>
      <c r="AK48" s="135">
        <f t="shared" si="25"/>
        <v>0</v>
      </c>
      <c r="AL48" s="135">
        <f t="shared" si="24"/>
        <v>0</v>
      </c>
      <c r="AM48" s="135">
        <f t="shared" si="24"/>
        <v>0</v>
      </c>
      <c r="AN48" s="135">
        <f t="shared" si="24"/>
        <v>0</v>
      </c>
      <c r="AO48" s="72">
        <f t="shared" si="26"/>
        <v>0</v>
      </c>
      <c r="AP48" s="342">
        <f t="shared" si="27"/>
        <v>-448400</v>
      </c>
    </row>
    <row r="49" spans="1:42" ht="15" thickBot="1">
      <c r="A49" s="136"/>
      <c r="B49" s="137" t="s">
        <v>115</v>
      </c>
      <c r="C49" s="138">
        <f>SUM(C46:C48)</f>
        <v>9</v>
      </c>
      <c r="D49" s="137"/>
      <c r="E49" s="138">
        <f t="shared" ref="E49:AP49" si="28">SUM(E46:E48)</f>
        <v>3</v>
      </c>
      <c r="F49" s="137"/>
      <c r="G49" s="138"/>
      <c r="H49" s="138"/>
      <c r="I49" s="137"/>
      <c r="J49" s="137"/>
      <c r="K49" s="137"/>
      <c r="L49" s="137"/>
      <c r="M49" s="139"/>
      <c r="N49" s="140">
        <f t="shared" si="28"/>
        <v>0</v>
      </c>
      <c r="O49" s="607">
        <f t="shared" si="28"/>
        <v>2118175</v>
      </c>
      <c r="P49" s="608">
        <f t="shared" si="28"/>
        <v>1693870</v>
      </c>
      <c r="Q49" s="608">
        <f t="shared" si="28"/>
        <v>3812045</v>
      </c>
      <c r="R49" s="137">
        <f t="shared" si="28"/>
        <v>0</v>
      </c>
      <c r="S49" s="137">
        <f t="shared" si="28"/>
        <v>0</v>
      </c>
      <c r="T49" s="137">
        <f t="shared" si="28"/>
        <v>0</v>
      </c>
      <c r="U49" s="137">
        <f t="shared" si="28"/>
        <v>0</v>
      </c>
      <c r="V49" s="137">
        <f t="shared" si="28"/>
        <v>0</v>
      </c>
      <c r="W49" s="137">
        <f t="shared" si="28"/>
        <v>0</v>
      </c>
      <c r="X49" s="137">
        <f t="shared" si="28"/>
        <v>0</v>
      </c>
      <c r="Y49" s="137">
        <f t="shared" si="28"/>
        <v>0</v>
      </c>
      <c r="Z49" s="137">
        <f t="shared" si="28"/>
        <v>0</v>
      </c>
      <c r="AA49" s="137">
        <f t="shared" si="28"/>
        <v>0</v>
      </c>
      <c r="AB49" s="137">
        <f t="shared" si="28"/>
        <v>0</v>
      </c>
      <c r="AC49" s="137">
        <f t="shared" si="28"/>
        <v>0</v>
      </c>
      <c r="AD49" s="137">
        <f t="shared" si="28"/>
        <v>0</v>
      </c>
      <c r="AE49" s="137">
        <f t="shared" si="28"/>
        <v>0</v>
      </c>
      <c r="AF49" s="137">
        <f t="shared" si="28"/>
        <v>0</v>
      </c>
      <c r="AG49" s="137">
        <f t="shared" si="28"/>
        <v>0</v>
      </c>
      <c r="AH49" s="137">
        <f t="shared" si="28"/>
        <v>0</v>
      </c>
      <c r="AI49" s="137">
        <f t="shared" si="28"/>
        <v>0</v>
      </c>
      <c r="AJ49" s="137">
        <f t="shared" si="28"/>
        <v>0</v>
      </c>
      <c r="AK49" s="137">
        <f t="shared" si="28"/>
        <v>0</v>
      </c>
      <c r="AL49" s="137">
        <f t="shared" si="28"/>
        <v>0</v>
      </c>
      <c r="AM49" s="137">
        <f t="shared" si="28"/>
        <v>0</v>
      </c>
      <c r="AN49" s="137">
        <f t="shared" si="28"/>
        <v>0</v>
      </c>
      <c r="AO49" s="137">
        <f t="shared" si="28"/>
        <v>0</v>
      </c>
      <c r="AP49" s="211">
        <f t="shared" si="28"/>
        <v>-3812045</v>
      </c>
    </row>
    <row r="50" spans="1:42">
      <c r="AG50" s="50"/>
      <c r="AH50" s="50"/>
      <c r="AI50" s="50"/>
      <c r="AJ50" s="50"/>
    </row>
    <row r="51" spans="1:42">
      <c r="AG51" s="50"/>
      <c r="AH51" s="50"/>
      <c r="AI51" s="50"/>
      <c r="AJ51" s="50"/>
    </row>
    <row r="52" spans="1:42">
      <c r="AG52" s="50"/>
      <c r="AH52" s="50"/>
      <c r="AI52" s="50"/>
      <c r="AJ52" s="50"/>
    </row>
    <row r="53" spans="1:42">
      <c r="AG53" s="50"/>
      <c r="AH53" s="50"/>
      <c r="AI53" s="50"/>
      <c r="AJ53" s="50"/>
    </row>
    <row r="54" spans="1:42">
      <c r="AG54" s="50"/>
      <c r="AH54" s="50"/>
      <c r="AI54" s="50"/>
      <c r="AJ54" s="50"/>
    </row>
    <row r="55" spans="1:42">
      <c r="AG55" s="50"/>
      <c r="AH55" s="50"/>
      <c r="AI55" s="50"/>
      <c r="AJ55" s="50"/>
    </row>
    <row r="56" spans="1:42">
      <c r="AG56" s="50"/>
      <c r="AH56" s="50"/>
      <c r="AI56" s="50"/>
      <c r="AJ56" s="50"/>
    </row>
    <row r="57" spans="1:42">
      <c r="AG57" s="50"/>
      <c r="AH57" s="50"/>
      <c r="AI57" s="50"/>
      <c r="AJ57" s="50"/>
    </row>
    <row r="58" spans="1:42">
      <c r="AG58" s="50"/>
      <c r="AH58" s="50"/>
      <c r="AI58" s="50"/>
      <c r="AJ58" s="50"/>
    </row>
    <row r="59" spans="1:42">
      <c r="AG59" s="50"/>
      <c r="AH59" s="50"/>
      <c r="AI59" s="50"/>
      <c r="AJ59" s="50"/>
    </row>
    <row r="60" spans="1:42">
      <c r="AG60" s="50"/>
      <c r="AH60" s="50"/>
      <c r="AI60" s="50"/>
      <c r="AJ60" s="50"/>
    </row>
    <row r="61" spans="1:42">
      <c r="AG61" s="50"/>
      <c r="AH61" s="50"/>
      <c r="AI61" s="50"/>
      <c r="AJ61" s="50"/>
    </row>
    <row r="62" spans="1:42">
      <c r="AG62" s="50"/>
      <c r="AH62" s="50"/>
      <c r="AI62" s="50"/>
      <c r="AJ62" s="50"/>
    </row>
    <row r="63" spans="1:42">
      <c r="AG63" s="50"/>
      <c r="AH63" s="50"/>
      <c r="AI63" s="50"/>
      <c r="AJ63" s="50"/>
    </row>
    <row r="64" spans="1:42">
      <c r="AG64" s="50"/>
      <c r="AH64" s="50"/>
      <c r="AI64" s="50"/>
      <c r="AJ64" s="50"/>
    </row>
    <row r="65" s="50" customFormat="1"/>
    <row r="66" s="50" customFormat="1"/>
    <row r="67" s="50" customFormat="1"/>
    <row r="68" s="50" customFormat="1"/>
    <row r="69" s="50" customFormat="1"/>
    <row r="70" s="50" customFormat="1"/>
    <row r="71" s="50" customFormat="1"/>
    <row r="72" s="50" customFormat="1"/>
    <row r="73" s="50" customFormat="1"/>
    <row r="74" s="50" customFormat="1"/>
    <row r="75" s="50" customFormat="1"/>
    <row r="76" s="50" customFormat="1"/>
    <row r="77" s="50" customFormat="1"/>
    <row r="78" s="50" customFormat="1"/>
    <row r="79" s="50" customFormat="1"/>
    <row r="80" s="50" customFormat="1"/>
    <row r="81" s="50" customFormat="1"/>
    <row r="82" s="50" customFormat="1"/>
    <row r="83" s="50" customFormat="1"/>
    <row r="84" s="50" customFormat="1"/>
    <row r="85" s="50" customFormat="1"/>
    <row r="86" s="50" customFormat="1"/>
    <row r="87" s="50" customFormat="1"/>
    <row r="88" s="50" customFormat="1"/>
    <row r="89" s="50" customFormat="1"/>
    <row r="90" s="50" customFormat="1"/>
    <row r="91" s="50" customFormat="1"/>
    <row r="92" s="50" customFormat="1"/>
    <row r="93" s="50" customFormat="1"/>
    <row r="94" s="50" customFormat="1"/>
    <row r="95" s="50" customFormat="1"/>
    <row r="96" s="50" customFormat="1"/>
    <row r="97" s="50" customFormat="1"/>
    <row r="98" s="50" customFormat="1"/>
    <row r="99" s="50" customFormat="1"/>
    <row r="100" s="50" customFormat="1"/>
    <row r="101" s="50" customFormat="1"/>
    <row r="102" s="50" customFormat="1"/>
    <row r="103" s="50" customFormat="1"/>
    <row r="104" s="50" customFormat="1"/>
    <row r="105" s="50" customFormat="1"/>
    <row r="106" s="50" customFormat="1"/>
    <row r="107" s="50" customFormat="1"/>
    <row r="108" s="50" customFormat="1"/>
    <row r="109" s="50" customFormat="1"/>
    <row r="110" s="50" customFormat="1"/>
    <row r="111" s="50" customFormat="1"/>
    <row r="112" s="50" customFormat="1"/>
    <row r="113" s="50" customFormat="1"/>
    <row r="114" s="50" customFormat="1"/>
    <row r="115" s="50" customFormat="1"/>
    <row r="116" s="50" customFormat="1"/>
    <row r="117" s="50" customFormat="1"/>
    <row r="118" s="50" customFormat="1"/>
    <row r="119" s="50" customFormat="1"/>
    <row r="120" s="50" customFormat="1"/>
    <row r="121" s="50" customFormat="1"/>
    <row r="122" s="50" customFormat="1"/>
    <row r="123" s="50" customFormat="1"/>
    <row r="124" s="50" customFormat="1"/>
    <row r="125" s="50" customFormat="1"/>
    <row r="126" s="50" customFormat="1"/>
    <row r="127" s="50" customFormat="1"/>
    <row r="128" s="50" customFormat="1"/>
    <row r="129" s="50" customFormat="1"/>
    <row r="130" s="50" customFormat="1"/>
    <row r="131" s="50" customFormat="1"/>
    <row r="132" s="50" customFormat="1"/>
    <row r="133" s="50" customFormat="1"/>
    <row r="134" s="50" customFormat="1"/>
    <row r="135" s="50" customFormat="1"/>
    <row r="136" s="50" customFormat="1"/>
    <row r="137" s="50" customFormat="1"/>
    <row r="138" s="50" customFormat="1"/>
    <row r="139" s="50" customFormat="1"/>
    <row r="140" s="50" customFormat="1"/>
    <row r="141" s="50" customFormat="1"/>
  </sheetData>
  <mergeCells count="55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B35:B42"/>
    <mergeCell ref="C35:C42"/>
    <mergeCell ref="D35:D36"/>
    <mergeCell ref="E35:E36"/>
    <mergeCell ref="G35:G36"/>
    <mergeCell ref="AP35:AP36"/>
    <mergeCell ref="Z36:AA36"/>
    <mergeCell ref="Z37:AA37"/>
    <mergeCell ref="D40:D41"/>
    <mergeCell ref="E40:E41"/>
    <mergeCell ref="L41:L44"/>
    <mergeCell ref="L35:L37"/>
    <mergeCell ref="P35:P36"/>
    <mergeCell ref="Q35:Q36"/>
    <mergeCell ref="V35:V44"/>
    <mergeCell ref="X35:X44"/>
    <mergeCell ref="Z35:AA35"/>
    <mergeCell ref="H35:H44"/>
    <mergeCell ref="A43:A44"/>
    <mergeCell ref="D43:D44"/>
    <mergeCell ref="E43:E44"/>
    <mergeCell ref="P43:P44"/>
    <mergeCell ref="Q43:Q44"/>
  </mergeCells>
  <pageMargins left="0.22" right="0.2" top="0.4" bottom="0.17" header="0.3" footer="0.17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FA3FC-AE89-43E5-AFF2-5252C17057CD}">
  <dimension ref="A1:AV181"/>
  <sheetViews>
    <sheetView topLeftCell="A30" zoomScale="50" zoomScaleNormal="50" workbookViewId="0">
      <selection activeCell="AB60" sqref="AB60"/>
    </sheetView>
  </sheetViews>
  <sheetFormatPr defaultRowHeight="13.5"/>
  <cols>
    <col min="1" max="1" width="4.7109375" style="2" customWidth="1"/>
    <col min="2" max="2" width="13" style="2" customWidth="1"/>
    <col min="3" max="3" width="9.5703125" style="2" customWidth="1"/>
    <col min="4" max="4" width="18.7109375" style="2" customWidth="1"/>
    <col min="5" max="5" width="9.5703125" style="2" customWidth="1"/>
    <col min="6" max="6" width="13.28515625" style="2" customWidth="1"/>
    <col min="7" max="7" width="17.28515625" style="2" bestFit="1" customWidth="1"/>
    <col min="8" max="8" width="11" style="2" customWidth="1"/>
    <col min="9" max="11" width="6.28515625" style="2" bestFit="1" customWidth="1"/>
    <col min="12" max="12" width="14.7109375" style="2" customWidth="1"/>
    <col min="13" max="13" width="8.28515625" style="2" customWidth="1"/>
    <col min="14" max="17" width="13.85546875" style="2" customWidth="1"/>
    <col min="18" max="23" width="10.42578125" style="2" customWidth="1"/>
    <col min="24" max="24" width="8.85546875" style="2" customWidth="1"/>
    <col min="25" max="32" width="10.42578125" style="2" customWidth="1"/>
    <col min="33" max="36" width="10.5703125" style="840" customWidth="1"/>
    <col min="37" max="41" width="11" style="2" customWidth="1"/>
    <col min="42" max="42" width="13.42578125" style="2" customWidth="1"/>
    <col min="43" max="43" width="8.85546875" style="2" customWidth="1"/>
    <col min="44" max="44" width="9.28515625" style="2" customWidth="1"/>
    <col min="45" max="45" width="4.140625" style="2" customWidth="1"/>
    <col min="46" max="46" width="6.5703125" style="2" customWidth="1"/>
    <col min="47" max="47" width="5.42578125" style="2" customWidth="1"/>
    <col min="48" max="48" width="5" style="2" customWidth="1"/>
    <col min="49" max="49" width="8" style="2" customWidth="1"/>
    <col min="50" max="50" width="5" style="2" customWidth="1"/>
    <col min="51" max="51" width="6.140625" style="2" customWidth="1"/>
    <col min="52" max="52" width="4.28515625" style="2" customWidth="1"/>
    <col min="53" max="53" width="36.7109375" style="2" customWidth="1"/>
    <col min="54" max="16384" width="9.140625" style="2"/>
  </cols>
  <sheetData>
    <row r="1" spans="1:48" ht="62.25" customHeight="1" thickBot="1">
      <c r="A1" s="907" t="s">
        <v>1028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7"/>
      <c r="P1" s="907"/>
      <c r="Q1" s="907"/>
      <c r="R1" s="907"/>
      <c r="S1" s="907"/>
      <c r="T1" s="907"/>
      <c r="U1" s="907"/>
      <c r="V1" s="907"/>
      <c r="W1" s="907"/>
      <c r="X1" s="907"/>
      <c r="Y1" s="907"/>
      <c r="Z1" s="907"/>
      <c r="AA1" s="907"/>
      <c r="AB1" s="907"/>
      <c r="AC1" s="907"/>
      <c r="AD1" s="907"/>
      <c r="AE1" s="907"/>
      <c r="AF1" s="907"/>
      <c r="AG1" s="907"/>
      <c r="AH1" s="907"/>
      <c r="AI1" s="907"/>
      <c r="AJ1" s="907"/>
      <c r="AK1" s="907"/>
      <c r="AL1" s="907"/>
      <c r="AM1" s="907"/>
      <c r="AN1" s="907"/>
      <c r="AO1" s="907"/>
    </row>
    <row r="2" spans="1:48" ht="57" customHeight="1">
      <c r="A2" s="887" t="s">
        <v>0</v>
      </c>
      <c r="B2" s="880" t="s">
        <v>1</v>
      </c>
      <c r="C2" s="891" t="s">
        <v>2</v>
      </c>
      <c r="D2" s="880" t="s">
        <v>3</v>
      </c>
      <c r="E2" s="880"/>
      <c r="F2" s="880"/>
      <c r="G2" s="880"/>
      <c r="H2" s="880"/>
      <c r="I2" s="902" t="s">
        <v>4</v>
      </c>
      <c r="J2" s="902"/>
      <c r="K2" s="902"/>
      <c r="L2" s="902"/>
      <c r="M2" s="902"/>
      <c r="N2" s="908" t="s">
        <v>5</v>
      </c>
      <c r="O2" s="908"/>
      <c r="P2" s="908"/>
      <c r="Q2" s="908"/>
      <c r="R2" s="893" t="s">
        <v>6</v>
      </c>
      <c r="S2" s="893"/>
      <c r="T2" s="893"/>
      <c r="U2" s="893"/>
      <c r="V2" s="902" t="s">
        <v>7</v>
      </c>
      <c r="W2" s="902"/>
      <c r="X2" s="902"/>
      <c r="Y2" s="880" t="s">
        <v>8</v>
      </c>
      <c r="Z2" s="880"/>
      <c r="AA2" s="880"/>
      <c r="AB2" s="880"/>
      <c r="AC2" s="880"/>
      <c r="AD2" s="880"/>
      <c r="AE2" s="880"/>
      <c r="AF2" s="880"/>
      <c r="AG2" s="902" t="s">
        <v>9</v>
      </c>
      <c r="AH2" s="902"/>
      <c r="AI2" s="902"/>
      <c r="AJ2" s="902"/>
      <c r="AK2" s="902"/>
      <c r="AL2" s="902"/>
      <c r="AM2" s="902"/>
      <c r="AN2" s="902"/>
      <c r="AO2" s="902"/>
      <c r="AP2" s="903"/>
      <c r="AQ2" s="1"/>
      <c r="AR2" s="1"/>
      <c r="AS2" s="1"/>
      <c r="AT2" s="1"/>
      <c r="AU2" s="1"/>
      <c r="AV2" s="1"/>
    </row>
    <row r="3" spans="1:48" ht="136.5" customHeight="1">
      <c r="A3" s="888"/>
      <c r="B3" s="873"/>
      <c r="C3" s="882"/>
      <c r="D3" s="882" t="s">
        <v>10</v>
      </c>
      <c r="E3" s="873" t="s">
        <v>11</v>
      </c>
      <c r="F3" s="904" t="s">
        <v>12</v>
      </c>
      <c r="G3" s="905" t="s">
        <v>13</v>
      </c>
      <c r="H3" s="959" t="s">
        <v>117</v>
      </c>
      <c r="I3" s="905" t="s">
        <v>14</v>
      </c>
      <c r="J3" s="905" t="s">
        <v>15</v>
      </c>
      <c r="K3" s="905" t="s">
        <v>16</v>
      </c>
      <c r="L3" s="905" t="s">
        <v>17</v>
      </c>
      <c r="M3" s="899" t="s">
        <v>18</v>
      </c>
      <c r="N3" s="900" t="s">
        <v>19</v>
      </c>
      <c r="O3" s="900" t="s">
        <v>20</v>
      </c>
      <c r="P3" s="900" t="s">
        <v>21</v>
      </c>
      <c r="Q3" s="901" t="s">
        <v>22</v>
      </c>
      <c r="R3" s="894"/>
      <c r="S3" s="894"/>
      <c r="T3" s="894"/>
      <c r="U3" s="894"/>
      <c r="V3" s="899" t="s">
        <v>23</v>
      </c>
      <c r="W3" s="899"/>
      <c r="X3" s="899"/>
      <c r="Y3" s="873" t="s">
        <v>118</v>
      </c>
      <c r="Z3" s="873"/>
      <c r="AA3" s="873"/>
      <c r="AB3" s="873"/>
      <c r="AC3" s="873" t="s">
        <v>24</v>
      </c>
      <c r="AD3" s="873"/>
      <c r="AE3" s="873"/>
      <c r="AF3" s="873"/>
      <c r="AG3" s="874" t="s">
        <v>25</v>
      </c>
      <c r="AH3" s="874"/>
      <c r="AI3" s="874"/>
      <c r="AJ3" s="874"/>
      <c r="AK3" s="896" t="s">
        <v>26</v>
      </c>
      <c r="AL3" s="896"/>
      <c r="AM3" s="896"/>
      <c r="AN3" s="896"/>
      <c r="AO3" s="897" t="s">
        <v>22</v>
      </c>
      <c r="AP3" s="898" t="s">
        <v>27</v>
      </c>
      <c r="AQ3" s="88"/>
      <c r="AR3" s="88"/>
      <c r="AS3" s="88"/>
      <c r="AT3" s="88"/>
      <c r="AU3" s="88"/>
      <c r="AV3" s="88"/>
    </row>
    <row r="4" spans="1:48" ht="93.75" customHeight="1">
      <c r="A4" s="888"/>
      <c r="B4" s="873"/>
      <c r="C4" s="882"/>
      <c r="D4" s="882"/>
      <c r="E4" s="873"/>
      <c r="F4" s="904"/>
      <c r="G4" s="905"/>
      <c r="H4" s="959"/>
      <c r="I4" s="905"/>
      <c r="J4" s="905"/>
      <c r="K4" s="905"/>
      <c r="L4" s="905"/>
      <c r="M4" s="899"/>
      <c r="N4" s="900"/>
      <c r="O4" s="900"/>
      <c r="P4" s="900"/>
      <c r="Q4" s="901"/>
      <c r="R4" s="782" t="s">
        <v>28</v>
      </c>
      <c r="S4" s="782" t="s">
        <v>29</v>
      </c>
      <c r="T4" s="782" t="s">
        <v>30</v>
      </c>
      <c r="U4" s="782" t="s">
        <v>31</v>
      </c>
      <c r="V4" s="80" t="s">
        <v>119</v>
      </c>
      <c r="W4" s="80" t="s">
        <v>33</v>
      </c>
      <c r="X4" s="80" t="s">
        <v>34</v>
      </c>
      <c r="Y4" s="359" t="s">
        <v>35</v>
      </c>
      <c r="Z4" s="359" t="s">
        <v>36</v>
      </c>
      <c r="AA4" s="359" t="s">
        <v>37</v>
      </c>
      <c r="AB4" s="359" t="s">
        <v>18</v>
      </c>
      <c r="AC4" s="359" t="s">
        <v>35</v>
      </c>
      <c r="AD4" s="359" t="s">
        <v>36</v>
      </c>
      <c r="AE4" s="359" t="s">
        <v>37</v>
      </c>
      <c r="AF4" s="359" t="s">
        <v>18</v>
      </c>
      <c r="AG4" s="783" t="s">
        <v>35</v>
      </c>
      <c r="AH4" s="783" t="s">
        <v>36</v>
      </c>
      <c r="AI4" s="783" t="s">
        <v>37</v>
      </c>
      <c r="AJ4" s="784" t="s">
        <v>31</v>
      </c>
      <c r="AK4" s="785" t="s">
        <v>35</v>
      </c>
      <c r="AL4" s="785" t="s">
        <v>36</v>
      </c>
      <c r="AM4" s="785" t="s">
        <v>37</v>
      </c>
      <c r="AN4" s="786" t="s">
        <v>31</v>
      </c>
      <c r="AO4" s="897"/>
      <c r="AP4" s="898"/>
      <c r="AQ4" s="88"/>
      <c r="AR4" s="88"/>
      <c r="AS4" s="88"/>
      <c r="AT4" s="88"/>
      <c r="AU4" s="88"/>
      <c r="AV4" s="88"/>
    </row>
    <row r="5" spans="1:48" ht="30.75" customHeight="1" thickBot="1">
      <c r="A5" s="889"/>
      <c r="B5" s="890"/>
      <c r="C5" s="19" t="s">
        <v>38</v>
      </c>
      <c r="D5" s="883"/>
      <c r="E5" s="19" t="s">
        <v>38</v>
      </c>
      <c r="F5" s="787"/>
      <c r="G5" s="787"/>
      <c r="H5" s="788"/>
      <c r="I5" s="19"/>
      <c r="J5" s="19"/>
      <c r="K5" s="20"/>
      <c r="L5" s="19"/>
      <c r="M5" s="19"/>
      <c r="N5" s="23" t="s">
        <v>39</v>
      </c>
      <c r="O5" s="23" t="s">
        <v>39</v>
      </c>
      <c r="P5" s="23" t="s">
        <v>39</v>
      </c>
      <c r="Q5" s="24" t="s">
        <v>39</v>
      </c>
      <c r="R5" s="789" t="s">
        <v>40</v>
      </c>
      <c r="S5" s="789" t="s">
        <v>40</v>
      </c>
      <c r="T5" s="789" t="s">
        <v>40</v>
      </c>
      <c r="U5" s="789" t="s">
        <v>40</v>
      </c>
      <c r="V5" s="19" t="s">
        <v>41</v>
      </c>
      <c r="W5" s="19" t="s">
        <v>38</v>
      </c>
      <c r="X5" s="19" t="s">
        <v>34</v>
      </c>
      <c r="Y5" s="790" t="s">
        <v>42</v>
      </c>
      <c r="Z5" s="790" t="s">
        <v>43</v>
      </c>
      <c r="AA5" s="790" t="s">
        <v>44</v>
      </c>
      <c r="AB5" s="790"/>
      <c r="AC5" s="790" t="s">
        <v>42</v>
      </c>
      <c r="AD5" s="790" t="s">
        <v>43</v>
      </c>
      <c r="AE5" s="790" t="s">
        <v>44</v>
      </c>
      <c r="AF5" s="790"/>
      <c r="AG5" s="791" t="s">
        <v>40</v>
      </c>
      <c r="AH5" s="791" t="s">
        <v>40</v>
      </c>
      <c r="AI5" s="791" t="s">
        <v>40</v>
      </c>
      <c r="AJ5" s="791" t="s">
        <v>40</v>
      </c>
      <c r="AK5" s="792" t="s">
        <v>40</v>
      </c>
      <c r="AL5" s="792" t="s">
        <v>40</v>
      </c>
      <c r="AM5" s="792" t="s">
        <v>40</v>
      </c>
      <c r="AN5" s="27" t="s">
        <v>39</v>
      </c>
      <c r="AO5" s="28" t="s">
        <v>39</v>
      </c>
      <c r="AP5" s="96" t="s">
        <v>39</v>
      </c>
      <c r="AQ5" s="1"/>
      <c r="AR5" s="1"/>
      <c r="AS5" s="1"/>
      <c r="AT5" s="1"/>
      <c r="AU5" s="1"/>
      <c r="AV5" s="1"/>
    </row>
    <row r="6" spans="1:48" ht="19.5" customHeight="1">
      <c r="A6" s="97">
        <v>1</v>
      </c>
      <c r="B6" s="29">
        <v>2</v>
      </c>
      <c r="C6" s="98">
        <v>3</v>
      </c>
      <c r="D6" s="29">
        <v>4</v>
      </c>
      <c r="E6" s="98">
        <v>5</v>
      </c>
      <c r="F6" s="29">
        <v>6</v>
      </c>
      <c r="G6" s="98">
        <v>7</v>
      </c>
      <c r="H6" s="99">
        <v>8</v>
      </c>
      <c r="I6" s="98">
        <v>9</v>
      </c>
      <c r="J6" s="29">
        <v>10</v>
      </c>
      <c r="K6" s="98">
        <v>11</v>
      </c>
      <c r="L6" s="29">
        <v>12</v>
      </c>
      <c r="M6" s="98">
        <v>13</v>
      </c>
      <c r="N6" s="100">
        <v>14</v>
      </c>
      <c r="O6" s="101">
        <v>15</v>
      </c>
      <c r="P6" s="100">
        <v>16</v>
      </c>
      <c r="Q6" s="102">
        <v>17</v>
      </c>
      <c r="R6" s="103">
        <v>18</v>
      </c>
      <c r="S6" s="104">
        <v>19</v>
      </c>
      <c r="T6" s="103">
        <v>20</v>
      </c>
      <c r="U6" s="104">
        <v>21</v>
      </c>
      <c r="V6" s="29">
        <v>22</v>
      </c>
      <c r="W6" s="98">
        <v>23</v>
      </c>
      <c r="X6" s="29">
        <v>24</v>
      </c>
      <c r="Y6" s="98">
        <v>25</v>
      </c>
      <c r="Z6" s="29">
        <v>26</v>
      </c>
      <c r="AA6" s="98">
        <v>27</v>
      </c>
      <c r="AB6" s="29">
        <v>28</v>
      </c>
      <c r="AC6" s="98">
        <v>29</v>
      </c>
      <c r="AD6" s="29">
        <v>30</v>
      </c>
      <c r="AE6" s="98">
        <v>31</v>
      </c>
      <c r="AF6" s="29">
        <v>32</v>
      </c>
      <c r="AG6" s="105">
        <v>33</v>
      </c>
      <c r="AH6" s="106">
        <v>34</v>
      </c>
      <c r="AI6" s="105">
        <v>35</v>
      </c>
      <c r="AJ6" s="106">
        <v>36</v>
      </c>
      <c r="AK6" s="107">
        <v>37</v>
      </c>
      <c r="AL6" s="108">
        <v>38</v>
      </c>
      <c r="AM6" s="107">
        <v>39</v>
      </c>
      <c r="AN6" s="108">
        <v>40</v>
      </c>
      <c r="AO6" s="109">
        <v>41</v>
      </c>
      <c r="AP6" s="110">
        <v>42</v>
      </c>
      <c r="AR6" s="5"/>
      <c r="AT6" s="5"/>
      <c r="AV6" s="5"/>
    </row>
    <row r="7" spans="1:48" ht="50.25" customHeight="1">
      <c r="A7" s="97">
        <v>1</v>
      </c>
      <c r="B7" s="950" t="s">
        <v>762</v>
      </c>
      <c r="C7" s="952">
        <v>12</v>
      </c>
      <c r="D7" s="29" t="s">
        <v>126</v>
      </c>
      <c r="E7" s="98">
        <v>1</v>
      </c>
      <c r="F7" s="29" t="s">
        <v>1029</v>
      </c>
      <c r="G7" s="98" t="s">
        <v>1030</v>
      </c>
      <c r="H7" s="99" t="s">
        <v>1031</v>
      </c>
      <c r="I7" s="98"/>
      <c r="J7" s="29"/>
      <c r="K7" s="98"/>
      <c r="L7" s="29" t="s">
        <v>1032</v>
      </c>
      <c r="M7" s="98"/>
      <c r="N7" s="100">
        <v>3056</v>
      </c>
      <c r="O7" s="101">
        <v>6815.8</v>
      </c>
      <c r="P7" s="100">
        <v>42.9</v>
      </c>
      <c r="Q7" s="793">
        <f>N7+O7+P7</f>
        <v>9914.6999999999989</v>
      </c>
      <c r="R7" s="103">
        <v>0</v>
      </c>
      <c r="S7" s="104">
        <v>0</v>
      </c>
      <c r="T7" s="103">
        <v>0</v>
      </c>
      <c r="U7" s="104">
        <v>0</v>
      </c>
      <c r="V7" s="950">
        <v>62547</v>
      </c>
      <c r="W7" s="950">
        <v>62547</v>
      </c>
      <c r="X7" s="950">
        <v>100</v>
      </c>
      <c r="Y7" s="98">
        <v>0</v>
      </c>
      <c r="Z7" s="29">
        <v>0</v>
      </c>
      <c r="AA7" s="98">
        <v>126</v>
      </c>
      <c r="AB7" s="29">
        <v>0</v>
      </c>
      <c r="AC7" s="98">
        <v>0</v>
      </c>
      <c r="AD7" s="29">
        <v>0</v>
      </c>
      <c r="AE7" s="38">
        <v>0</v>
      </c>
      <c r="AF7" s="98">
        <v>0</v>
      </c>
      <c r="AG7" s="105">
        <v>0</v>
      </c>
      <c r="AH7" s="106">
        <v>0</v>
      </c>
      <c r="AI7" s="105">
        <v>0</v>
      </c>
      <c r="AJ7" s="106">
        <v>0</v>
      </c>
      <c r="AK7" s="45">
        <f>R7*Y7</f>
        <v>0</v>
      </c>
      <c r="AL7" s="45">
        <f>S7*Z7</f>
        <v>0</v>
      </c>
      <c r="AM7" s="45">
        <f>T7*AA7</f>
        <v>0</v>
      </c>
      <c r="AN7" s="45">
        <f>U7*AB7</f>
        <v>0</v>
      </c>
      <c r="AO7" s="13">
        <f>AK7+AL7+AM7+AN7</f>
        <v>0</v>
      </c>
      <c r="AP7" s="60">
        <f>AO7-Q7</f>
        <v>-9914.6999999999989</v>
      </c>
      <c r="AR7" s="5"/>
      <c r="AT7" s="5"/>
      <c r="AV7" s="5"/>
    </row>
    <row r="8" spans="1:48" ht="50.25" customHeight="1">
      <c r="A8" s="97">
        <v>2</v>
      </c>
      <c r="B8" s="951"/>
      <c r="C8" s="953"/>
      <c r="D8" s="29" t="s">
        <v>1033</v>
      </c>
      <c r="E8" s="98">
        <v>1</v>
      </c>
      <c r="F8" s="29" t="s">
        <v>1034</v>
      </c>
      <c r="G8" s="29" t="s">
        <v>1035</v>
      </c>
      <c r="H8" s="99" t="s">
        <v>1031</v>
      </c>
      <c r="I8" s="98"/>
      <c r="J8" s="29"/>
      <c r="K8" s="98"/>
      <c r="L8" s="29" t="s">
        <v>1032</v>
      </c>
      <c r="M8" s="98"/>
      <c r="N8" s="100">
        <v>2287.8000000000002</v>
      </c>
      <c r="O8" s="101">
        <v>1427.3</v>
      </c>
      <c r="P8" s="100">
        <v>0</v>
      </c>
      <c r="Q8" s="42">
        <f t="shared" ref="Q8" si="0">N8+O8+P8</f>
        <v>3715.1000000000004</v>
      </c>
      <c r="R8" s="103">
        <v>0</v>
      </c>
      <c r="S8" s="104">
        <v>0</v>
      </c>
      <c r="T8" s="103">
        <v>0</v>
      </c>
      <c r="U8" s="104">
        <v>0</v>
      </c>
      <c r="V8" s="951"/>
      <c r="W8" s="951"/>
      <c r="X8" s="951"/>
      <c r="Y8" s="98">
        <v>0</v>
      </c>
      <c r="Z8" s="29">
        <v>0</v>
      </c>
      <c r="AA8" s="98">
        <v>102</v>
      </c>
      <c r="AB8" s="29">
        <v>0</v>
      </c>
      <c r="AC8" s="98">
        <v>0</v>
      </c>
      <c r="AD8" s="29">
        <v>0</v>
      </c>
      <c r="AE8" s="98">
        <v>0</v>
      </c>
      <c r="AF8" s="29">
        <v>0</v>
      </c>
      <c r="AG8" s="105">
        <v>0</v>
      </c>
      <c r="AH8" s="106">
        <v>0</v>
      </c>
      <c r="AI8" s="105">
        <v>0</v>
      </c>
      <c r="AJ8" s="106">
        <v>0</v>
      </c>
      <c r="AK8" s="45">
        <f>R8*Y8</f>
        <v>0</v>
      </c>
      <c r="AL8" s="45">
        <f t="shared" ref="AL8:AN11" si="1">S8*Z8</f>
        <v>0</v>
      </c>
      <c r="AM8" s="45">
        <f>T8*AA8</f>
        <v>0</v>
      </c>
      <c r="AN8" s="45">
        <f t="shared" ref="AN8" si="2">U8*AB8</f>
        <v>0</v>
      </c>
      <c r="AO8" s="13">
        <f t="shared" ref="AO8" si="3">AK8+AL8+AM8+AN8</f>
        <v>0</v>
      </c>
      <c r="AP8" s="60">
        <f t="shared" ref="AP8" si="4">AO8-Q8</f>
        <v>-3715.1000000000004</v>
      </c>
      <c r="AR8" s="5"/>
      <c r="AT8" s="5"/>
      <c r="AV8" s="5"/>
    </row>
    <row r="9" spans="1:48" ht="50.25" customHeight="1">
      <c r="A9" s="6">
        <v>3</v>
      </c>
      <c r="B9" s="951"/>
      <c r="C9" s="953"/>
      <c r="D9" s="7" t="s">
        <v>694</v>
      </c>
      <c r="E9" s="389">
        <v>1</v>
      </c>
      <c r="F9" s="389" t="s">
        <v>1036</v>
      </c>
      <c r="G9" s="389" t="s">
        <v>1037</v>
      </c>
      <c r="H9" s="99" t="s">
        <v>1031</v>
      </c>
      <c r="I9" s="39"/>
      <c r="J9" s="39"/>
      <c r="K9" s="39"/>
      <c r="L9" s="7" t="s">
        <v>1038</v>
      </c>
      <c r="M9" s="39"/>
      <c r="N9" s="41">
        <v>1572.4</v>
      </c>
      <c r="O9" s="41">
        <v>1150.8</v>
      </c>
      <c r="P9" s="41">
        <v>38.700000000000003</v>
      </c>
      <c r="Q9" s="42">
        <f>N9+O9+P9</f>
        <v>2761.8999999999996</v>
      </c>
      <c r="R9" s="103">
        <v>0</v>
      </c>
      <c r="S9" s="104">
        <v>0</v>
      </c>
      <c r="T9" s="103">
        <v>0</v>
      </c>
      <c r="U9" s="104">
        <v>0</v>
      </c>
      <c r="V9" s="951"/>
      <c r="W9" s="951"/>
      <c r="X9" s="951"/>
      <c r="Y9" s="39">
        <v>0</v>
      </c>
      <c r="Z9" s="39">
        <v>0</v>
      </c>
      <c r="AA9" s="39">
        <v>0</v>
      </c>
      <c r="AB9" s="39">
        <v>62</v>
      </c>
      <c r="AC9" s="39">
        <v>0</v>
      </c>
      <c r="AD9" s="39">
        <v>0</v>
      </c>
      <c r="AE9" s="39">
        <v>0</v>
      </c>
      <c r="AF9" s="39">
        <v>0</v>
      </c>
      <c r="AG9" s="105">
        <v>0</v>
      </c>
      <c r="AH9" s="106">
        <v>0</v>
      </c>
      <c r="AI9" s="105">
        <v>0</v>
      </c>
      <c r="AJ9" s="106">
        <v>0</v>
      </c>
      <c r="AK9" s="45">
        <f>R9*Y9</f>
        <v>0</v>
      </c>
      <c r="AL9" s="45">
        <f t="shared" si="1"/>
        <v>0</v>
      </c>
      <c r="AM9" s="45">
        <f>T9*AA9</f>
        <v>0</v>
      </c>
      <c r="AN9" s="45">
        <f>U9*AB9</f>
        <v>0</v>
      </c>
      <c r="AO9" s="13">
        <f>AK9+AL9+AM9+AN9</f>
        <v>0</v>
      </c>
      <c r="AP9" s="60">
        <f>AO9-Q9</f>
        <v>-2761.8999999999996</v>
      </c>
      <c r="AQ9" s="1"/>
      <c r="AR9" s="1"/>
      <c r="AS9" s="1"/>
      <c r="AT9" s="1"/>
      <c r="AU9" s="1"/>
      <c r="AV9" s="1"/>
    </row>
    <row r="10" spans="1:48" ht="50.25" customHeight="1">
      <c r="A10" s="6">
        <v>4</v>
      </c>
      <c r="B10" s="951"/>
      <c r="C10" s="953"/>
      <c r="D10" s="7" t="s">
        <v>145</v>
      </c>
      <c r="E10" s="39">
        <v>1</v>
      </c>
      <c r="F10" s="39" t="s">
        <v>871</v>
      </c>
      <c r="G10" s="39" t="s">
        <v>1039</v>
      </c>
      <c r="H10" s="99" t="s">
        <v>1031</v>
      </c>
      <c r="I10" s="39"/>
      <c r="J10" s="39"/>
      <c r="K10" s="39"/>
      <c r="L10" s="7" t="s">
        <v>1040</v>
      </c>
      <c r="M10" s="39"/>
      <c r="N10" s="41">
        <v>3989.3</v>
      </c>
      <c r="O10" s="41">
        <v>9900.2999999999993</v>
      </c>
      <c r="P10" s="41">
        <v>155.30000000000001</v>
      </c>
      <c r="Q10" s="42">
        <f t="shared" ref="Q10:Q11" si="5">N10+O10+P10</f>
        <v>14044.899999999998</v>
      </c>
      <c r="R10" s="103">
        <v>0</v>
      </c>
      <c r="S10" s="104">
        <v>0</v>
      </c>
      <c r="T10" s="103">
        <v>0</v>
      </c>
      <c r="U10" s="104">
        <v>0</v>
      </c>
      <c r="V10" s="958"/>
      <c r="W10" s="958"/>
      <c r="X10" s="958"/>
      <c r="Y10" s="39">
        <v>0</v>
      </c>
      <c r="Z10" s="232">
        <v>930</v>
      </c>
      <c r="AA10" s="39">
        <v>230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105">
        <v>0</v>
      </c>
      <c r="AH10" s="106">
        <v>0</v>
      </c>
      <c r="AI10" s="105">
        <v>0</v>
      </c>
      <c r="AJ10" s="106">
        <v>0</v>
      </c>
      <c r="AK10" s="45">
        <f>R10*Y10</f>
        <v>0</v>
      </c>
      <c r="AL10" s="45">
        <f t="shared" si="1"/>
        <v>0</v>
      </c>
      <c r="AM10" s="45">
        <f t="shared" si="1"/>
        <v>0</v>
      </c>
      <c r="AN10" s="45">
        <f t="shared" si="1"/>
        <v>0</v>
      </c>
      <c r="AO10" s="13">
        <f t="shared" ref="AO10:AO11" si="6">AK10+AL10+AM10+AN10</f>
        <v>0</v>
      </c>
      <c r="AP10" s="60">
        <f t="shared" ref="AP10:AP11" si="7">AO10-Q10</f>
        <v>-14044.899999999998</v>
      </c>
      <c r="AQ10" s="1"/>
      <c r="AR10" s="1"/>
      <c r="AS10" s="1"/>
      <c r="AT10" s="1"/>
      <c r="AU10" s="1"/>
      <c r="AV10" s="1"/>
    </row>
    <row r="11" spans="1:48" ht="50.25" customHeight="1" thickBot="1">
      <c r="A11" s="794">
        <v>5</v>
      </c>
      <c r="B11" s="956"/>
      <c r="C11" s="957"/>
      <c r="D11" s="66" t="s">
        <v>1041</v>
      </c>
      <c r="E11" s="65">
        <v>1</v>
      </c>
      <c r="F11" s="65" t="s">
        <v>1042</v>
      </c>
      <c r="G11" s="66" t="s">
        <v>1043</v>
      </c>
      <c r="H11" s="99" t="s">
        <v>1031</v>
      </c>
      <c r="I11" s="65"/>
      <c r="J11" s="65"/>
      <c r="K11" s="65"/>
      <c r="L11" s="66" t="s">
        <v>1044</v>
      </c>
      <c r="M11" s="65"/>
      <c r="N11" s="795">
        <v>148</v>
      </c>
      <c r="O11" s="795">
        <v>131</v>
      </c>
      <c r="P11" s="795">
        <v>0</v>
      </c>
      <c r="Q11" s="796">
        <f t="shared" si="5"/>
        <v>279</v>
      </c>
      <c r="R11" s="103">
        <v>0</v>
      </c>
      <c r="S11" s="104">
        <v>0</v>
      </c>
      <c r="T11" s="103">
        <v>0</v>
      </c>
      <c r="U11" s="104">
        <v>0</v>
      </c>
      <c r="V11" s="65">
        <v>0</v>
      </c>
      <c r="W11" s="65">
        <v>0</v>
      </c>
      <c r="X11" s="65">
        <v>0</v>
      </c>
      <c r="Y11" s="65">
        <v>0</v>
      </c>
      <c r="Z11" s="65">
        <v>0</v>
      </c>
      <c r="AA11" s="65">
        <v>10</v>
      </c>
      <c r="AB11" s="65">
        <v>0</v>
      </c>
      <c r="AC11" s="65">
        <v>0</v>
      </c>
      <c r="AD11" s="65">
        <v>0</v>
      </c>
      <c r="AE11" s="65">
        <v>0</v>
      </c>
      <c r="AF11" s="65">
        <v>0</v>
      </c>
      <c r="AG11" s="105">
        <v>0</v>
      </c>
      <c r="AH11" s="106">
        <v>0</v>
      </c>
      <c r="AI11" s="105">
        <v>0</v>
      </c>
      <c r="AJ11" s="106">
        <v>0</v>
      </c>
      <c r="AK11" s="71">
        <f>R11*Y11</f>
        <v>0</v>
      </c>
      <c r="AL11" s="71">
        <f t="shared" si="1"/>
        <v>0</v>
      </c>
      <c r="AM11" s="71">
        <f t="shared" si="1"/>
        <v>0</v>
      </c>
      <c r="AN11" s="71">
        <f t="shared" si="1"/>
        <v>0</v>
      </c>
      <c r="AO11" s="72">
        <f t="shared" si="6"/>
        <v>0</v>
      </c>
      <c r="AP11" s="342">
        <f t="shared" si="7"/>
        <v>-279</v>
      </c>
      <c r="AQ11" s="1"/>
      <c r="AR11" s="1"/>
      <c r="AS11" s="1"/>
      <c r="AT11" s="1"/>
      <c r="AU11" s="1"/>
      <c r="AV11" s="1"/>
    </row>
    <row r="12" spans="1:48" ht="27.75" customHeight="1" thickBot="1">
      <c r="A12" s="136"/>
      <c r="B12" s="138" t="s">
        <v>115</v>
      </c>
      <c r="C12" s="138">
        <f>SUM(C7)</f>
        <v>12</v>
      </c>
      <c r="D12" s="138"/>
      <c r="E12" s="138">
        <f>SUM(E7:E11)</f>
        <v>5</v>
      </c>
      <c r="F12" s="138"/>
      <c r="G12" s="138"/>
      <c r="H12" s="138"/>
      <c r="I12" s="138"/>
      <c r="J12" s="138"/>
      <c r="K12" s="138"/>
      <c r="L12" s="138"/>
      <c r="M12" s="147"/>
      <c r="N12" s="297">
        <f>SUM(N7:N11)</f>
        <v>11053.5</v>
      </c>
      <c r="O12" s="297">
        <f t="shared" ref="O12:AO12" si="8">SUM(O7:O11)</f>
        <v>19425.199999999997</v>
      </c>
      <c r="P12" s="297">
        <f t="shared" si="8"/>
        <v>236.9</v>
      </c>
      <c r="Q12" s="297">
        <f t="shared" si="8"/>
        <v>30715.599999999995</v>
      </c>
      <c r="R12" s="297">
        <f t="shared" si="8"/>
        <v>0</v>
      </c>
      <c r="S12" s="297">
        <f t="shared" si="8"/>
        <v>0</v>
      </c>
      <c r="T12" s="297">
        <f t="shared" si="8"/>
        <v>0</v>
      </c>
      <c r="U12" s="297">
        <f t="shared" si="8"/>
        <v>0</v>
      </c>
      <c r="V12" s="297">
        <f t="shared" si="8"/>
        <v>62547</v>
      </c>
      <c r="W12" s="297">
        <f t="shared" si="8"/>
        <v>62547</v>
      </c>
      <c r="X12" s="297">
        <f>SUM(X7:X11)</f>
        <v>100</v>
      </c>
      <c r="Y12" s="297">
        <f t="shared" si="8"/>
        <v>0</v>
      </c>
      <c r="Z12" s="297">
        <f>SUM(Z7:Z11)</f>
        <v>930</v>
      </c>
      <c r="AA12" s="297">
        <f>SUM(AA7:AA11)</f>
        <v>468</v>
      </c>
      <c r="AB12" s="297">
        <f>SUM(AB7:AB11)</f>
        <v>62</v>
      </c>
      <c r="AC12" s="297">
        <f t="shared" si="8"/>
        <v>0</v>
      </c>
      <c r="AD12" s="297">
        <f t="shared" si="8"/>
        <v>0</v>
      </c>
      <c r="AE12" s="297">
        <f t="shared" si="8"/>
        <v>0</v>
      </c>
      <c r="AF12" s="297">
        <f t="shared" si="8"/>
        <v>0</v>
      </c>
      <c r="AG12" s="297">
        <f t="shared" si="8"/>
        <v>0</v>
      </c>
      <c r="AH12" s="297">
        <f t="shared" si="8"/>
        <v>0</v>
      </c>
      <c r="AI12" s="297">
        <f t="shared" si="8"/>
        <v>0</v>
      </c>
      <c r="AJ12" s="297">
        <f t="shared" si="8"/>
        <v>0</v>
      </c>
      <c r="AK12" s="297">
        <f t="shared" si="8"/>
        <v>0</v>
      </c>
      <c r="AL12" s="297">
        <f t="shared" si="8"/>
        <v>0</v>
      </c>
      <c r="AM12" s="297">
        <f t="shared" si="8"/>
        <v>0</v>
      </c>
      <c r="AN12" s="297">
        <f t="shared" si="8"/>
        <v>0</v>
      </c>
      <c r="AO12" s="297">
        <f t="shared" si="8"/>
        <v>0</v>
      </c>
      <c r="AP12" s="297">
        <f>SUM(AP7:AP11)</f>
        <v>-30715.599999999995</v>
      </c>
      <c r="AQ12" s="1"/>
      <c r="AR12" s="1"/>
      <c r="AS12" s="1"/>
      <c r="AT12" s="1"/>
      <c r="AU12" s="1"/>
      <c r="AV12" s="1"/>
    </row>
    <row r="13" spans="1:48" s="50" customFormat="1" ht="50.25" customHeight="1">
      <c r="A13" s="540">
        <v>1</v>
      </c>
      <c r="B13" s="865" t="s">
        <v>140</v>
      </c>
      <c r="C13" s="865">
        <v>16</v>
      </c>
      <c r="D13" s="53" t="s">
        <v>48</v>
      </c>
      <c r="E13" s="52">
        <v>1</v>
      </c>
      <c r="F13" s="75">
        <v>43789</v>
      </c>
      <c r="G13" s="53" t="s">
        <v>141</v>
      </c>
      <c r="H13" s="797" t="s">
        <v>142</v>
      </c>
      <c r="I13" s="52"/>
      <c r="J13" s="52">
        <v>1</v>
      </c>
      <c r="K13" s="52"/>
      <c r="L13" s="52" t="s">
        <v>1045</v>
      </c>
      <c r="M13" s="52"/>
      <c r="N13" s="55">
        <v>804000</v>
      </c>
      <c r="O13" s="55">
        <v>1265000</v>
      </c>
      <c r="P13" s="55">
        <v>1250000</v>
      </c>
      <c r="Q13" s="56">
        <f>N13+O13+P13</f>
        <v>3319000</v>
      </c>
      <c r="R13" s="57"/>
      <c r="S13" s="57">
        <v>15000</v>
      </c>
      <c r="T13" s="57">
        <v>15000</v>
      </c>
      <c r="U13" s="57">
        <v>15000</v>
      </c>
      <c r="V13" s="52">
        <v>11993</v>
      </c>
      <c r="W13" s="52">
        <v>205</v>
      </c>
      <c r="X13" s="52">
        <v>4</v>
      </c>
      <c r="Y13" s="52"/>
      <c r="Z13" s="52">
        <v>120</v>
      </c>
      <c r="AA13" s="52">
        <v>160</v>
      </c>
      <c r="AB13" s="52">
        <v>70</v>
      </c>
      <c r="AC13" s="52"/>
      <c r="AD13" s="52">
        <v>12</v>
      </c>
      <c r="AE13" s="52">
        <v>5</v>
      </c>
      <c r="AF13" s="52">
        <v>15</v>
      </c>
      <c r="AG13" s="58"/>
      <c r="AH13" s="58"/>
      <c r="AI13" s="58"/>
      <c r="AJ13" s="58">
        <v>200000</v>
      </c>
      <c r="AK13" s="59">
        <f>R13*Y13</f>
        <v>0</v>
      </c>
      <c r="AL13" s="59">
        <f>S13*Z13</f>
        <v>1800000</v>
      </c>
      <c r="AM13" s="59">
        <f t="shared" ref="AL13:AN16" si="9">T13*AA13</f>
        <v>2400000</v>
      </c>
      <c r="AN13" s="59">
        <f t="shared" si="9"/>
        <v>1050000</v>
      </c>
      <c r="AO13" s="13">
        <f>AK13+AL13+AM13+AN13</f>
        <v>5250000</v>
      </c>
      <c r="AP13" s="60">
        <f>AO13-Q13</f>
        <v>1931000</v>
      </c>
      <c r="AQ13" s="1"/>
      <c r="AR13" s="1"/>
      <c r="AS13" s="1"/>
      <c r="AT13" s="1"/>
      <c r="AU13" s="1"/>
      <c r="AV13" s="1"/>
    </row>
    <row r="14" spans="1:48" s="50" customFormat="1" ht="50.25" customHeight="1">
      <c r="A14" s="540">
        <v>2</v>
      </c>
      <c r="B14" s="866"/>
      <c r="C14" s="866"/>
      <c r="D14" s="53" t="s">
        <v>50</v>
      </c>
      <c r="E14" s="52">
        <v>1</v>
      </c>
      <c r="F14" s="52" t="s">
        <v>1046</v>
      </c>
      <c r="G14" s="52" t="s">
        <v>1047</v>
      </c>
      <c r="H14" s="797" t="s">
        <v>142</v>
      </c>
      <c r="I14" s="52"/>
      <c r="J14" s="52">
        <v>1</v>
      </c>
      <c r="K14" s="52"/>
      <c r="L14" s="75" t="s">
        <v>1045</v>
      </c>
      <c r="M14" s="52"/>
      <c r="N14" s="55">
        <v>50000</v>
      </c>
      <c r="O14" s="55">
        <v>50000</v>
      </c>
      <c r="P14" s="55">
        <v>100000</v>
      </c>
      <c r="Q14" s="56">
        <f t="shared" ref="Q14:Q20" si="10">N14+O14+P14</f>
        <v>200000</v>
      </c>
      <c r="R14" s="57"/>
      <c r="S14" s="57">
        <v>15000</v>
      </c>
      <c r="T14" s="57"/>
      <c r="U14" s="57">
        <v>15000</v>
      </c>
      <c r="V14" s="52">
        <v>11993</v>
      </c>
      <c r="W14" s="52"/>
      <c r="X14" s="52"/>
      <c r="Y14" s="52"/>
      <c r="Z14" s="52"/>
      <c r="AA14" s="52">
        <v>72</v>
      </c>
      <c r="AB14" s="52">
        <v>92</v>
      </c>
      <c r="AC14" s="52"/>
      <c r="AD14" s="52"/>
      <c r="AE14" s="52"/>
      <c r="AF14" s="52"/>
      <c r="AG14" s="58"/>
      <c r="AH14" s="58"/>
      <c r="AI14" s="58"/>
      <c r="AJ14" s="58"/>
      <c r="AK14" s="59">
        <f t="shared" ref="AK14:AK16" si="11">R14*Y14</f>
        <v>0</v>
      </c>
      <c r="AL14" s="59">
        <f t="shared" si="9"/>
        <v>0</v>
      </c>
      <c r="AM14" s="59">
        <f t="shared" si="9"/>
        <v>0</v>
      </c>
      <c r="AN14" s="59">
        <f t="shared" si="9"/>
        <v>1380000</v>
      </c>
      <c r="AO14" s="13">
        <f>AK14+AL14+AM14+AN14</f>
        <v>1380000</v>
      </c>
      <c r="AP14" s="60">
        <f t="shared" ref="AP14:AP16" si="12">AO14-Q14</f>
        <v>1180000</v>
      </c>
      <c r="AQ14" s="1"/>
      <c r="AR14" s="1"/>
      <c r="AS14" s="1"/>
      <c r="AT14" s="1"/>
      <c r="AU14" s="1"/>
      <c r="AV14" s="1"/>
    </row>
    <row r="15" spans="1:48" s="50" customFormat="1" ht="50.25" customHeight="1">
      <c r="A15" s="52">
        <v>3</v>
      </c>
      <c r="B15" s="866"/>
      <c r="C15" s="866"/>
      <c r="D15" s="52" t="s">
        <v>1048</v>
      </c>
      <c r="E15" s="52">
        <v>1</v>
      </c>
      <c r="F15" s="52" t="s">
        <v>1046</v>
      </c>
      <c r="G15" s="52" t="s">
        <v>1049</v>
      </c>
      <c r="H15" s="797" t="s">
        <v>142</v>
      </c>
      <c r="I15" s="52"/>
      <c r="J15" s="52">
        <v>1</v>
      </c>
      <c r="K15" s="52"/>
      <c r="L15" s="75" t="s">
        <v>1045</v>
      </c>
      <c r="M15" s="52"/>
      <c r="N15" s="55"/>
      <c r="O15" s="55"/>
      <c r="P15" s="55"/>
      <c r="Q15" s="56">
        <f t="shared" si="10"/>
        <v>0</v>
      </c>
      <c r="R15" s="57"/>
      <c r="S15" s="57"/>
      <c r="T15" s="57"/>
      <c r="U15" s="57">
        <v>10000</v>
      </c>
      <c r="V15" s="52">
        <v>11993</v>
      </c>
      <c r="W15" s="52"/>
      <c r="X15" s="52"/>
      <c r="Y15" s="52"/>
      <c r="Z15" s="52"/>
      <c r="AA15" s="52">
        <v>0</v>
      </c>
      <c r="AB15" s="52"/>
      <c r="AC15" s="52"/>
      <c r="AD15" s="52"/>
      <c r="AE15" s="52">
        <v>0</v>
      </c>
      <c r="AF15" s="52">
        <v>0</v>
      </c>
      <c r="AG15" s="58"/>
      <c r="AH15" s="58"/>
      <c r="AI15" s="58"/>
      <c r="AJ15" s="58"/>
      <c r="AK15" s="59">
        <f t="shared" si="11"/>
        <v>0</v>
      </c>
      <c r="AL15" s="59">
        <f t="shared" si="9"/>
        <v>0</v>
      </c>
      <c r="AM15" s="59">
        <f t="shared" si="9"/>
        <v>0</v>
      </c>
      <c r="AN15" s="59">
        <f t="shared" si="9"/>
        <v>0</v>
      </c>
      <c r="AO15" s="13">
        <f t="shared" ref="AO15:AO16" si="13">AK15+AL15+AM15+AN15</f>
        <v>0</v>
      </c>
      <c r="AP15" s="60">
        <f t="shared" si="12"/>
        <v>0</v>
      </c>
      <c r="AQ15" s="1"/>
      <c r="AR15" s="1"/>
      <c r="AS15" s="1"/>
      <c r="AT15" s="1"/>
      <c r="AU15" s="1"/>
      <c r="AV15" s="1"/>
    </row>
    <row r="16" spans="1:48" s="50" customFormat="1" ht="50.25" customHeight="1">
      <c r="A16" s="540">
        <v>4</v>
      </c>
      <c r="B16" s="866"/>
      <c r="C16" s="866"/>
      <c r="D16" s="395" t="s">
        <v>1050</v>
      </c>
      <c r="E16" s="798">
        <v>1</v>
      </c>
      <c r="F16" s="39" t="s">
        <v>1051</v>
      </c>
      <c r="G16" s="7" t="s">
        <v>1052</v>
      </c>
      <c r="H16" s="797" t="s">
        <v>142</v>
      </c>
      <c r="I16" s="131"/>
      <c r="J16" s="52">
        <v>1</v>
      </c>
      <c r="K16" s="131"/>
      <c r="L16" s="75" t="s">
        <v>1045</v>
      </c>
      <c r="M16" s="131"/>
      <c r="N16" s="55">
        <v>594000</v>
      </c>
      <c r="O16" s="55">
        <v>102000</v>
      </c>
      <c r="P16" s="55">
        <v>31000</v>
      </c>
      <c r="Q16" s="56">
        <f t="shared" si="10"/>
        <v>727000</v>
      </c>
      <c r="R16" s="57"/>
      <c r="S16" s="57"/>
      <c r="T16" s="57">
        <v>700</v>
      </c>
      <c r="U16" s="57">
        <v>10000</v>
      </c>
      <c r="V16" s="52">
        <v>11993</v>
      </c>
      <c r="W16" s="52"/>
      <c r="X16" s="52"/>
      <c r="Y16" s="52"/>
      <c r="Z16" s="52"/>
      <c r="AA16" s="52">
        <v>100</v>
      </c>
      <c r="AB16" s="52">
        <v>163</v>
      </c>
      <c r="AC16" s="52"/>
      <c r="AD16" s="52"/>
      <c r="AE16" s="52"/>
      <c r="AF16" s="52"/>
      <c r="AG16" s="58"/>
      <c r="AH16" s="58"/>
      <c r="AI16" s="58"/>
      <c r="AJ16" s="58"/>
      <c r="AK16" s="59">
        <f t="shared" si="11"/>
        <v>0</v>
      </c>
      <c r="AL16" s="59">
        <f t="shared" si="9"/>
        <v>0</v>
      </c>
      <c r="AM16" s="59">
        <f t="shared" si="9"/>
        <v>70000</v>
      </c>
      <c r="AN16" s="59">
        <f t="shared" si="9"/>
        <v>1630000</v>
      </c>
      <c r="AO16" s="13">
        <f t="shared" si="13"/>
        <v>1700000</v>
      </c>
      <c r="AP16" s="60">
        <f t="shared" si="12"/>
        <v>973000</v>
      </c>
      <c r="AQ16" s="1"/>
      <c r="AR16" s="1"/>
      <c r="AS16" s="1"/>
      <c r="AT16" s="1"/>
      <c r="AU16" s="1"/>
      <c r="AV16" s="1"/>
    </row>
    <row r="17" spans="1:48" s="50" customFormat="1" ht="50.25" customHeight="1">
      <c r="A17" s="52">
        <v>5</v>
      </c>
      <c r="B17" s="866"/>
      <c r="C17" s="866"/>
      <c r="D17" s="395" t="s">
        <v>1053</v>
      </c>
      <c r="E17" s="798">
        <v>1</v>
      </c>
      <c r="F17" s="39" t="s">
        <v>1054</v>
      </c>
      <c r="G17" s="7" t="s">
        <v>1055</v>
      </c>
      <c r="H17" s="797" t="s">
        <v>142</v>
      </c>
      <c r="I17" s="131"/>
      <c r="J17" s="52">
        <v>1</v>
      </c>
      <c r="K17" s="131"/>
      <c r="L17" s="75" t="s">
        <v>1045</v>
      </c>
      <c r="M17" s="131"/>
      <c r="N17" s="55">
        <v>297000</v>
      </c>
      <c r="O17" s="55">
        <v>168000</v>
      </c>
      <c r="P17" s="55">
        <v>31000</v>
      </c>
      <c r="Q17" s="56">
        <f t="shared" si="10"/>
        <v>496000</v>
      </c>
      <c r="R17" s="57"/>
      <c r="S17" s="57"/>
      <c r="T17" s="43"/>
      <c r="U17" s="57">
        <v>5000</v>
      </c>
      <c r="V17" s="52"/>
      <c r="W17" s="52"/>
      <c r="X17" s="52"/>
      <c r="Y17" s="52"/>
      <c r="Z17" s="52"/>
      <c r="AA17" s="52">
        <v>60</v>
      </c>
      <c r="AB17" s="52">
        <v>50</v>
      </c>
      <c r="AC17" s="52">
        <v>10</v>
      </c>
      <c r="AD17" s="52"/>
      <c r="AE17" s="52">
        <v>0</v>
      </c>
      <c r="AF17" s="52">
        <v>4</v>
      </c>
      <c r="AG17" s="58"/>
      <c r="AH17" s="58"/>
      <c r="AI17" s="58"/>
      <c r="AJ17" s="58"/>
      <c r="AK17" s="59">
        <f>R17*Y17</f>
        <v>0</v>
      </c>
      <c r="AL17" s="59">
        <f>S17*Z17</f>
        <v>0</v>
      </c>
      <c r="AM17" s="59">
        <f>T17*AA17</f>
        <v>0</v>
      </c>
      <c r="AN17" s="59">
        <f>U17*AB17*AF17</f>
        <v>1000000</v>
      </c>
      <c r="AO17" s="13">
        <f>AK17+AL17+AM17+AN17</f>
        <v>1000000</v>
      </c>
      <c r="AP17" s="60">
        <f>AO17-Q17</f>
        <v>504000</v>
      </c>
    </row>
    <row r="18" spans="1:48" s="50" customFormat="1" ht="50.25" customHeight="1">
      <c r="A18" s="52"/>
      <c r="B18" s="866"/>
      <c r="C18" s="866"/>
      <c r="D18" s="7" t="s">
        <v>48</v>
      </c>
      <c r="E18" s="7">
        <v>1</v>
      </c>
      <c r="F18" s="7" t="s">
        <v>1056</v>
      </c>
      <c r="G18" s="7" t="s">
        <v>1057</v>
      </c>
      <c r="H18" s="799" t="s">
        <v>60</v>
      </c>
      <c r="I18" s="52"/>
      <c r="J18" s="52"/>
      <c r="K18" s="149"/>
      <c r="L18" s="149"/>
      <c r="M18" s="52"/>
      <c r="N18" s="55">
        <v>1074000</v>
      </c>
      <c r="O18" s="55">
        <v>1010460</v>
      </c>
      <c r="P18" s="55">
        <v>0</v>
      </c>
      <c r="Q18" s="56">
        <f t="shared" si="10"/>
        <v>2084460</v>
      </c>
      <c r="R18" s="57"/>
      <c r="S18" s="57">
        <v>15000</v>
      </c>
      <c r="T18" s="57">
        <v>15000</v>
      </c>
      <c r="U18" s="57">
        <v>15000</v>
      </c>
      <c r="V18" s="52"/>
      <c r="W18" s="52">
        <v>0</v>
      </c>
      <c r="X18" s="52">
        <v>3</v>
      </c>
      <c r="Y18" s="52">
        <v>10</v>
      </c>
      <c r="Z18" s="52">
        <v>20</v>
      </c>
      <c r="AA18" s="52">
        <v>120</v>
      </c>
      <c r="AB18" s="52">
        <v>54</v>
      </c>
      <c r="AC18" s="52">
        <v>45</v>
      </c>
      <c r="AD18" s="52"/>
      <c r="AE18" s="52">
        <v>70</v>
      </c>
      <c r="AF18" s="52">
        <v>0</v>
      </c>
      <c r="AG18" s="58"/>
      <c r="AH18" s="58"/>
      <c r="AI18" s="58"/>
      <c r="AJ18" s="58"/>
      <c r="AK18" s="59">
        <f>R18*Y18</f>
        <v>0</v>
      </c>
      <c r="AL18" s="59">
        <f t="shared" ref="AL18:AM20" si="14">S18*Z18</f>
        <v>300000</v>
      </c>
      <c r="AM18" s="59">
        <f>T18*AA18</f>
        <v>1800000</v>
      </c>
      <c r="AN18" s="59">
        <f>U18*AB18*AF18</f>
        <v>0</v>
      </c>
      <c r="AO18" s="13">
        <f>AK18+AL18+AM18+AN18</f>
        <v>2100000</v>
      </c>
      <c r="AP18" s="60">
        <f>AO18-Q18</f>
        <v>15540</v>
      </c>
    </row>
    <row r="19" spans="1:48" s="50" customFormat="1" ht="50.25" customHeight="1">
      <c r="A19" s="52"/>
      <c r="B19" s="866"/>
      <c r="C19" s="866"/>
      <c r="D19" s="7" t="s">
        <v>1058</v>
      </c>
      <c r="E19" s="66">
        <v>1</v>
      </c>
      <c r="F19" s="7" t="s">
        <v>1059</v>
      </c>
      <c r="G19" s="7" t="s">
        <v>1060</v>
      </c>
      <c r="H19" s="799" t="s">
        <v>60</v>
      </c>
      <c r="I19" s="52"/>
      <c r="J19" s="52"/>
      <c r="K19" s="149"/>
      <c r="L19" s="149"/>
      <c r="M19" s="52"/>
      <c r="N19" s="55">
        <v>594000</v>
      </c>
      <c r="O19" s="55">
        <v>661000</v>
      </c>
      <c r="P19" s="55">
        <v>0</v>
      </c>
      <c r="Q19" s="56">
        <f t="shared" si="10"/>
        <v>1255000</v>
      </c>
      <c r="R19" s="57"/>
      <c r="S19" s="57"/>
      <c r="T19" s="43">
        <v>1000</v>
      </c>
      <c r="U19" s="57">
        <v>0</v>
      </c>
      <c r="V19" s="52">
        <v>0</v>
      </c>
      <c r="W19" s="52"/>
      <c r="X19" s="52">
        <v>3</v>
      </c>
      <c r="Y19" s="52">
        <v>60</v>
      </c>
      <c r="Z19" s="52">
        <v>20</v>
      </c>
      <c r="AA19" s="52">
        <v>1500</v>
      </c>
      <c r="AB19" s="52">
        <v>7</v>
      </c>
      <c r="AC19" s="52">
        <v>6</v>
      </c>
      <c r="AD19" s="52">
        <v>50</v>
      </c>
      <c r="AE19" s="52">
        <v>70</v>
      </c>
      <c r="AF19" s="52">
        <v>15</v>
      </c>
      <c r="AG19" s="58"/>
      <c r="AH19" s="58"/>
      <c r="AI19" s="58"/>
      <c r="AJ19" s="58"/>
      <c r="AK19" s="59">
        <f>R19*Y19</f>
        <v>0</v>
      </c>
      <c r="AL19" s="59">
        <f t="shared" si="14"/>
        <v>0</v>
      </c>
      <c r="AM19" s="59">
        <f>T19*AA19</f>
        <v>1500000</v>
      </c>
      <c r="AN19" s="59">
        <f t="shared" ref="AN19:AN20" si="15">U19*AB19*AF19</f>
        <v>0</v>
      </c>
      <c r="AO19" s="13">
        <f>AK19+AL19+AM19+AN19</f>
        <v>1500000</v>
      </c>
      <c r="AP19" s="60">
        <f>AO19-Q19</f>
        <v>245000</v>
      </c>
    </row>
    <row r="20" spans="1:48" s="50" customFormat="1" ht="50.25" customHeight="1">
      <c r="A20" s="52"/>
      <c r="B20" s="854"/>
      <c r="C20" s="854"/>
      <c r="D20" s="1" t="s">
        <v>1061</v>
      </c>
      <c r="E20" s="66">
        <v>1</v>
      </c>
      <c r="F20" s="7" t="s">
        <v>1062</v>
      </c>
      <c r="G20" s="66" t="s">
        <v>1063</v>
      </c>
      <c r="H20" s="799" t="s">
        <v>60</v>
      </c>
      <c r="I20" s="112"/>
      <c r="J20" s="112"/>
      <c r="K20" s="149"/>
      <c r="L20" s="149"/>
      <c r="M20" s="112"/>
      <c r="N20" s="55">
        <v>297000</v>
      </c>
      <c r="O20" s="55">
        <v>543000</v>
      </c>
      <c r="P20" s="55">
        <v>0</v>
      </c>
      <c r="Q20" s="56">
        <f t="shared" si="10"/>
        <v>840000</v>
      </c>
      <c r="R20" s="57"/>
      <c r="S20" s="57"/>
      <c r="T20" s="43">
        <v>1000</v>
      </c>
      <c r="U20" s="57">
        <v>5000</v>
      </c>
      <c r="V20" s="52">
        <v>0</v>
      </c>
      <c r="W20" s="52">
        <v>0</v>
      </c>
      <c r="X20" s="52">
        <v>0</v>
      </c>
      <c r="Y20" s="52"/>
      <c r="Z20" s="52"/>
      <c r="AA20" s="52">
        <v>800</v>
      </c>
      <c r="AB20" s="52">
        <v>140</v>
      </c>
      <c r="AC20" s="52"/>
      <c r="AD20" s="52"/>
      <c r="AE20" s="52">
        <v>0</v>
      </c>
      <c r="AF20" s="52">
        <v>1</v>
      </c>
      <c r="AG20" s="58"/>
      <c r="AH20" s="58"/>
      <c r="AI20" s="58"/>
      <c r="AJ20" s="58"/>
      <c r="AK20" s="59">
        <f t="shared" ref="AK20" si="16">R20*Y20</f>
        <v>0</v>
      </c>
      <c r="AL20" s="59">
        <f t="shared" si="14"/>
        <v>0</v>
      </c>
      <c r="AM20" s="59">
        <f t="shared" si="14"/>
        <v>800000</v>
      </c>
      <c r="AN20" s="59">
        <f t="shared" si="15"/>
        <v>700000</v>
      </c>
      <c r="AO20" s="13">
        <f t="shared" ref="AO20" si="17">AK20+AL20+AM20+AN20</f>
        <v>1500000</v>
      </c>
      <c r="AP20" s="60">
        <f t="shared" ref="AP20" si="18">AO20-Q20</f>
        <v>660000</v>
      </c>
    </row>
    <row r="21" spans="1:48" s="50" customFormat="1" ht="30" customHeight="1">
      <c r="A21" s="133"/>
      <c r="B21" s="134" t="s">
        <v>115</v>
      </c>
      <c r="C21" s="134">
        <f>SUM(C13:C17)</f>
        <v>16</v>
      </c>
      <c r="D21" s="134"/>
      <c r="E21" s="134">
        <f>SUM(E13:E20)</f>
        <v>8</v>
      </c>
      <c r="F21" s="134"/>
      <c r="G21" s="134"/>
      <c r="H21" s="134"/>
      <c r="I21" s="134"/>
      <c r="J21" s="134"/>
      <c r="K21" s="134"/>
      <c r="L21" s="134"/>
      <c r="M21" s="134"/>
      <c r="N21" s="134">
        <f>SUM(N13:N20)</f>
        <v>3710000</v>
      </c>
      <c r="O21" s="134">
        <f t="shared" ref="O21:AP21" si="19">SUM(O13:O20)</f>
        <v>3799460</v>
      </c>
      <c r="P21" s="134">
        <f t="shared" si="19"/>
        <v>1412000</v>
      </c>
      <c r="Q21" s="134">
        <f t="shared" si="19"/>
        <v>8921460</v>
      </c>
      <c r="R21" s="134">
        <f t="shared" si="19"/>
        <v>0</v>
      </c>
      <c r="S21" s="134">
        <f t="shared" si="19"/>
        <v>45000</v>
      </c>
      <c r="T21" s="134">
        <f t="shared" si="19"/>
        <v>32700</v>
      </c>
      <c r="U21" s="134">
        <f t="shared" si="19"/>
        <v>75000</v>
      </c>
      <c r="V21" s="134">
        <f t="shared" si="19"/>
        <v>47972</v>
      </c>
      <c r="W21" s="134">
        <f t="shared" si="19"/>
        <v>205</v>
      </c>
      <c r="X21" s="134">
        <f t="shared" si="19"/>
        <v>10</v>
      </c>
      <c r="Y21" s="134">
        <f t="shared" si="19"/>
        <v>70</v>
      </c>
      <c r="Z21" s="134">
        <f t="shared" si="19"/>
        <v>160</v>
      </c>
      <c r="AA21" s="134">
        <f>SUM(AA13:AA20)</f>
        <v>2812</v>
      </c>
      <c r="AB21" s="134">
        <f t="shared" si="19"/>
        <v>576</v>
      </c>
      <c r="AC21" s="134">
        <f t="shared" si="19"/>
        <v>61</v>
      </c>
      <c r="AD21" s="134">
        <f t="shared" si="19"/>
        <v>62</v>
      </c>
      <c r="AE21" s="134">
        <f t="shared" si="19"/>
        <v>145</v>
      </c>
      <c r="AF21" s="134">
        <f t="shared" si="19"/>
        <v>35</v>
      </c>
      <c r="AG21" s="134">
        <f t="shared" si="19"/>
        <v>0</v>
      </c>
      <c r="AH21" s="134">
        <f t="shared" si="19"/>
        <v>0</v>
      </c>
      <c r="AI21" s="134">
        <f t="shared" si="19"/>
        <v>0</v>
      </c>
      <c r="AJ21" s="134">
        <f t="shared" si="19"/>
        <v>200000</v>
      </c>
      <c r="AK21" s="134">
        <f t="shared" si="19"/>
        <v>0</v>
      </c>
      <c r="AL21" s="134">
        <f t="shared" si="19"/>
        <v>2100000</v>
      </c>
      <c r="AM21" s="134">
        <f t="shared" si="19"/>
        <v>6570000</v>
      </c>
      <c r="AN21" s="134">
        <f t="shared" si="19"/>
        <v>5760000</v>
      </c>
      <c r="AO21" s="134">
        <f t="shared" si="19"/>
        <v>14430000</v>
      </c>
      <c r="AP21" s="134">
        <f t="shared" si="19"/>
        <v>5508540</v>
      </c>
    </row>
    <row r="22" spans="1:48" s="50" customFormat="1" ht="50.25" customHeight="1">
      <c r="A22" s="540"/>
      <c r="B22" s="943" t="s">
        <v>144</v>
      </c>
      <c r="C22" s="943">
        <v>12</v>
      </c>
      <c r="D22" s="53" t="s">
        <v>145</v>
      </c>
      <c r="E22" s="7">
        <v>1</v>
      </c>
      <c r="F22" s="53" t="s">
        <v>1064</v>
      </c>
      <c r="G22" s="53" t="s">
        <v>1065</v>
      </c>
      <c r="H22" s="797" t="s">
        <v>1066</v>
      </c>
      <c r="I22" s="53"/>
      <c r="J22" s="53"/>
      <c r="K22" s="53"/>
      <c r="L22" s="53"/>
      <c r="M22" s="53" t="s">
        <v>1067</v>
      </c>
      <c r="N22" s="800">
        <v>1281720</v>
      </c>
      <c r="O22" s="800">
        <v>1097300</v>
      </c>
      <c r="P22" s="800">
        <v>42000</v>
      </c>
      <c r="Q22" s="801">
        <f>N22+O22+P22</f>
        <v>2421020</v>
      </c>
      <c r="R22" s="57"/>
      <c r="S22" s="57"/>
      <c r="T22" s="57"/>
      <c r="U22" s="57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8"/>
      <c r="AH22" s="58"/>
      <c r="AI22" s="58"/>
      <c r="AJ22" s="58"/>
      <c r="AK22" s="59">
        <f>R22*Y22</f>
        <v>0</v>
      </c>
      <c r="AL22" s="59">
        <f t="shared" ref="AL22:AN23" si="20">S22*Z22</f>
        <v>0</v>
      </c>
      <c r="AM22" s="59">
        <f t="shared" si="20"/>
        <v>0</v>
      </c>
      <c r="AN22" s="59">
        <f t="shared" si="20"/>
        <v>0</v>
      </c>
      <c r="AO22" s="13">
        <f>AK22+AL22+AM22+AN22</f>
        <v>0</v>
      </c>
      <c r="AP22" s="60">
        <f>AO22-Q22</f>
        <v>-2421020</v>
      </c>
      <c r="AQ22" s="1"/>
      <c r="AR22" s="1"/>
      <c r="AS22" s="1"/>
      <c r="AT22" s="1"/>
      <c r="AU22" s="1"/>
      <c r="AV22" s="1"/>
    </row>
    <row r="23" spans="1:48" s="50" customFormat="1" ht="50.25" customHeight="1">
      <c r="A23" s="540"/>
      <c r="B23" s="944"/>
      <c r="C23" s="944"/>
      <c r="D23" s="53" t="s">
        <v>1068</v>
      </c>
      <c r="E23" s="39">
        <v>1</v>
      </c>
      <c r="F23" s="52" t="s">
        <v>1069</v>
      </c>
      <c r="G23" s="53" t="s">
        <v>857</v>
      </c>
      <c r="H23" s="797" t="s">
        <v>1066</v>
      </c>
      <c r="I23" s="52"/>
      <c r="J23" s="52"/>
      <c r="K23" s="52"/>
      <c r="L23" s="52"/>
      <c r="M23" s="53" t="s">
        <v>1067</v>
      </c>
      <c r="N23" s="802">
        <v>358000</v>
      </c>
      <c r="O23" s="802">
        <v>211500</v>
      </c>
      <c r="P23" s="802"/>
      <c r="Q23" s="801">
        <f t="shared" ref="Q23:Q26" si="21">N23+O23+P23</f>
        <v>569500</v>
      </c>
      <c r="R23" s="57"/>
      <c r="S23" s="57"/>
      <c r="T23" s="57"/>
      <c r="U23" s="57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8"/>
      <c r="AH23" s="58"/>
      <c r="AI23" s="58"/>
      <c r="AJ23" s="58"/>
      <c r="AK23" s="59">
        <f t="shared" ref="AK23" si="22">R23*Y23</f>
        <v>0</v>
      </c>
      <c r="AL23" s="59">
        <f t="shared" si="20"/>
        <v>0</v>
      </c>
      <c r="AM23" s="59">
        <f t="shared" si="20"/>
        <v>0</v>
      </c>
      <c r="AN23" s="59">
        <f t="shared" si="20"/>
        <v>0</v>
      </c>
      <c r="AO23" s="13">
        <f t="shared" ref="AO23" si="23">AK23+AL23+AM23+AN23</f>
        <v>0</v>
      </c>
      <c r="AP23" s="60">
        <f t="shared" ref="AP23" si="24">AO23-Q23</f>
        <v>-569500</v>
      </c>
      <c r="AQ23" s="1"/>
      <c r="AR23" s="1"/>
      <c r="AS23" s="1"/>
      <c r="AT23" s="1"/>
      <c r="AU23" s="1"/>
      <c r="AV23" s="1"/>
    </row>
    <row r="24" spans="1:48" s="50" customFormat="1" ht="50.25" customHeight="1" thickBot="1">
      <c r="A24" s="542"/>
      <c r="B24" s="944"/>
      <c r="C24" s="944"/>
      <c r="D24" s="604" t="s">
        <v>1070</v>
      </c>
      <c r="E24" s="39">
        <v>2</v>
      </c>
      <c r="F24" s="39" t="s">
        <v>1069</v>
      </c>
      <c r="G24" s="53"/>
      <c r="H24" s="797" t="s">
        <v>1066</v>
      </c>
      <c r="I24" s="112"/>
      <c r="J24" s="112"/>
      <c r="K24" s="112"/>
      <c r="L24" s="112"/>
      <c r="M24" s="604" t="s">
        <v>1067</v>
      </c>
      <c r="N24" s="803">
        <v>972150</v>
      </c>
      <c r="O24" s="803">
        <v>520312</v>
      </c>
      <c r="P24" s="803"/>
      <c r="Q24" s="801">
        <f t="shared" si="21"/>
        <v>1492462</v>
      </c>
      <c r="R24" s="114"/>
      <c r="S24" s="114"/>
      <c r="T24" s="114"/>
      <c r="U24" s="114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5"/>
      <c r="AH24" s="115"/>
      <c r="AI24" s="115"/>
      <c r="AJ24" s="115"/>
      <c r="AK24" s="135"/>
      <c r="AL24" s="135"/>
      <c r="AM24" s="135"/>
      <c r="AN24" s="135"/>
      <c r="AO24" s="72"/>
      <c r="AP24" s="342"/>
      <c r="AQ24" s="1"/>
      <c r="AR24" s="1"/>
      <c r="AS24" s="1"/>
      <c r="AT24" s="1"/>
      <c r="AU24" s="1"/>
      <c r="AV24" s="1"/>
    </row>
    <row r="25" spans="1:48" s="50" customFormat="1" ht="50.25" customHeight="1" thickBot="1">
      <c r="A25" s="542"/>
      <c r="B25" s="944"/>
      <c r="C25" s="944"/>
      <c r="D25" s="604" t="s">
        <v>146</v>
      </c>
      <c r="E25" s="39">
        <v>1</v>
      </c>
      <c r="F25" s="52" t="s">
        <v>1071</v>
      </c>
      <c r="G25" s="53" t="s">
        <v>1072</v>
      </c>
      <c r="H25" s="797" t="s">
        <v>1066</v>
      </c>
      <c r="I25" s="173"/>
      <c r="J25" s="173"/>
      <c r="K25" s="173"/>
      <c r="L25" s="52"/>
      <c r="M25" s="53" t="s">
        <v>1067</v>
      </c>
      <c r="N25" s="802">
        <v>566680</v>
      </c>
      <c r="O25" s="802">
        <v>242720</v>
      </c>
      <c r="P25" s="804"/>
      <c r="Q25" s="801">
        <f t="shared" si="21"/>
        <v>809400</v>
      </c>
      <c r="R25" s="114"/>
      <c r="S25" s="114"/>
      <c r="T25" s="114"/>
      <c r="U25" s="114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5"/>
      <c r="AH25" s="115"/>
      <c r="AI25" s="115"/>
      <c r="AJ25" s="115"/>
      <c r="AK25" s="135"/>
      <c r="AL25" s="135"/>
      <c r="AM25" s="135"/>
      <c r="AN25" s="135"/>
      <c r="AO25" s="72"/>
      <c r="AP25" s="342"/>
      <c r="AQ25" s="1"/>
      <c r="AR25" s="1"/>
      <c r="AS25" s="1"/>
      <c r="AT25" s="1"/>
      <c r="AU25" s="1"/>
      <c r="AV25" s="1"/>
    </row>
    <row r="26" spans="1:48" s="50" customFormat="1" ht="50.25" customHeight="1" thickBot="1">
      <c r="A26" s="542"/>
      <c r="B26" s="944"/>
      <c r="C26" s="944"/>
      <c r="D26" s="604" t="s">
        <v>1073</v>
      </c>
      <c r="E26" s="39">
        <v>1</v>
      </c>
      <c r="F26" s="52" t="s">
        <v>1074</v>
      </c>
      <c r="G26" s="53" t="s">
        <v>1075</v>
      </c>
      <c r="H26" s="797" t="s">
        <v>1066</v>
      </c>
      <c r="I26" s="173"/>
      <c r="J26" s="173"/>
      <c r="K26" s="173"/>
      <c r="L26" s="52"/>
      <c r="M26" s="53" t="s">
        <v>1067</v>
      </c>
      <c r="N26" s="802">
        <v>459911</v>
      </c>
      <c r="O26" s="802">
        <v>769200</v>
      </c>
      <c r="P26" s="804"/>
      <c r="Q26" s="801">
        <f t="shared" si="21"/>
        <v>1229111</v>
      </c>
      <c r="R26" s="114"/>
      <c r="S26" s="114"/>
      <c r="T26" s="114"/>
      <c r="U26" s="114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5"/>
      <c r="AH26" s="115"/>
      <c r="AI26" s="115"/>
      <c r="AJ26" s="115"/>
      <c r="AK26" s="135"/>
      <c r="AL26" s="135"/>
      <c r="AM26" s="135"/>
      <c r="AN26" s="135"/>
      <c r="AO26" s="72"/>
      <c r="AP26" s="342"/>
      <c r="AQ26" s="1"/>
      <c r="AR26" s="1"/>
      <c r="AS26" s="1"/>
      <c r="AT26" s="1"/>
      <c r="AU26" s="1"/>
      <c r="AV26" s="1"/>
    </row>
    <row r="27" spans="1:48" s="50" customFormat="1" ht="50.25" customHeight="1" thickBot="1">
      <c r="A27" s="542"/>
      <c r="B27" s="949"/>
      <c r="C27" s="949"/>
      <c r="D27" s="604" t="s">
        <v>1073</v>
      </c>
      <c r="E27" s="39">
        <v>1</v>
      </c>
      <c r="F27" s="75">
        <v>45777</v>
      </c>
      <c r="G27" s="53" t="s">
        <v>1076</v>
      </c>
      <c r="H27" s="797" t="s">
        <v>1066</v>
      </c>
      <c r="I27" s="173"/>
      <c r="J27" s="173"/>
      <c r="K27" s="173"/>
      <c r="L27" s="52"/>
      <c r="M27" s="53" t="s">
        <v>1067</v>
      </c>
      <c r="N27" s="802">
        <v>459911</v>
      </c>
      <c r="O27" s="802">
        <v>769200</v>
      </c>
      <c r="P27" s="802"/>
      <c r="Q27" s="801">
        <f>N27+O27+P27</f>
        <v>1229111</v>
      </c>
      <c r="R27" s="114"/>
      <c r="S27" s="114"/>
      <c r="T27" s="114"/>
      <c r="U27" s="114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5"/>
      <c r="AH27" s="115"/>
      <c r="AI27" s="115"/>
      <c r="AJ27" s="115"/>
      <c r="AK27" s="135"/>
      <c r="AL27" s="135"/>
      <c r="AM27" s="135"/>
      <c r="AN27" s="135"/>
      <c r="AO27" s="72"/>
      <c r="AP27" s="342"/>
      <c r="AQ27" s="1"/>
      <c r="AR27" s="1"/>
      <c r="AS27" s="1"/>
      <c r="AT27" s="1"/>
      <c r="AU27" s="1"/>
      <c r="AV27" s="1"/>
    </row>
    <row r="28" spans="1:48" s="50" customFormat="1" ht="31.5" customHeight="1" thickBot="1">
      <c r="A28" s="136"/>
      <c r="B28" s="137" t="s">
        <v>115</v>
      </c>
      <c r="C28" s="137">
        <f>SUM(C22:C27)</f>
        <v>12</v>
      </c>
      <c r="D28" s="137"/>
      <c r="E28" s="194">
        <f>SUM(E22:E27)</f>
        <v>7</v>
      </c>
      <c r="F28" s="194"/>
      <c r="G28" s="194"/>
      <c r="H28" s="137"/>
      <c r="I28" s="137"/>
      <c r="J28" s="137"/>
      <c r="K28" s="137"/>
      <c r="L28" s="194"/>
      <c r="M28" s="196"/>
      <c r="N28" s="805">
        <f t="shared" ref="N28:O28" si="25">SUM(N22:N27)</f>
        <v>4098372</v>
      </c>
      <c r="O28" s="805">
        <f t="shared" si="25"/>
        <v>3610232</v>
      </c>
      <c r="P28" s="805">
        <f>SUM(P22:P27)</f>
        <v>42000</v>
      </c>
      <c r="Q28" s="805">
        <f>SUM(Q22:Q27)</f>
        <v>7750604</v>
      </c>
      <c r="R28" s="805">
        <f t="shared" ref="R28:AP28" si="26">SUM(R22:R26)</f>
        <v>0</v>
      </c>
      <c r="S28" s="137">
        <f t="shared" si="26"/>
        <v>0</v>
      </c>
      <c r="T28" s="137">
        <f t="shared" si="26"/>
        <v>0</v>
      </c>
      <c r="U28" s="137">
        <f t="shared" si="26"/>
        <v>0</v>
      </c>
      <c r="V28" s="137">
        <f t="shared" si="26"/>
        <v>0</v>
      </c>
      <c r="W28" s="137">
        <f t="shared" si="26"/>
        <v>0</v>
      </c>
      <c r="X28" s="137">
        <f t="shared" si="26"/>
        <v>0</v>
      </c>
      <c r="Y28" s="137">
        <f t="shared" si="26"/>
        <v>0</v>
      </c>
      <c r="Z28" s="137">
        <f t="shared" si="26"/>
        <v>0</v>
      </c>
      <c r="AA28" s="137">
        <f t="shared" si="26"/>
        <v>0</v>
      </c>
      <c r="AB28" s="137">
        <f t="shared" si="26"/>
        <v>0</v>
      </c>
      <c r="AC28" s="137">
        <f t="shared" si="26"/>
        <v>0</v>
      </c>
      <c r="AD28" s="137">
        <f t="shared" si="26"/>
        <v>0</v>
      </c>
      <c r="AE28" s="137">
        <f t="shared" si="26"/>
        <v>0</v>
      </c>
      <c r="AF28" s="137">
        <f t="shared" si="26"/>
        <v>0</v>
      </c>
      <c r="AG28" s="137">
        <f t="shared" si="26"/>
        <v>0</v>
      </c>
      <c r="AH28" s="137">
        <f t="shared" si="26"/>
        <v>0</v>
      </c>
      <c r="AI28" s="137">
        <f t="shared" si="26"/>
        <v>0</v>
      </c>
      <c r="AJ28" s="137">
        <f t="shared" si="26"/>
        <v>0</v>
      </c>
      <c r="AK28" s="137">
        <f t="shared" si="26"/>
        <v>0</v>
      </c>
      <c r="AL28" s="137">
        <f t="shared" si="26"/>
        <v>0</v>
      </c>
      <c r="AM28" s="137">
        <f t="shared" si="26"/>
        <v>0</v>
      </c>
      <c r="AN28" s="137">
        <f t="shared" si="26"/>
        <v>0</v>
      </c>
      <c r="AO28" s="137">
        <f t="shared" si="26"/>
        <v>0</v>
      </c>
      <c r="AP28" s="211">
        <f t="shared" si="26"/>
        <v>-2990520</v>
      </c>
      <c r="AQ28" s="1"/>
      <c r="AR28" s="1"/>
      <c r="AS28" s="1"/>
      <c r="AT28" s="1"/>
      <c r="AU28" s="1"/>
      <c r="AV28" s="1"/>
    </row>
    <row r="29" spans="1:48" s="50" customFormat="1" ht="36.75" customHeight="1">
      <c r="A29" s="97">
        <v>1</v>
      </c>
      <c r="B29" s="950" t="s">
        <v>761</v>
      </c>
      <c r="C29" s="952">
        <v>17</v>
      </c>
      <c r="D29" s="806" t="s">
        <v>1077</v>
      </c>
      <c r="E29" s="98">
        <v>1</v>
      </c>
      <c r="F29" s="29" t="s">
        <v>1078</v>
      </c>
      <c r="G29" s="806" t="s">
        <v>1077</v>
      </c>
      <c r="H29" s="954" t="s">
        <v>1079</v>
      </c>
      <c r="I29" s="98"/>
      <c r="J29" s="29"/>
      <c r="K29" s="29" t="s">
        <v>16</v>
      </c>
      <c r="L29" s="29"/>
      <c r="M29" s="98">
        <v>0</v>
      </c>
      <c r="N29" s="100">
        <v>0</v>
      </c>
      <c r="O29" s="101">
        <v>100000</v>
      </c>
      <c r="P29" s="100">
        <v>50000</v>
      </c>
      <c r="Q29" s="102">
        <f>N29+O29+P29</f>
        <v>150000</v>
      </c>
      <c r="R29" s="103" t="s">
        <v>193</v>
      </c>
      <c r="S29" s="104" t="s">
        <v>193</v>
      </c>
      <c r="T29" s="103" t="s">
        <v>193</v>
      </c>
      <c r="U29" s="104" t="s">
        <v>193</v>
      </c>
      <c r="V29" s="29" t="s">
        <v>193</v>
      </c>
      <c r="W29" s="98" t="s">
        <v>193</v>
      </c>
      <c r="X29" s="29" t="s">
        <v>193</v>
      </c>
      <c r="Y29" s="98" t="s">
        <v>193</v>
      </c>
      <c r="Z29" s="29" t="s">
        <v>193</v>
      </c>
      <c r="AA29" s="98" t="s">
        <v>193</v>
      </c>
      <c r="AB29" s="29" t="s">
        <v>193</v>
      </c>
      <c r="AC29" s="98" t="s">
        <v>193</v>
      </c>
      <c r="AD29" s="29" t="s">
        <v>193</v>
      </c>
      <c r="AE29" s="98" t="s">
        <v>193</v>
      </c>
      <c r="AF29" s="29" t="s">
        <v>193</v>
      </c>
      <c r="AG29" s="105" t="s">
        <v>193</v>
      </c>
      <c r="AH29" s="106" t="s">
        <v>193</v>
      </c>
      <c r="AI29" s="105" t="s">
        <v>193</v>
      </c>
      <c r="AJ29" s="106" t="s">
        <v>193</v>
      </c>
      <c r="AK29" s="107" t="s">
        <v>193</v>
      </c>
      <c r="AL29" s="108" t="s">
        <v>193</v>
      </c>
      <c r="AM29" s="107" t="s">
        <v>193</v>
      </c>
      <c r="AN29" s="108" t="s">
        <v>193</v>
      </c>
      <c r="AO29" s="109">
        <v>0</v>
      </c>
      <c r="AP29" s="110">
        <f>AO29-Q29</f>
        <v>-150000</v>
      </c>
      <c r="AQ29" s="2"/>
      <c r="AR29" s="5"/>
      <c r="AS29" s="2"/>
      <c r="AT29" s="5"/>
      <c r="AU29" s="2"/>
      <c r="AV29" s="111"/>
    </row>
    <row r="30" spans="1:48" s="50" customFormat="1" ht="36.75" customHeight="1">
      <c r="A30" s="344"/>
      <c r="B30" s="951"/>
      <c r="C30" s="953"/>
      <c r="D30" s="807" t="s">
        <v>1080</v>
      </c>
      <c r="E30" s="313">
        <v>2</v>
      </c>
      <c r="F30" s="354" t="s">
        <v>1081</v>
      </c>
      <c r="G30" s="807" t="s">
        <v>1080</v>
      </c>
      <c r="H30" s="954"/>
      <c r="I30" s="313"/>
      <c r="J30" s="354"/>
      <c r="K30" s="354" t="s">
        <v>16</v>
      </c>
      <c r="L30" s="354"/>
      <c r="M30" s="808"/>
      <c r="N30" s="809">
        <v>0</v>
      </c>
      <c r="O30" s="810">
        <v>100000</v>
      </c>
      <c r="P30" s="402">
        <v>50000</v>
      </c>
      <c r="Q30" s="102">
        <f t="shared" ref="Q30:Q37" si="27">N30+O30+P30</f>
        <v>150000</v>
      </c>
      <c r="R30" s="405"/>
      <c r="S30" s="406"/>
      <c r="T30" s="405"/>
      <c r="U30" s="406"/>
      <c r="V30" s="354"/>
      <c r="W30" s="313"/>
      <c r="X30" s="354"/>
      <c r="Y30" s="313"/>
      <c r="Z30" s="354"/>
      <c r="AA30" s="313"/>
      <c r="AB30" s="354"/>
      <c r="AC30" s="313"/>
      <c r="AD30" s="354"/>
      <c r="AE30" s="313"/>
      <c r="AF30" s="354"/>
      <c r="AG30" s="407"/>
      <c r="AH30" s="408"/>
      <c r="AI30" s="407"/>
      <c r="AJ30" s="408"/>
      <c r="AK30" s="409"/>
      <c r="AL30" s="410"/>
      <c r="AM30" s="409"/>
      <c r="AN30" s="410"/>
      <c r="AO30" s="411"/>
      <c r="AP30" s="110">
        <f t="shared" ref="AP30:AP38" si="28">AO30-Q30</f>
        <v>-150000</v>
      </c>
      <c r="AQ30" s="1"/>
      <c r="AR30" s="1"/>
      <c r="AS30" s="1"/>
      <c r="AT30" s="1"/>
      <c r="AU30" s="1"/>
      <c r="AV30" s="1"/>
    </row>
    <row r="31" spans="1:48" s="50" customFormat="1" ht="36.75" customHeight="1">
      <c r="A31" s="344"/>
      <c r="B31" s="951"/>
      <c r="C31" s="953"/>
      <c r="D31" s="811" t="s">
        <v>1082</v>
      </c>
      <c r="E31" s="313">
        <v>1</v>
      </c>
      <c r="F31" s="354" t="s">
        <v>1083</v>
      </c>
      <c r="G31" s="811" t="s">
        <v>1084</v>
      </c>
      <c r="H31" s="954"/>
      <c r="I31" s="313"/>
      <c r="J31" s="354"/>
      <c r="K31" s="313"/>
      <c r="L31" s="313"/>
      <c r="M31" s="808"/>
      <c r="N31" s="809">
        <v>2040000</v>
      </c>
      <c r="O31" s="810">
        <v>1400000</v>
      </c>
      <c r="P31" s="402">
        <v>0</v>
      </c>
      <c r="Q31" s="102">
        <f t="shared" si="27"/>
        <v>3440000</v>
      </c>
      <c r="R31" s="405"/>
      <c r="S31" s="406"/>
      <c r="T31" s="405"/>
      <c r="U31" s="406"/>
      <c r="V31" s="354"/>
      <c r="W31" s="313"/>
      <c r="X31" s="354"/>
      <c r="Y31" s="313"/>
      <c r="Z31" s="354"/>
      <c r="AA31" s="313"/>
      <c r="AB31" s="354"/>
      <c r="AC31" s="313"/>
      <c r="AD31" s="354"/>
      <c r="AE31" s="313"/>
      <c r="AF31" s="354"/>
      <c r="AG31" s="407"/>
      <c r="AH31" s="408"/>
      <c r="AI31" s="407"/>
      <c r="AJ31" s="408"/>
      <c r="AK31" s="409"/>
      <c r="AL31" s="410"/>
      <c r="AM31" s="409"/>
      <c r="AN31" s="410"/>
      <c r="AO31" s="411"/>
      <c r="AP31" s="110">
        <f t="shared" si="28"/>
        <v>-3440000</v>
      </c>
    </row>
    <row r="32" spans="1:48" s="50" customFormat="1" ht="36.75" customHeight="1">
      <c r="A32" s="344"/>
      <c r="B32" s="951"/>
      <c r="C32" s="953"/>
      <c r="D32" s="811" t="s">
        <v>1085</v>
      </c>
      <c r="E32" s="313">
        <v>1</v>
      </c>
      <c r="F32" s="354" t="s">
        <v>1086</v>
      </c>
      <c r="G32" s="811" t="s">
        <v>1085</v>
      </c>
      <c r="H32" s="954"/>
      <c r="I32" s="313"/>
      <c r="J32" s="354"/>
      <c r="K32" s="313"/>
      <c r="L32" s="354"/>
      <c r="M32" s="808"/>
      <c r="N32" s="809"/>
      <c r="O32" s="810"/>
      <c r="P32" s="402"/>
      <c r="Q32" s="102">
        <f t="shared" si="27"/>
        <v>0</v>
      </c>
      <c r="R32" s="405"/>
      <c r="S32" s="406"/>
      <c r="T32" s="405"/>
      <c r="U32" s="406"/>
      <c r="V32" s="354"/>
      <c r="W32" s="313"/>
      <c r="X32" s="354"/>
      <c r="Y32" s="313"/>
      <c r="Z32" s="354"/>
      <c r="AA32" s="313"/>
      <c r="AB32" s="354"/>
      <c r="AC32" s="313"/>
      <c r="AD32" s="354"/>
      <c r="AE32" s="313"/>
      <c r="AF32" s="354"/>
      <c r="AG32" s="407"/>
      <c r="AH32" s="408"/>
      <c r="AI32" s="407"/>
      <c r="AJ32" s="408"/>
      <c r="AK32" s="409"/>
      <c r="AL32" s="410"/>
      <c r="AM32" s="409"/>
      <c r="AN32" s="410"/>
      <c r="AO32" s="411"/>
      <c r="AP32" s="110">
        <f t="shared" si="28"/>
        <v>0</v>
      </c>
    </row>
    <row r="33" spans="1:48" s="50" customFormat="1" ht="36.75" customHeight="1">
      <c r="A33" s="344"/>
      <c r="B33" s="951"/>
      <c r="C33" s="953"/>
      <c r="D33" s="811" t="s">
        <v>1087</v>
      </c>
      <c r="E33" s="313">
        <v>2</v>
      </c>
      <c r="F33" s="354" t="s">
        <v>1088</v>
      </c>
      <c r="G33" s="811" t="s">
        <v>1089</v>
      </c>
      <c r="H33" s="954"/>
      <c r="I33" s="313"/>
      <c r="J33" s="354"/>
      <c r="K33" s="313"/>
      <c r="L33" s="354"/>
      <c r="M33" s="808"/>
      <c r="N33" s="809">
        <v>2496000</v>
      </c>
      <c r="O33" s="810">
        <v>7000000</v>
      </c>
      <c r="P33" s="402">
        <v>800000</v>
      </c>
      <c r="Q33" s="102">
        <f t="shared" si="27"/>
        <v>10296000</v>
      </c>
      <c r="R33" s="405"/>
      <c r="S33" s="406"/>
      <c r="T33" s="405"/>
      <c r="U33" s="406"/>
      <c r="V33" s="354"/>
      <c r="W33" s="313"/>
      <c r="X33" s="354"/>
      <c r="Y33" s="313"/>
      <c r="Z33" s="354"/>
      <c r="AA33" s="313"/>
      <c r="AB33" s="354"/>
      <c r="AC33" s="313"/>
      <c r="AD33" s="354"/>
      <c r="AE33" s="313"/>
      <c r="AF33" s="354"/>
      <c r="AG33" s="407"/>
      <c r="AH33" s="408"/>
      <c r="AI33" s="407"/>
      <c r="AJ33" s="408"/>
      <c r="AK33" s="409"/>
      <c r="AL33" s="410"/>
      <c r="AM33" s="409"/>
      <c r="AN33" s="410"/>
      <c r="AO33" s="411"/>
      <c r="AP33" s="110">
        <f t="shared" si="28"/>
        <v>-10296000</v>
      </c>
    </row>
    <row r="34" spans="1:48" s="50" customFormat="1" ht="36.75" customHeight="1">
      <c r="A34" s="344">
        <f>-AP12758</f>
        <v>0</v>
      </c>
      <c r="B34" s="951"/>
      <c r="C34" s="953"/>
      <c r="D34" s="811" t="s">
        <v>1090</v>
      </c>
      <c r="E34" s="313">
        <v>2</v>
      </c>
      <c r="F34" s="354" t="s">
        <v>1091</v>
      </c>
      <c r="G34" s="811" t="s">
        <v>1092</v>
      </c>
      <c r="H34" s="954"/>
      <c r="I34" s="313"/>
      <c r="J34" s="354"/>
      <c r="K34" s="313"/>
      <c r="L34" s="354"/>
      <c r="M34" s="808"/>
      <c r="N34" s="809">
        <v>4290000</v>
      </c>
      <c r="O34" s="810">
        <v>977090</v>
      </c>
      <c r="P34" s="402">
        <v>2000000</v>
      </c>
      <c r="Q34" s="102">
        <f t="shared" si="27"/>
        <v>7267090</v>
      </c>
      <c r="R34" s="405"/>
      <c r="S34" s="406"/>
      <c r="T34" s="405"/>
      <c r="U34" s="406"/>
      <c r="V34" s="354"/>
      <c r="W34" s="313"/>
      <c r="X34" s="354"/>
      <c r="Y34" s="313"/>
      <c r="Z34" s="354"/>
      <c r="AA34" s="313"/>
      <c r="AB34" s="354"/>
      <c r="AC34" s="313"/>
      <c r="AD34" s="354"/>
      <c r="AE34" s="313"/>
      <c r="AF34" s="354"/>
      <c r="AG34" s="407"/>
      <c r="AH34" s="408"/>
      <c r="AI34" s="407"/>
      <c r="AJ34" s="408"/>
      <c r="AK34" s="409"/>
      <c r="AL34" s="410"/>
      <c r="AM34" s="409"/>
      <c r="AN34" s="410"/>
      <c r="AO34" s="411"/>
      <c r="AP34" s="110">
        <f t="shared" si="28"/>
        <v>-7267090</v>
      </c>
    </row>
    <row r="35" spans="1:48" s="50" customFormat="1" ht="36.75" customHeight="1">
      <c r="A35" s="344"/>
      <c r="B35" s="951"/>
      <c r="C35" s="953"/>
      <c r="D35" s="811" t="s">
        <v>1093</v>
      </c>
      <c r="E35" s="313">
        <v>1</v>
      </c>
      <c r="F35" s="354" t="s">
        <v>1091</v>
      </c>
      <c r="G35" s="811" t="s">
        <v>924</v>
      </c>
      <c r="H35" s="954"/>
      <c r="I35" s="313"/>
      <c r="J35" s="354"/>
      <c r="K35" s="313"/>
      <c r="L35" s="354"/>
      <c r="M35" s="808"/>
      <c r="N35" s="809">
        <v>4000000</v>
      </c>
      <c r="O35" s="810">
        <v>800000</v>
      </c>
      <c r="P35" s="402">
        <v>1800000</v>
      </c>
      <c r="Q35" s="102">
        <f t="shared" si="27"/>
        <v>6600000</v>
      </c>
      <c r="R35" s="405"/>
      <c r="S35" s="406"/>
      <c r="T35" s="405"/>
      <c r="U35" s="406"/>
      <c r="V35" s="354"/>
      <c r="W35" s="313"/>
      <c r="X35" s="354"/>
      <c r="Y35" s="313"/>
      <c r="Z35" s="354"/>
      <c r="AA35" s="313"/>
      <c r="AB35" s="354"/>
      <c r="AC35" s="313"/>
      <c r="AD35" s="354"/>
      <c r="AE35" s="313"/>
      <c r="AF35" s="354"/>
      <c r="AG35" s="407"/>
      <c r="AH35" s="408"/>
      <c r="AI35" s="407"/>
      <c r="AJ35" s="408"/>
      <c r="AK35" s="409"/>
      <c r="AL35" s="410"/>
      <c r="AM35" s="409"/>
      <c r="AN35" s="410"/>
      <c r="AO35" s="411"/>
      <c r="AP35" s="110">
        <f t="shared" si="28"/>
        <v>-6600000</v>
      </c>
    </row>
    <row r="36" spans="1:48" s="50" customFormat="1" ht="36.75" customHeight="1">
      <c r="A36" s="344"/>
      <c r="B36" s="951"/>
      <c r="C36" s="953"/>
      <c r="D36" s="811" t="s">
        <v>1094</v>
      </c>
      <c r="E36" s="313">
        <v>1</v>
      </c>
      <c r="F36" s="354" t="s">
        <v>1091</v>
      </c>
      <c r="G36" s="811" t="s">
        <v>1094</v>
      </c>
      <c r="H36" s="954"/>
      <c r="I36" s="313"/>
      <c r="J36" s="354"/>
      <c r="K36" s="313"/>
      <c r="L36" s="354"/>
      <c r="M36" s="808"/>
      <c r="N36" s="809">
        <v>2000000</v>
      </c>
      <c r="O36" s="810">
        <v>400000</v>
      </c>
      <c r="P36" s="402">
        <v>900000</v>
      </c>
      <c r="Q36" s="102">
        <f t="shared" si="27"/>
        <v>3300000</v>
      </c>
      <c r="R36" s="405"/>
      <c r="S36" s="406"/>
      <c r="T36" s="405"/>
      <c r="U36" s="406"/>
      <c r="V36" s="354"/>
      <c r="W36" s="313"/>
      <c r="X36" s="354"/>
      <c r="Y36" s="313"/>
      <c r="Z36" s="354"/>
      <c r="AA36" s="313"/>
      <c r="AB36" s="354"/>
      <c r="AC36" s="313"/>
      <c r="AD36" s="354"/>
      <c r="AE36" s="313"/>
      <c r="AF36" s="354"/>
      <c r="AG36" s="407"/>
      <c r="AH36" s="408"/>
      <c r="AI36" s="407"/>
      <c r="AJ36" s="408"/>
      <c r="AK36" s="409"/>
      <c r="AL36" s="410"/>
      <c r="AM36" s="409"/>
      <c r="AN36" s="410"/>
      <c r="AO36" s="411"/>
      <c r="AP36" s="110">
        <f t="shared" si="28"/>
        <v>-3300000</v>
      </c>
    </row>
    <row r="37" spans="1:48" s="50" customFormat="1" ht="36.75" customHeight="1">
      <c r="A37" s="344"/>
      <c r="B37" s="951"/>
      <c r="C37" s="953"/>
      <c r="D37" s="811" t="s">
        <v>1095</v>
      </c>
      <c r="E37" s="313">
        <v>1</v>
      </c>
      <c r="F37" s="354" t="s">
        <v>1096</v>
      </c>
      <c r="G37" s="811" t="s">
        <v>1095</v>
      </c>
      <c r="H37" s="954"/>
      <c r="I37" s="313"/>
      <c r="J37" s="354"/>
      <c r="K37" s="313"/>
      <c r="L37" s="354"/>
      <c r="M37" s="808"/>
      <c r="N37" s="809">
        <v>0</v>
      </c>
      <c r="O37" s="810">
        <v>100000</v>
      </c>
      <c r="P37" s="402">
        <v>50000</v>
      </c>
      <c r="Q37" s="102">
        <f t="shared" si="27"/>
        <v>150000</v>
      </c>
      <c r="R37" s="405"/>
      <c r="S37" s="406"/>
      <c r="T37" s="405"/>
      <c r="U37" s="406"/>
      <c r="V37" s="354"/>
      <c r="W37" s="313"/>
      <c r="X37" s="354"/>
      <c r="Y37" s="313"/>
      <c r="Z37" s="354"/>
      <c r="AA37" s="313"/>
      <c r="AB37" s="354"/>
      <c r="AC37" s="313"/>
      <c r="AD37" s="354"/>
      <c r="AE37" s="313"/>
      <c r="AF37" s="354"/>
      <c r="AG37" s="407"/>
      <c r="AH37" s="408"/>
      <c r="AI37" s="407"/>
      <c r="AJ37" s="408"/>
      <c r="AK37" s="409"/>
      <c r="AL37" s="410"/>
      <c r="AM37" s="409"/>
      <c r="AN37" s="410"/>
      <c r="AO37" s="411"/>
      <c r="AP37" s="110">
        <f t="shared" si="28"/>
        <v>-150000</v>
      </c>
    </row>
    <row r="38" spans="1:48" s="50" customFormat="1" ht="36.75" customHeight="1" thickBot="1">
      <c r="A38" s="344"/>
      <c r="B38" s="951"/>
      <c r="C38" s="953"/>
      <c r="D38" s="812" t="s">
        <v>1097</v>
      </c>
      <c r="E38" s="313">
        <v>1</v>
      </c>
      <c r="F38" s="354" t="s">
        <v>1098</v>
      </c>
      <c r="G38" s="812" t="s">
        <v>1097</v>
      </c>
      <c r="H38" s="401" t="s">
        <v>1099</v>
      </c>
      <c r="I38" s="313"/>
      <c r="J38" s="354"/>
      <c r="K38" s="313"/>
      <c r="L38" s="354"/>
      <c r="M38" s="808"/>
      <c r="N38" s="809">
        <v>0</v>
      </c>
      <c r="O38" s="810">
        <v>200000</v>
      </c>
      <c r="P38" s="402">
        <v>100000</v>
      </c>
      <c r="Q38" s="102">
        <f>N38+O38+P38</f>
        <v>300000</v>
      </c>
      <c r="R38" s="405"/>
      <c r="S38" s="406"/>
      <c r="T38" s="405"/>
      <c r="U38" s="406"/>
      <c r="V38" s="354"/>
      <c r="W38" s="313"/>
      <c r="X38" s="354"/>
      <c r="Y38" s="313"/>
      <c r="Z38" s="354"/>
      <c r="AA38" s="313"/>
      <c r="AB38" s="354"/>
      <c r="AC38" s="313"/>
      <c r="AD38" s="354"/>
      <c r="AE38" s="313"/>
      <c r="AF38" s="354"/>
      <c r="AG38" s="407"/>
      <c r="AH38" s="408"/>
      <c r="AI38" s="407"/>
      <c r="AJ38" s="408"/>
      <c r="AK38" s="409"/>
      <c r="AL38" s="410"/>
      <c r="AM38" s="409"/>
      <c r="AN38" s="410"/>
      <c r="AO38" s="411"/>
      <c r="AP38" s="110">
        <f t="shared" si="28"/>
        <v>-300000</v>
      </c>
    </row>
    <row r="39" spans="1:48" s="50" customFormat="1" ht="30.75" customHeight="1" thickBot="1">
      <c r="A39" s="136"/>
      <c r="B39" s="137" t="s">
        <v>115</v>
      </c>
      <c r="C39" s="137">
        <v>17</v>
      </c>
      <c r="D39" s="137"/>
      <c r="E39" s="137">
        <f>SUM(E29:E38)</f>
        <v>13</v>
      </c>
      <c r="F39" s="137"/>
      <c r="G39" s="137"/>
      <c r="H39" s="137"/>
      <c r="I39" s="137"/>
      <c r="J39" s="137"/>
      <c r="K39" s="137"/>
      <c r="L39" s="137"/>
      <c r="M39" s="137"/>
      <c r="N39" s="137">
        <f t="shared" ref="N39:AO39" si="29">SUM(N29:N38)</f>
        <v>14826000</v>
      </c>
      <c r="O39" s="137">
        <f t="shared" si="29"/>
        <v>11077090</v>
      </c>
      <c r="P39" s="137">
        <f t="shared" si="29"/>
        <v>5750000</v>
      </c>
      <c r="Q39" s="137">
        <f t="shared" si="29"/>
        <v>31653090</v>
      </c>
      <c r="R39" s="137">
        <f t="shared" si="29"/>
        <v>0</v>
      </c>
      <c r="S39" s="137">
        <f t="shared" si="29"/>
        <v>0</v>
      </c>
      <c r="T39" s="137">
        <f t="shared" si="29"/>
        <v>0</v>
      </c>
      <c r="U39" s="137">
        <f t="shared" si="29"/>
        <v>0</v>
      </c>
      <c r="V39" s="137">
        <f t="shared" si="29"/>
        <v>0</v>
      </c>
      <c r="W39" s="137">
        <f t="shared" si="29"/>
        <v>0</v>
      </c>
      <c r="X39" s="137">
        <f t="shared" si="29"/>
        <v>0</v>
      </c>
      <c r="Y39" s="137">
        <f t="shared" si="29"/>
        <v>0</v>
      </c>
      <c r="Z39" s="137">
        <f t="shared" si="29"/>
        <v>0</v>
      </c>
      <c r="AA39" s="137">
        <f t="shared" si="29"/>
        <v>0</v>
      </c>
      <c r="AB39" s="137">
        <f t="shared" si="29"/>
        <v>0</v>
      </c>
      <c r="AC39" s="137">
        <f t="shared" si="29"/>
        <v>0</v>
      </c>
      <c r="AD39" s="137">
        <f t="shared" si="29"/>
        <v>0</v>
      </c>
      <c r="AE39" s="137">
        <f t="shared" si="29"/>
        <v>0</v>
      </c>
      <c r="AF39" s="137">
        <f t="shared" si="29"/>
        <v>0</v>
      </c>
      <c r="AG39" s="137">
        <f t="shared" si="29"/>
        <v>0</v>
      </c>
      <c r="AH39" s="137">
        <f t="shared" si="29"/>
        <v>0</v>
      </c>
      <c r="AI39" s="137">
        <f t="shared" si="29"/>
        <v>0</v>
      </c>
      <c r="AJ39" s="137">
        <f t="shared" si="29"/>
        <v>0</v>
      </c>
      <c r="AK39" s="137">
        <f t="shared" si="29"/>
        <v>0</v>
      </c>
      <c r="AL39" s="137">
        <f t="shared" si="29"/>
        <v>0</v>
      </c>
      <c r="AM39" s="137">
        <f t="shared" si="29"/>
        <v>0</v>
      </c>
      <c r="AN39" s="137">
        <f t="shared" si="29"/>
        <v>0</v>
      </c>
      <c r="AO39" s="137">
        <f t="shared" si="29"/>
        <v>0</v>
      </c>
      <c r="AP39" s="137">
        <f>SUM(AP29:AP38)</f>
        <v>-31653090</v>
      </c>
    </row>
    <row r="40" spans="1:48" s="50" customFormat="1" ht="50.25" customHeight="1">
      <c r="A40" s="540"/>
      <c r="B40" s="865" t="s">
        <v>143</v>
      </c>
      <c r="C40" s="865">
        <v>34</v>
      </c>
      <c r="D40" s="119" t="s">
        <v>1100</v>
      </c>
      <c r="E40" s="52">
        <v>2</v>
      </c>
      <c r="F40" s="150" t="s">
        <v>1101</v>
      </c>
      <c r="G40" s="9" t="s">
        <v>1102</v>
      </c>
      <c r="H40" s="799" t="s">
        <v>60</v>
      </c>
      <c r="I40" s="52"/>
      <c r="J40" s="52"/>
      <c r="K40" s="52"/>
      <c r="L40" s="52"/>
      <c r="M40" s="52"/>
      <c r="N40" s="813">
        <v>220</v>
      </c>
      <c r="O40" s="813">
        <v>2120.6</v>
      </c>
      <c r="P40" s="55"/>
      <c r="Q40" s="814">
        <f>N40+O40+P40</f>
        <v>2340.6</v>
      </c>
      <c r="R40" s="815">
        <v>0</v>
      </c>
      <c r="S40" s="57"/>
      <c r="T40" s="816">
        <v>10000</v>
      </c>
      <c r="U40" s="57"/>
      <c r="V40" s="52">
        <v>14786</v>
      </c>
      <c r="W40" s="817">
        <v>8</v>
      </c>
      <c r="X40" s="818">
        <v>5.3999999999999999E-2</v>
      </c>
      <c r="Y40" s="819"/>
      <c r="Z40" s="52"/>
      <c r="AA40" s="819">
        <v>64</v>
      </c>
      <c r="AB40" s="52"/>
      <c r="AC40" s="52"/>
      <c r="AD40" s="52"/>
      <c r="AE40" s="52"/>
      <c r="AF40" s="52"/>
      <c r="AG40" s="820">
        <v>0</v>
      </c>
      <c r="AH40" s="58"/>
      <c r="AI40" s="821">
        <v>640</v>
      </c>
      <c r="AJ40" s="58"/>
      <c r="AK40" s="59">
        <f>R40*Y40</f>
        <v>0</v>
      </c>
      <c r="AL40" s="59">
        <f>S40*Z40</f>
        <v>0</v>
      </c>
      <c r="AM40" s="59">
        <f>T40*AA40</f>
        <v>640000</v>
      </c>
      <c r="AN40" s="59">
        <f>U40*AB40</f>
        <v>0</v>
      </c>
      <c r="AO40" s="13">
        <f>AK40+AL40+AM40+AN40</f>
        <v>640000</v>
      </c>
      <c r="AP40" s="822">
        <f>AO40-Q40</f>
        <v>637659.4</v>
      </c>
      <c r="AQ40" s="1"/>
      <c r="AR40" s="1"/>
      <c r="AS40" s="1"/>
      <c r="AT40" s="1"/>
      <c r="AU40" s="1"/>
      <c r="AV40" s="1"/>
    </row>
    <row r="41" spans="1:48" s="50" customFormat="1" ht="50.25" customHeight="1">
      <c r="A41" s="540"/>
      <c r="B41" s="866"/>
      <c r="C41" s="866"/>
      <c r="D41" s="8" t="s">
        <v>1103</v>
      </c>
      <c r="E41" s="52">
        <v>2</v>
      </c>
      <c r="F41" s="119" t="s">
        <v>1101</v>
      </c>
      <c r="G41" s="9" t="s">
        <v>1104</v>
      </c>
      <c r="H41" s="799" t="s">
        <v>60</v>
      </c>
      <c r="I41" s="52"/>
      <c r="J41" s="52"/>
      <c r="K41" s="52"/>
      <c r="L41" s="52"/>
      <c r="M41" s="52"/>
      <c r="N41" s="813">
        <v>63</v>
      </c>
      <c r="O41" s="55">
        <v>655.5</v>
      </c>
      <c r="P41" s="55"/>
      <c r="Q41" s="814">
        <f t="shared" ref="Q41:Q48" si="30">N41+O41+P41</f>
        <v>718.5</v>
      </c>
      <c r="R41" s="816">
        <v>6000</v>
      </c>
      <c r="S41" s="57"/>
      <c r="T41" s="816">
        <v>6000</v>
      </c>
      <c r="U41" s="57"/>
      <c r="V41" s="52"/>
      <c r="W41" s="39">
        <v>3</v>
      </c>
      <c r="X41" s="823">
        <v>2E-3</v>
      </c>
      <c r="Y41" s="819">
        <v>30.833333</v>
      </c>
      <c r="Z41" s="52"/>
      <c r="AA41" s="819">
        <v>0</v>
      </c>
      <c r="AB41" s="52"/>
      <c r="AC41" s="52"/>
      <c r="AD41" s="52"/>
      <c r="AE41" s="52"/>
      <c r="AF41" s="52"/>
      <c r="AG41" s="820"/>
      <c r="AH41" s="58"/>
      <c r="AI41" s="820">
        <v>185</v>
      </c>
      <c r="AJ41" s="58"/>
      <c r="AK41" s="59">
        <f t="shared" ref="AK41:AN41" si="31">R41*Y41</f>
        <v>184999.99799999999</v>
      </c>
      <c r="AL41" s="59">
        <f t="shared" si="31"/>
        <v>0</v>
      </c>
      <c r="AM41" s="59">
        <f t="shared" si="31"/>
        <v>0</v>
      </c>
      <c r="AN41" s="59">
        <f t="shared" si="31"/>
        <v>0</v>
      </c>
      <c r="AO41" s="13">
        <f t="shared" ref="AO41:AO48" si="32">AK41+AL41+AM41+AN41</f>
        <v>184999.99799999999</v>
      </c>
      <c r="AP41" s="824">
        <f>AO41-Q41</f>
        <v>184281.49799999999</v>
      </c>
      <c r="AQ41" s="1"/>
      <c r="AR41" s="1"/>
      <c r="AS41" s="1"/>
      <c r="AT41" s="1"/>
      <c r="AU41" s="1"/>
      <c r="AV41" s="1"/>
    </row>
    <row r="42" spans="1:48" s="50" customFormat="1" ht="50.25" customHeight="1">
      <c r="A42" s="542"/>
      <c r="B42" s="866"/>
      <c r="C42" s="866"/>
      <c r="D42" s="362" t="s">
        <v>1105</v>
      </c>
      <c r="E42" s="112">
        <v>1</v>
      </c>
      <c r="F42" s="119" t="s">
        <v>1101</v>
      </c>
      <c r="G42" s="362" t="s">
        <v>1106</v>
      </c>
      <c r="H42" s="799" t="s">
        <v>60</v>
      </c>
      <c r="I42" s="112"/>
      <c r="J42" s="112"/>
      <c r="K42" s="112"/>
      <c r="L42" s="112"/>
      <c r="M42" s="112"/>
      <c r="N42" s="825">
        <v>678.8</v>
      </c>
      <c r="O42" s="825">
        <v>1178</v>
      </c>
      <c r="P42" s="113"/>
      <c r="Q42" s="826"/>
      <c r="R42" s="827">
        <v>12000</v>
      </c>
      <c r="S42" s="114"/>
      <c r="T42" s="827">
        <v>12000</v>
      </c>
      <c r="U42" s="114"/>
      <c r="V42" s="112"/>
      <c r="W42" s="65">
        <v>14</v>
      </c>
      <c r="X42" s="828">
        <v>9.5000000000000001E-2</v>
      </c>
      <c r="Y42" s="829">
        <v>36.416670000000003</v>
      </c>
      <c r="Z42" s="829">
        <v>3</v>
      </c>
      <c r="AA42" s="829"/>
      <c r="AB42" s="112"/>
      <c r="AC42" s="112"/>
      <c r="AD42" s="112"/>
      <c r="AE42" s="112"/>
      <c r="AF42" s="112"/>
      <c r="AG42" s="830">
        <v>437</v>
      </c>
      <c r="AH42" s="830">
        <v>0</v>
      </c>
      <c r="AI42" s="115">
        <v>0</v>
      </c>
      <c r="AJ42" s="115"/>
      <c r="AK42" s="831">
        <f>R42*Y42</f>
        <v>437000.04000000004</v>
      </c>
      <c r="AL42" s="59">
        <f>S42*Z42</f>
        <v>0</v>
      </c>
      <c r="AM42" s="59">
        <f>T42*AA42</f>
        <v>0</v>
      </c>
      <c r="AN42" s="59">
        <f>U42*AB42</f>
        <v>0</v>
      </c>
      <c r="AO42" s="13">
        <f t="shared" si="32"/>
        <v>437000.04000000004</v>
      </c>
      <c r="AP42" s="60">
        <f t="shared" ref="AP42:AP48" si="33">AO42-Q42</f>
        <v>437000.04000000004</v>
      </c>
      <c r="AQ42" s="1"/>
      <c r="AR42" s="1"/>
      <c r="AS42" s="1"/>
      <c r="AT42" s="1"/>
      <c r="AU42" s="1"/>
      <c r="AV42" s="1"/>
    </row>
    <row r="43" spans="1:48" s="50" customFormat="1" ht="50.25" customHeight="1">
      <c r="A43" s="542"/>
      <c r="B43" s="866"/>
      <c r="C43" s="866"/>
      <c r="D43" s="362" t="s">
        <v>1107</v>
      </c>
      <c r="E43" s="112">
        <v>1</v>
      </c>
      <c r="F43" s="119" t="s">
        <v>237</v>
      </c>
      <c r="G43" s="362"/>
      <c r="H43" s="799" t="s">
        <v>60</v>
      </c>
      <c r="I43" s="112"/>
      <c r="J43" s="112"/>
      <c r="K43" s="112"/>
      <c r="L43" s="112"/>
      <c r="M43" s="112"/>
      <c r="N43" s="825">
        <v>800.8</v>
      </c>
      <c r="O43" s="113">
        <v>1610</v>
      </c>
      <c r="P43" s="113"/>
      <c r="Q43" s="826"/>
      <c r="R43" s="827">
        <v>12000</v>
      </c>
      <c r="S43" s="114"/>
      <c r="T43" s="827">
        <v>12000</v>
      </c>
      <c r="U43" s="114"/>
      <c r="V43" s="112"/>
      <c r="W43" s="112">
        <v>6</v>
      </c>
      <c r="X43" s="828">
        <v>4.1000000000000002E-2</v>
      </c>
      <c r="Y43" s="829">
        <v>26.0833333</v>
      </c>
      <c r="Z43" s="112"/>
      <c r="AA43" s="829"/>
      <c r="AB43" s="112"/>
      <c r="AC43" s="112"/>
      <c r="AD43" s="112"/>
      <c r="AE43" s="112"/>
      <c r="AF43" s="112"/>
      <c r="AG43" s="830">
        <v>313</v>
      </c>
      <c r="AH43" s="115"/>
      <c r="AI43" s="115"/>
      <c r="AJ43" s="115"/>
      <c r="AK43" s="59">
        <f t="shared" ref="AK43:AN48" si="34">R43*Y43</f>
        <v>312999.99959999998</v>
      </c>
      <c r="AL43" s="59">
        <f>S43*Z43</f>
        <v>0</v>
      </c>
      <c r="AM43" s="59">
        <f>T43*AA43</f>
        <v>0</v>
      </c>
      <c r="AN43" s="59">
        <f>U43*AB43</f>
        <v>0</v>
      </c>
      <c r="AO43" s="13">
        <f t="shared" si="32"/>
        <v>312999.99959999998</v>
      </c>
      <c r="AP43" s="60">
        <f t="shared" si="33"/>
        <v>312999.99959999998</v>
      </c>
      <c r="AQ43" s="1"/>
      <c r="AR43" s="1"/>
      <c r="AS43" s="1"/>
      <c r="AT43" s="1"/>
      <c r="AU43" s="1"/>
      <c r="AV43" s="1"/>
    </row>
    <row r="44" spans="1:48" s="50" customFormat="1" ht="50.25" customHeight="1">
      <c r="A44" s="542"/>
      <c r="B44" s="866"/>
      <c r="C44" s="866"/>
      <c r="D44" s="362" t="s">
        <v>1108</v>
      </c>
      <c r="E44" s="112">
        <v>2</v>
      </c>
      <c r="F44" s="119" t="s">
        <v>1109</v>
      </c>
      <c r="G44" s="362" t="s">
        <v>1110</v>
      </c>
      <c r="H44" s="799" t="s">
        <v>60</v>
      </c>
      <c r="I44" s="112"/>
      <c r="J44" s="112"/>
      <c r="K44" s="112"/>
      <c r="L44" s="112"/>
      <c r="M44" s="112"/>
      <c r="N44" s="825">
        <v>604.4</v>
      </c>
      <c r="O44" s="825">
        <v>1251.2</v>
      </c>
      <c r="P44" s="113"/>
      <c r="Q44" s="826"/>
      <c r="R44" s="827">
        <v>12000</v>
      </c>
      <c r="S44" s="114"/>
      <c r="T44" s="827">
        <v>12000</v>
      </c>
      <c r="U44" s="114"/>
      <c r="V44" s="112"/>
      <c r="W44" s="112">
        <v>7</v>
      </c>
      <c r="X44" s="828">
        <v>4.9000000000000002E-2</v>
      </c>
      <c r="Y44" s="829">
        <v>19.5</v>
      </c>
      <c r="Z44" s="112"/>
      <c r="AA44" s="829"/>
      <c r="AB44" s="112"/>
      <c r="AC44" s="112"/>
      <c r="AD44" s="112"/>
      <c r="AE44" s="112"/>
      <c r="AF44" s="112"/>
      <c r="AG44" s="830">
        <v>234</v>
      </c>
      <c r="AH44" s="115"/>
      <c r="AI44" s="115"/>
      <c r="AJ44" s="115"/>
      <c r="AK44" s="831">
        <f t="shared" si="34"/>
        <v>234000</v>
      </c>
      <c r="AL44" s="59">
        <f t="shared" si="34"/>
        <v>0</v>
      </c>
      <c r="AM44" s="59">
        <f t="shared" si="34"/>
        <v>0</v>
      </c>
      <c r="AN44" s="59">
        <f t="shared" si="34"/>
        <v>0</v>
      </c>
      <c r="AO44" s="13">
        <f t="shared" si="32"/>
        <v>234000</v>
      </c>
      <c r="AP44" s="60">
        <f t="shared" si="33"/>
        <v>234000</v>
      </c>
      <c r="AQ44" s="1"/>
      <c r="AR44" s="1"/>
      <c r="AS44" s="1"/>
      <c r="AT44" s="1"/>
      <c r="AU44" s="1"/>
      <c r="AV44" s="1"/>
    </row>
    <row r="45" spans="1:48" s="50" customFormat="1" ht="50.25" customHeight="1">
      <c r="A45" s="542"/>
      <c r="B45" s="866"/>
      <c r="C45" s="866"/>
      <c r="D45" s="362" t="s">
        <v>1111</v>
      </c>
      <c r="E45" s="112">
        <v>1</v>
      </c>
      <c r="F45" s="119" t="s">
        <v>237</v>
      </c>
      <c r="G45" s="362"/>
      <c r="H45" s="799" t="s">
        <v>60</v>
      </c>
      <c r="I45" s="112"/>
      <c r="J45" s="112"/>
      <c r="K45" s="112"/>
      <c r="L45" s="112"/>
      <c r="M45" s="112"/>
      <c r="N45" s="825">
        <v>162</v>
      </c>
      <c r="O45" s="832">
        <v>989</v>
      </c>
      <c r="P45" s="113"/>
      <c r="Q45" s="826"/>
      <c r="R45" s="827">
        <v>12000</v>
      </c>
      <c r="S45" s="114"/>
      <c r="T45" s="827">
        <v>12000</v>
      </c>
      <c r="U45" s="114"/>
      <c r="V45" s="112"/>
      <c r="W45" s="112">
        <v>5</v>
      </c>
      <c r="X45" s="833">
        <v>3.4000000000000002E-2</v>
      </c>
      <c r="Y45" s="829">
        <v>17.5</v>
      </c>
      <c r="Z45" s="112"/>
      <c r="AA45" s="829">
        <v>0</v>
      </c>
      <c r="AB45" s="112"/>
      <c r="AC45" s="112"/>
      <c r="AD45" s="112"/>
      <c r="AE45" s="112"/>
      <c r="AF45" s="112"/>
      <c r="AG45" s="830">
        <v>210</v>
      </c>
      <c r="AH45" s="115"/>
      <c r="AI45" s="115"/>
      <c r="AJ45" s="115"/>
      <c r="AK45" s="831">
        <f t="shared" si="34"/>
        <v>210000</v>
      </c>
      <c r="AL45" s="59">
        <f t="shared" si="34"/>
        <v>0</v>
      </c>
      <c r="AM45" s="59">
        <f t="shared" si="34"/>
        <v>0</v>
      </c>
      <c r="AN45" s="59">
        <f t="shared" si="34"/>
        <v>0</v>
      </c>
      <c r="AO45" s="13">
        <f t="shared" si="32"/>
        <v>210000</v>
      </c>
      <c r="AP45" s="60">
        <f t="shared" si="33"/>
        <v>210000</v>
      </c>
      <c r="AQ45" s="1"/>
      <c r="AR45" s="1"/>
      <c r="AS45" s="1"/>
      <c r="AT45" s="1"/>
      <c r="AU45" s="1"/>
      <c r="AV45" s="1"/>
    </row>
    <row r="46" spans="1:48" s="50" customFormat="1" ht="50.25" customHeight="1">
      <c r="A46" s="542"/>
      <c r="B46" s="866"/>
      <c r="C46" s="866"/>
      <c r="D46" s="362" t="s">
        <v>1112</v>
      </c>
      <c r="E46" s="112">
        <v>1</v>
      </c>
      <c r="F46" s="119" t="s">
        <v>1101</v>
      </c>
      <c r="G46" s="834" t="s">
        <v>1113</v>
      </c>
      <c r="H46" s="799" t="s">
        <v>60</v>
      </c>
      <c r="I46" s="112"/>
      <c r="J46" s="112"/>
      <c r="K46" s="112"/>
      <c r="L46" s="112"/>
      <c r="M46" s="112"/>
      <c r="N46" s="825">
        <v>11</v>
      </c>
      <c r="O46" s="825">
        <v>1593.2</v>
      </c>
      <c r="P46" s="113"/>
      <c r="Q46" s="826"/>
      <c r="R46" s="827"/>
      <c r="S46" s="114"/>
      <c r="T46" s="827">
        <v>6000</v>
      </c>
      <c r="U46" s="114"/>
      <c r="V46" s="112"/>
      <c r="W46" s="112">
        <v>6</v>
      </c>
      <c r="X46" s="833">
        <v>2E-3</v>
      </c>
      <c r="Y46" s="829">
        <v>0</v>
      </c>
      <c r="Z46" s="112"/>
      <c r="AA46" s="829">
        <v>54</v>
      </c>
      <c r="AB46" s="112"/>
      <c r="AC46" s="112"/>
      <c r="AD46" s="112"/>
      <c r="AE46" s="112"/>
      <c r="AF46" s="112"/>
      <c r="AG46" s="830">
        <v>0</v>
      </c>
      <c r="AH46" s="115"/>
      <c r="AI46" s="830">
        <v>324</v>
      </c>
      <c r="AJ46" s="115"/>
      <c r="AK46" s="59">
        <f t="shared" si="34"/>
        <v>0</v>
      </c>
      <c r="AL46" s="59">
        <f t="shared" si="34"/>
        <v>0</v>
      </c>
      <c r="AM46" s="59">
        <f>T46*AA46</f>
        <v>324000</v>
      </c>
      <c r="AN46" s="59">
        <f t="shared" si="34"/>
        <v>0</v>
      </c>
      <c r="AO46" s="13">
        <f t="shared" si="32"/>
        <v>324000</v>
      </c>
      <c r="AP46" s="60">
        <f t="shared" si="33"/>
        <v>324000</v>
      </c>
      <c r="AQ46" s="1"/>
      <c r="AR46" s="1"/>
      <c r="AS46" s="1"/>
      <c r="AT46" s="1"/>
      <c r="AU46" s="1"/>
      <c r="AV46" s="1"/>
    </row>
    <row r="47" spans="1:48" s="50" customFormat="1" ht="50.25" customHeight="1">
      <c r="A47" s="542"/>
      <c r="B47" s="866"/>
      <c r="C47" s="866"/>
      <c r="D47" s="362" t="s">
        <v>1112</v>
      </c>
      <c r="E47" s="112">
        <v>1</v>
      </c>
      <c r="F47" s="119" t="s">
        <v>1101</v>
      </c>
      <c r="G47" s="834" t="s">
        <v>1113</v>
      </c>
      <c r="H47" s="799" t="s">
        <v>60</v>
      </c>
      <c r="I47" s="112"/>
      <c r="J47" s="112"/>
      <c r="K47" s="112"/>
      <c r="L47" s="112"/>
      <c r="M47" s="112"/>
      <c r="N47" s="825">
        <v>12</v>
      </c>
      <c r="O47" s="825">
        <v>1023.3</v>
      </c>
      <c r="P47" s="113"/>
      <c r="Q47" s="826"/>
      <c r="R47" s="827"/>
      <c r="S47" s="114"/>
      <c r="T47" s="827">
        <v>6000</v>
      </c>
      <c r="U47" s="114"/>
      <c r="V47" s="112"/>
      <c r="W47" s="112">
        <v>5</v>
      </c>
      <c r="X47" s="828">
        <v>3.4000000000000002E-2</v>
      </c>
      <c r="Y47" s="829">
        <v>0</v>
      </c>
      <c r="Z47" s="112"/>
      <c r="AA47" s="829">
        <v>48.5</v>
      </c>
      <c r="AB47" s="112"/>
      <c r="AC47" s="112"/>
      <c r="AD47" s="112"/>
      <c r="AE47" s="112"/>
      <c r="AF47" s="112"/>
      <c r="AG47" s="830">
        <v>0</v>
      </c>
      <c r="AH47" s="115"/>
      <c r="AI47" s="830">
        <v>291</v>
      </c>
      <c r="AJ47" s="115"/>
      <c r="AK47" s="59">
        <f t="shared" si="34"/>
        <v>0</v>
      </c>
      <c r="AL47" s="59">
        <f t="shared" si="34"/>
        <v>0</v>
      </c>
      <c r="AM47" s="831">
        <f>T47*AA47</f>
        <v>291000</v>
      </c>
      <c r="AN47" s="59">
        <f t="shared" si="34"/>
        <v>0</v>
      </c>
      <c r="AO47" s="835">
        <f t="shared" si="32"/>
        <v>291000</v>
      </c>
      <c r="AP47" s="60">
        <f t="shared" si="33"/>
        <v>291000</v>
      </c>
      <c r="AQ47" s="1"/>
      <c r="AR47" s="1"/>
      <c r="AS47" s="1"/>
      <c r="AT47" s="1"/>
      <c r="AU47" s="1"/>
      <c r="AV47" s="1"/>
    </row>
    <row r="48" spans="1:48" s="50" customFormat="1" ht="50.25" customHeight="1" thickBot="1">
      <c r="A48" s="542"/>
      <c r="B48" s="955"/>
      <c r="C48" s="955"/>
      <c r="D48" s="362" t="s">
        <v>1112</v>
      </c>
      <c r="E48" s="112">
        <v>1</v>
      </c>
      <c r="F48" s="119" t="s">
        <v>1101</v>
      </c>
      <c r="G48" s="834" t="s">
        <v>1113</v>
      </c>
      <c r="H48" s="799" t="s">
        <v>60</v>
      </c>
      <c r="I48" s="112"/>
      <c r="J48" s="112"/>
      <c r="K48" s="112"/>
      <c r="L48" s="112"/>
      <c r="M48" s="112"/>
      <c r="N48" s="825">
        <v>0</v>
      </c>
      <c r="O48" s="825">
        <v>580.5</v>
      </c>
      <c r="P48" s="113"/>
      <c r="Q48" s="826">
        <f t="shared" si="30"/>
        <v>580.5</v>
      </c>
      <c r="R48" s="114"/>
      <c r="S48" s="114"/>
      <c r="T48" s="827">
        <v>6000</v>
      </c>
      <c r="U48" s="114"/>
      <c r="V48" s="112"/>
      <c r="W48" s="112">
        <v>4</v>
      </c>
      <c r="X48" s="112">
        <v>2.7000000000000001E-3</v>
      </c>
      <c r="Y48" s="112"/>
      <c r="Z48" s="112"/>
      <c r="AA48" s="829">
        <v>18.333333</v>
      </c>
      <c r="AB48" s="112"/>
      <c r="AC48" s="112"/>
      <c r="AD48" s="112"/>
      <c r="AE48" s="112"/>
      <c r="AF48" s="112"/>
      <c r="AG48" s="115">
        <v>0</v>
      </c>
      <c r="AH48" s="115"/>
      <c r="AI48" s="830">
        <v>110</v>
      </c>
      <c r="AJ48" s="115"/>
      <c r="AK48" s="59">
        <f t="shared" si="34"/>
        <v>0</v>
      </c>
      <c r="AL48" s="59">
        <f t="shared" si="34"/>
        <v>0</v>
      </c>
      <c r="AM48" s="59">
        <f>T48*AA48</f>
        <v>109999.99799999999</v>
      </c>
      <c r="AN48" s="59">
        <f t="shared" si="34"/>
        <v>0</v>
      </c>
      <c r="AO48" s="13">
        <f t="shared" si="32"/>
        <v>109999.99799999999</v>
      </c>
      <c r="AP48" s="60">
        <f t="shared" si="33"/>
        <v>109419.49799999999</v>
      </c>
      <c r="AQ48" s="1"/>
      <c r="AR48" s="1"/>
      <c r="AS48" s="1"/>
      <c r="AT48" s="1"/>
      <c r="AU48" s="1"/>
      <c r="AV48" s="1"/>
    </row>
    <row r="49" spans="1:48" s="50" customFormat="1" ht="33.75" customHeight="1" thickBot="1">
      <c r="A49" s="136"/>
      <c r="B49" s="137" t="s">
        <v>115</v>
      </c>
      <c r="C49" s="137">
        <f>SUM(C40:C48)</f>
        <v>34</v>
      </c>
      <c r="D49" s="137"/>
      <c r="E49" s="137">
        <f t="shared" ref="E49:AP49" si="35">SUM(E40:E48)</f>
        <v>12</v>
      </c>
      <c r="F49" s="137"/>
      <c r="G49" s="137"/>
      <c r="H49" s="137"/>
      <c r="I49" s="137"/>
      <c r="J49" s="137"/>
      <c r="K49" s="137"/>
      <c r="L49" s="137"/>
      <c r="M49" s="139"/>
      <c r="N49" s="836">
        <f t="shared" si="35"/>
        <v>2552</v>
      </c>
      <c r="O49" s="141">
        <f t="shared" si="35"/>
        <v>11001.3</v>
      </c>
      <c r="P49" s="137">
        <f t="shared" si="35"/>
        <v>0</v>
      </c>
      <c r="Q49" s="137">
        <f t="shared" si="35"/>
        <v>3639.6</v>
      </c>
      <c r="R49" s="137">
        <f t="shared" si="35"/>
        <v>54000</v>
      </c>
      <c r="S49" s="137">
        <f t="shared" si="35"/>
        <v>0</v>
      </c>
      <c r="T49" s="137">
        <f t="shared" si="35"/>
        <v>82000</v>
      </c>
      <c r="U49" s="137">
        <f t="shared" si="35"/>
        <v>0</v>
      </c>
      <c r="V49" s="137">
        <f t="shared" si="35"/>
        <v>14786</v>
      </c>
      <c r="W49" s="137">
        <f t="shared" si="35"/>
        <v>58</v>
      </c>
      <c r="X49" s="137">
        <f t="shared" si="35"/>
        <v>0.31370000000000003</v>
      </c>
      <c r="Y49" s="137">
        <f t="shared" si="35"/>
        <v>130.33333630000001</v>
      </c>
      <c r="Z49" s="137">
        <f t="shared" si="35"/>
        <v>3</v>
      </c>
      <c r="AA49" s="137">
        <f t="shared" si="35"/>
        <v>184.83333300000001</v>
      </c>
      <c r="AB49" s="137">
        <f t="shared" si="35"/>
        <v>0</v>
      </c>
      <c r="AC49" s="137">
        <f t="shared" si="35"/>
        <v>0</v>
      </c>
      <c r="AD49" s="137">
        <f t="shared" si="35"/>
        <v>0</v>
      </c>
      <c r="AE49" s="137">
        <f t="shared" si="35"/>
        <v>0</v>
      </c>
      <c r="AF49" s="137">
        <f t="shared" si="35"/>
        <v>0</v>
      </c>
      <c r="AG49" s="137">
        <f t="shared" si="35"/>
        <v>1194</v>
      </c>
      <c r="AH49" s="137">
        <f t="shared" si="35"/>
        <v>0</v>
      </c>
      <c r="AI49" s="137">
        <f t="shared" si="35"/>
        <v>1550</v>
      </c>
      <c r="AJ49" s="137">
        <f t="shared" si="35"/>
        <v>0</v>
      </c>
      <c r="AK49" s="137">
        <f t="shared" si="35"/>
        <v>1379000.0375999999</v>
      </c>
      <c r="AL49" s="137">
        <f t="shared" si="35"/>
        <v>0</v>
      </c>
      <c r="AM49" s="137">
        <f t="shared" si="35"/>
        <v>1364999.9979999999</v>
      </c>
      <c r="AN49" s="137">
        <f t="shared" si="35"/>
        <v>0</v>
      </c>
      <c r="AO49" s="137">
        <f t="shared" si="35"/>
        <v>2744000.0356000005</v>
      </c>
      <c r="AP49" s="211">
        <f t="shared" si="35"/>
        <v>2740360.4356</v>
      </c>
      <c r="AQ49" s="1"/>
      <c r="AR49" s="1"/>
      <c r="AS49" s="1"/>
      <c r="AT49" s="1"/>
      <c r="AU49" s="1"/>
      <c r="AV49" s="1"/>
    </row>
    <row r="50" spans="1:48" s="50" customFormat="1" ht="24.75" customHeight="1" thickBot="1">
      <c r="A50" s="772"/>
      <c r="B50" s="837"/>
      <c r="C50" s="837"/>
      <c r="D50" s="837"/>
      <c r="E50" s="837"/>
      <c r="F50" s="837"/>
      <c r="G50" s="837"/>
      <c r="H50" s="837"/>
      <c r="I50" s="837"/>
      <c r="J50" s="837"/>
      <c r="K50" s="837"/>
      <c r="L50" s="837"/>
      <c r="M50" s="837"/>
      <c r="N50" s="838"/>
      <c r="O50" s="837"/>
      <c r="P50" s="837"/>
      <c r="Q50" s="837"/>
      <c r="R50" s="837"/>
      <c r="S50" s="837"/>
      <c r="T50" s="837"/>
      <c r="U50" s="837"/>
      <c r="V50" s="837"/>
      <c r="W50" s="837"/>
      <c r="X50" s="837"/>
      <c r="Y50" s="837"/>
      <c r="Z50" s="837"/>
      <c r="AA50" s="837"/>
      <c r="AB50" s="837"/>
      <c r="AC50" s="837"/>
      <c r="AD50" s="837"/>
      <c r="AE50" s="837"/>
      <c r="AF50" s="837"/>
      <c r="AG50" s="839"/>
      <c r="AH50" s="839"/>
      <c r="AI50" s="839"/>
      <c r="AJ50" s="839"/>
      <c r="AK50" s="839"/>
      <c r="AL50" s="839"/>
      <c r="AM50" s="839"/>
      <c r="AN50" s="839"/>
      <c r="AO50" s="839"/>
      <c r="AP50" s="839"/>
      <c r="AQ50" s="1"/>
      <c r="AR50" s="1"/>
      <c r="AS50" s="1"/>
      <c r="AT50" s="1"/>
      <c r="AU50" s="1"/>
      <c r="AV50" s="1"/>
    </row>
    <row r="51" spans="1:48" s="50" customFormat="1" ht="50.25" customHeight="1" thickBot="1">
      <c r="A51" s="136"/>
      <c r="B51" s="137" t="s">
        <v>115</v>
      </c>
      <c r="C51" s="137">
        <f>C49+C39+C28+C21+C12</f>
        <v>91</v>
      </c>
      <c r="D51" s="137"/>
      <c r="E51" s="137">
        <f t="shared" ref="E51:AP51" si="36">E49+E39+E28+E21+E12</f>
        <v>45</v>
      </c>
      <c r="F51" s="137"/>
      <c r="G51" s="137"/>
      <c r="H51" s="137"/>
      <c r="I51" s="137"/>
      <c r="J51" s="137"/>
      <c r="K51" s="137"/>
      <c r="L51" s="137"/>
      <c r="M51" s="137"/>
      <c r="N51" s="137">
        <f t="shared" si="36"/>
        <v>22647977.5</v>
      </c>
      <c r="O51" s="137">
        <f t="shared" si="36"/>
        <v>18517208.5</v>
      </c>
      <c r="P51" s="137">
        <f t="shared" si="36"/>
        <v>7204236.9000000004</v>
      </c>
      <c r="Q51" s="137">
        <f t="shared" si="36"/>
        <v>48359509.200000003</v>
      </c>
      <c r="R51" s="137">
        <f t="shared" si="36"/>
        <v>54000</v>
      </c>
      <c r="S51" s="137">
        <f t="shared" si="36"/>
        <v>45000</v>
      </c>
      <c r="T51" s="137">
        <f t="shared" si="36"/>
        <v>114700</v>
      </c>
      <c r="U51" s="137">
        <f t="shared" si="36"/>
        <v>75000</v>
      </c>
      <c r="V51" s="137">
        <f t="shared" si="36"/>
        <v>125305</v>
      </c>
      <c r="W51" s="137">
        <f t="shared" si="36"/>
        <v>62810</v>
      </c>
      <c r="X51" s="137">
        <f t="shared" si="36"/>
        <v>110.3137</v>
      </c>
      <c r="Y51" s="137">
        <f t="shared" si="36"/>
        <v>200.33333630000001</v>
      </c>
      <c r="Z51" s="137">
        <f t="shared" si="36"/>
        <v>1093</v>
      </c>
      <c r="AA51" s="137">
        <f t="shared" si="36"/>
        <v>3464.833333</v>
      </c>
      <c r="AB51" s="137">
        <f t="shared" si="36"/>
        <v>638</v>
      </c>
      <c r="AC51" s="137">
        <f t="shared" si="36"/>
        <v>61</v>
      </c>
      <c r="AD51" s="137">
        <f t="shared" si="36"/>
        <v>62</v>
      </c>
      <c r="AE51" s="137">
        <f t="shared" si="36"/>
        <v>145</v>
      </c>
      <c r="AF51" s="137">
        <f t="shared" si="36"/>
        <v>35</v>
      </c>
      <c r="AG51" s="137">
        <f t="shared" si="36"/>
        <v>1194</v>
      </c>
      <c r="AH51" s="137">
        <f t="shared" si="36"/>
        <v>0</v>
      </c>
      <c r="AI51" s="137">
        <f t="shared" si="36"/>
        <v>1550</v>
      </c>
      <c r="AJ51" s="137">
        <f t="shared" si="36"/>
        <v>200000</v>
      </c>
      <c r="AK51" s="137">
        <f t="shared" si="36"/>
        <v>1379000.0375999999</v>
      </c>
      <c r="AL51" s="137">
        <f t="shared" si="36"/>
        <v>2100000</v>
      </c>
      <c r="AM51" s="137">
        <f t="shared" si="36"/>
        <v>7934999.9979999997</v>
      </c>
      <c r="AN51" s="137">
        <f t="shared" si="36"/>
        <v>5760000</v>
      </c>
      <c r="AO51" s="137">
        <f t="shared" si="36"/>
        <v>17174000.035599999</v>
      </c>
      <c r="AP51" s="137">
        <f t="shared" si="36"/>
        <v>-26425425.1644</v>
      </c>
      <c r="AQ51" s="1"/>
      <c r="AR51" s="1"/>
      <c r="AS51" s="1"/>
      <c r="AT51" s="1"/>
      <c r="AU51" s="1"/>
      <c r="AV51" s="1"/>
    </row>
    <row r="52" spans="1:48" s="50" customFormat="1" ht="42" customHeight="1">
      <c r="B52" s="948" t="s">
        <v>116</v>
      </c>
      <c r="C52" s="948"/>
      <c r="D52" s="948"/>
      <c r="E52" s="948"/>
      <c r="F52" s="948"/>
      <c r="G52" s="948"/>
      <c r="H52" s="948"/>
      <c r="I52" s="948"/>
      <c r="J52" s="948"/>
      <c r="K52" s="948"/>
      <c r="L52" s="948"/>
      <c r="M52" s="948"/>
      <c r="N52" s="948"/>
      <c r="O52" s="948"/>
      <c r="P52" s="948"/>
      <c r="Q52" s="948"/>
      <c r="R52" s="948"/>
      <c r="S52" s="948"/>
      <c r="T52" s="948"/>
      <c r="U52" s="948"/>
      <c r="V52" s="948"/>
      <c r="W52" s="948"/>
      <c r="X52" s="948"/>
      <c r="Y52" s="948"/>
      <c r="Z52" s="948"/>
      <c r="AA52" s="948"/>
      <c r="AB52" s="948"/>
      <c r="AC52" s="948"/>
      <c r="AD52" s="948"/>
      <c r="AE52" s="948"/>
      <c r="AF52" s="948"/>
      <c r="AG52" s="348"/>
      <c r="AH52" s="348"/>
      <c r="AI52" s="348"/>
      <c r="AJ52" s="348"/>
      <c r="AK52" s="348"/>
      <c r="AL52" s="348"/>
      <c r="AM52" s="348"/>
      <c r="AN52" s="348"/>
    </row>
    <row r="53" spans="1:48" s="50" customFormat="1" ht="21" customHeight="1">
      <c r="B53" s="116" t="s">
        <v>1114</v>
      </c>
      <c r="C53" s="116"/>
      <c r="D53" s="116"/>
    </row>
    <row r="54" spans="1:48" ht="15" customHeight="1">
      <c r="B54" s="5"/>
      <c r="C54" s="5"/>
      <c r="D54" s="5"/>
      <c r="AG54" s="2"/>
      <c r="AH54" s="2"/>
      <c r="AI54" s="2"/>
      <c r="AJ54" s="2"/>
    </row>
    <row r="55" spans="1:48">
      <c r="AG55" s="2"/>
      <c r="AH55" s="2"/>
      <c r="AI55" s="2"/>
      <c r="AJ55" s="2"/>
    </row>
    <row r="56" spans="1:48">
      <c r="AG56" s="2"/>
      <c r="AH56" s="2"/>
      <c r="AI56" s="2"/>
      <c r="AJ56" s="2"/>
    </row>
    <row r="57" spans="1:48">
      <c r="AG57" s="2"/>
      <c r="AH57" s="2"/>
      <c r="AI57" s="2"/>
      <c r="AJ57" s="2"/>
    </row>
    <row r="58" spans="1:48">
      <c r="AG58" s="2"/>
      <c r="AH58" s="2"/>
      <c r="AI58" s="2"/>
      <c r="AJ58" s="2"/>
    </row>
    <row r="59" spans="1:48">
      <c r="AG59" s="2"/>
      <c r="AH59" s="2"/>
      <c r="AI59" s="2"/>
      <c r="AJ59" s="2"/>
    </row>
    <row r="60" spans="1:48">
      <c r="AG60" s="2"/>
      <c r="AH60" s="2"/>
      <c r="AI60" s="2"/>
      <c r="AJ60" s="2"/>
    </row>
    <row r="61" spans="1:48">
      <c r="AG61" s="2"/>
      <c r="AH61" s="2"/>
      <c r="AI61" s="2"/>
      <c r="AJ61" s="2"/>
    </row>
    <row r="62" spans="1:48">
      <c r="AG62" s="2"/>
      <c r="AH62" s="2"/>
      <c r="AI62" s="2"/>
      <c r="AJ62" s="2"/>
    </row>
    <row r="63" spans="1:48">
      <c r="AG63" s="2"/>
      <c r="AH63" s="2"/>
      <c r="AI63" s="2"/>
      <c r="AJ63" s="2"/>
    </row>
    <row r="64" spans="1:48">
      <c r="AG64" s="2"/>
      <c r="AH64" s="2"/>
      <c r="AI64" s="2"/>
      <c r="AJ64" s="2"/>
    </row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</sheetData>
  <mergeCells count="47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K3:AN3"/>
    <mergeCell ref="AO3:AO4"/>
    <mergeCell ref="AP3:AP4"/>
    <mergeCell ref="M3:M4"/>
    <mergeCell ref="N3:N4"/>
    <mergeCell ref="O3:O4"/>
    <mergeCell ref="P3:P4"/>
    <mergeCell ref="Q3:Q4"/>
    <mergeCell ref="V3:X3"/>
    <mergeCell ref="B13:B20"/>
    <mergeCell ref="C13:C20"/>
    <mergeCell ref="Y3:AB3"/>
    <mergeCell ref="AC3:AF3"/>
    <mergeCell ref="AG3:AJ3"/>
    <mergeCell ref="B7:B11"/>
    <mergeCell ref="C7:C11"/>
    <mergeCell ref="V7:V10"/>
    <mergeCell ref="W7:W10"/>
    <mergeCell ref="X7:X10"/>
    <mergeCell ref="B52:AF52"/>
    <mergeCell ref="B22:B27"/>
    <mergeCell ref="C22:C27"/>
    <mergeCell ref="B29:B38"/>
    <mergeCell ref="C29:C38"/>
    <mergeCell ref="H29:H37"/>
    <mergeCell ref="B40:B48"/>
    <mergeCell ref="C40:C48"/>
  </mergeCells>
  <pageMargins left="0.22" right="0.2" top="0.4" bottom="0.17" header="0.3" footer="0.17"/>
  <pageSetup scale="6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E8530-4E43-419B-93F6-893A2489ED07}">
  <dimension ref="A1:AW252"/>
  <sheetViews>
    <sheetView topLeftCell="M117" zoomScale="70" zoomScaleNormal="70" workbookViewId="0">
      <selection activeCell="AM23" sqref="AM23"/>
    </sheetView>
  </sheetViews>
  <sheetFormatPr defaultColWidth="9.140625" defaultRowHeight="13.5"/>
  <cols>
    <col min="1" max="1" width="4" style="50" customWidth="1"/>
    <col min="2" max="2" width="15.140625" style="50" customWidth="1"/>
    <col min="3" max="3" width="9.5703125" style="50" customWidth="1"/>
    <col min="4" max="4" width="10.85546875" style="50" customWidth="1"/>
    <col min="5" max="5" width="11.42578125" style="50" customWidth="1"/>
    <col min="6" max="6" width="11.7109375" style="50" customWidth="1"/>
    <col min="7" max="7" width="37.5703125" style="50" customWidth="1"/>
    <col min="8" max="8" width="19.85546875" style="50" customWidth="1"/>
    <col min="9" max="9" width="9.5703125" style="50" customWidth="1"/>
    <col min="10" max="10" width="13.42578125" style="50" customWidth="1"/>
    <col min="11" max="11" width="9.5703125" style="50" customWidth="1"/>
    <col min="12" max="12" width="12" style="50" customWidth="1"/>
    <col min="13" max="13" width="9.5703125" style="50" customWidth="1"/>
    <col min="14" max="14" width="12.28515625" style="50" customWidth="1"/>
    <col min="15" max="15" width="12.5703125" style="50" customWidth="1"/>
    <col min="16" max="16" width="13.5703125" style="50" customWidth="1"/>
    <col min="17" max="17" width="15.5703125" style="50" customWidth="1"/>
    <col min="18" max="32" width="10.42578125" style="50" customWidth="1"/>
    <col min="33" max="36" width="10.5703125" style="117" customWidth="1"/>
    <col min="37" max="40" width="11" style="50" customWidth="1"/>
    <col min="41" max="41" width="18.140625" style="50" customWidth="1"/>
    <col min="42" max="42" width="21.7109375" style="50" customWidth="1"/>
    <col min="43" max="43" width="8.85546875" style="50" customWidth="1"/>
    <col min="44" max="16384" width="9.140625" style="50"/>
  </cols>
  <sheetData>
    <row r="1" spans="1:49" ht="62.25" customHeight="1" thickBot="1">
      <c r="A1" s="1002" t="s">
        <v>1115</v>
      </c>
      <c r="B1" s="1002"/>
      <c r="C1" s="1002"/>
      <c r="D1" s="1002"/>
      <c r="E1" s="1002"/>
      <c r="F1" s="1002"/>
      <c r="G1" s="1002"/>
      <c r="H1" s="1002"/>
      <c r="I1" s="1002"/>
      <c r="J1" s="1002"/>
      <c r="K1" s="1002"/>
      <c r="L1" s="1002"/>
      <c r="M1" s="1002"/>
      <c r="N1" s="1002"/>
      <c r="O1" s="1002"/>
      <c r="P1" s="1002"/>
      <c r="Q1" s="1002"/>
      <c r="R1" s="1002"/>
      <c r="S1" s="1002"/>
      <c r="T1" s="1002"/>
      <c r="U1" s="1002"/>
      <c r="V1" s="1002"/>
      <c r="W1" s="1002"/>
      <c r="X1" s="1002"/>
      <c r="Y1" s="1002"/>
      <c r="Z1" s="1002"/>
      <c r="AA1" s="1002"/>
      <c r="AB1" s="1002"/>
      <c r="AC1" s="1002"/>
      <c r="AD1" s="1002"/>
      <c r="AE1" s="1002"/>
      <c r="AF1" s="1002"/>
      <c r="AG1" s="1002"/>
      <c r="AH1" s="1002"/>
      <c r="AI1" s="1002"/>
      <c r="AJ1" s="1002"/>
      <c r="AK1" s="1002"/>
      <c r="AL1" s="1002"/>
      <c r="AM1" s="1002"/>
      <c r="AN1" s="1002"/>
      <c r="AO1" s="1002"/>
      <c r="AP1" s="79"/>
      <c r="AQ1" s="79"/>
    </row>
    <row r="2" spans="1:49" ht="57" customHeight="1">
      <c r="A2" s="887" t="s">
        <v>0</v>
      </c>
      <c r="B2" s="880" t="s">
        <v>1</v>
      </c>
      <c r="C2" s="891" t="s">
        <v>2</v>
      </c>
      <c r="D2" s="880" t="s">
        <v>3</v>
      </c>
      <c r="E2" s="880"/>
      <c r="F2" s="880"/>
      <c r="G2" s="880"/>
      <c r="H2" s="880"/>
      <c r="I2" s="902" t="s">
        <v>4</v>
      </c>
      <c r="J2" s="902"/>
      <c r="K2" s="902"/>
      <c r="L2" s="902"/>
      <c r="M2" s="902"/>
      <c r="N2" s="908" t="s">
        <v>1116</v>
      </c>
      <c r="O2" s="908"/>
      <c r="P2" s="908"/>
      <c r="Q2" s="908"/>
      <c r="R2" s="893" t="s">
        <v>6</v>
      </c>
      <c r="S2" s="893"/>
      <c r="T2" s="893"/>
      <c r="U2" s="893"/>
      <c r="V2" s="902" t="s">
        <v>7</v>
      </c>
      <c r="W2" s="902"/>
      <c r="X2" s="902"/>
      <c r="Y2" s="880" t="s">
        <v>1117</v>
      </c>
      <c r="Z2" s="880"/>
      <c r="AA2" s="880"/>
      <c r="AB2" s="880"/>
      <c r="AC2" s="880"/>
      <c r="AD2" s="880"/>
      <c r="AE2" s="880"/>
      <c r="AF2" s="880"/>
      <c r="AG2" s="902" t="s">
        <v>9</v>
      </c>
      <c r="AH2" s="902"/>
      <c r="AI2" s="902"/>
      <c r="AJ2" s="902"/>
      <c r="AK2" s="902"/>
      <c r="AL2" s="902"/>
      <c r="AM2" s="902"/>
      <c r="AN2" s="902"/>
      <c r="AO2" s="902"/>
      <c r="AP2" s="903"/>
      <c r="AQ2" s="74"/>
    </row>
    <row r="3" spans="1:49" ht="136.5" customHeight="1">
      <c r="A3" s="888"/>
      <c r="B3" s="873"/>
      <c r="C3" s="882"/>
      <c r="D3" s="882" t="s">
        <v>10</v>
      </c>
      <c r="E3" s="873" t="s">
        <v>11</v>
      </c>
      <c r="F3" s="904" t="s">
        <v>12</v>
      </c>
      <c r="G3" s="905" t="s">
        <v>13</v>
      </c>
      <c r="H3" s="906" t="s">
        <v>117</v>
      </c>
      <c r="I3" s="905" t="s">
        <v>14</v>
      </c>
      <c r="J3" s="905" t="s">
        <v>15</v>
      </c>
      <c r="K3" s="905" t="s">
        <v>16</v>
      </c>
      <c r="L3" s="905" t="s">
        <v>17</v>
      </c>
      <c r="M3" s="899" t="s">
        <v>18</v>
      </c>
      <c r="N3" s="900" t="s">
        <v>19</v>
      </c>
      <c r="O3" s="900" t="s">
        <v>20</v>
      </c>
      <c r="P3" s="900" t="s">
        <v>21</v>
      </c>
      <c r="Q3" s="901" t="s">
        <v>22</v>
      </c>
      <c r="R3" s="894"/>
      <c r="S3" s="894"/>
      <c r="T3" s="894"/>
      <c r="U3" s="894"/>
      <c r="V3" s="899" t="s">
        <v>23</v>
      </c>
      <c r="W3" s="899"/>
      <c r="X3" s="899"/>
      <c r="Y3" s="1011" t="s">
        <v>118</v>
      </c>
      <c r="Z3" s="1011"/>
      <c r="AA3" s="1011"/>
      <c r="AB3" s="1011"/>
      <c r="AC3" s="1011" t="s">
        <v>24</v>
      </c>
      <c r="AD3" s="1011"/>
      <c r="AE3" s="1011"/>
      <c r="AF3" s="1011"/>
      <c r="AG3" s="874" t="s">
        <v>25</v>
      </c>
      <c r="AH3" s="874"/>
      <c r="AI3" s="874"/>
      <c r="AJ3" s="874"/>
      <c r="AK3" s="896" t="s">
        <v>26</v>
      </c>
      <c r="AL3" s="896"/>
      <c r="AM3" s="896"/>
      <c r="AN3" s="896"/>
      <c r="AO3" s="897" t="s">
        <v>22</v>
      </c>
      <c r="AP3" s="898" t="s">
        <v>27</v>
      </c>
      <c r="AQ3" s="81"/>
    </row>
    <row r="4" spans="1:49" ht="93.75" customHeight="1">
      <c r="A4" s="888"/>
      <c r="B4" s="873"/>
      <c r="C4" s="882"/>
      <c r="D4" s="882"/>
      <c r="E4" s="873"/>
      <c r="F4" s="904"/>
      <c r="G4" s="905"/>
      <c r="H4" s="906"/>
      <c r="I4" s="905"/>
      <c r="J4" s="905"/>
      <c r="K4" s="905"/>
      <c r="L4" s="905"/>
      <c r="M4" s="899"/>
      <c r="N4" s="900"/>
      <c r="O4" s="900"/>
      <c r="P4" s="900"/>
      <c r="Q4" s="901"/>
      <c r="R4" s="82" t="s">
        <v>28</v>
      </c>
      <c r="S4" s="82" t="s">
        <v>29</v>
      </c>
      <c r="T4" s="82" t="s">
        <v>30</v>
      </c>
      <c r="U4" s="82" t="s">
        <v>31</v>
      </c>
      <c r="V4" s="80" t="s">
        <v>119</v>
      </c>
      <c r="W4" s="80" t="s">
        <v>33</v>
      </c>
      <c r="X4" s="80" t="s">
        <v>34</v>
      </c>
      <c r="Y4" s="1012" t="s">
        <v>35</v>
      </c>
      <c r="Z4" s="1012" t="s">
        <v>36</v>
      </c>
      <c r="AA4" s="1012" t="s">
        <v>37</v>
      </c>
      <c r="AB4" s="1012" t="s">
        <v>18</v>
      </c>
      <c r="AC4" s="1012" t="s">
        <v>35</v>
      </c>
      <c r="AD4" s="1012" t="s">
        <v>36</v>
      </c>
      <c r="AE4" s="1012" t="s">
        <v>37</v>
      </c>
      <c r="AF4" s="1012" t="s">
        <v>18</v>
      </c>
      <c r="AG4" s="84" t="s">
        <v>35</v>
      </c>
      <c r="AH4" s="84" t="s">
        <v>36</v>
      </c>
      <c r="AI4" s="84" t="s">
        <v>37</v>
      </c>
      <c r="AJ4" s="85" t="s">
        <v>31</v>
      </c>
      <c r="AK4" s="86" t="s">
        <v>35</v>
      </c>
      <c r="AL4" s="86" t="s">
        <v>36</v>
      </c>
      <c r="AM4" s="86" t="s">
        <v>37</v>
      </c>
      <c r="AN4" s="87" t="s">
        <v>31</v>
      </c>
      <c r="AO4" s="897"/>
      <c r="AP4" s="898"/>
      <c r="AQ4" s="88"/>
    </row>
    <row r="5" spans="1:49" ht="30.75" customHeight="1" thickBot="1">
      <c r="A5" s="889"/>
      <c r="B5" s="890"/>
      <c r="C5" s="89" t="s">
        <v>38</v>
      </c>
      <c r="D5" s="883"/>
      <c r="E5" s="89" t="s">
        <v>38</v>
      </c>
      <c r="F5" s="90"/>
      <c r="G5" s="90"/>
      <c r="H5" s="91"/>
      <c r="I5" s="19"/>
      <c r="J5" s="19"/>
      <c r="K5" s="20"/>
      <c r="L5" s="19"/>
      <c r="M5" s="19"/>
      <c r="N5" s="23" t="s">
        <v>39</v>
      </c>
      <c r="O5" s="23" t="s">
        <v>39</v>
      </c>
      <c r="P5" s="23" t="s">
        <v>39</v>
      </c>
      <c r="Q5" s="24" t="s">
        <v>39</v>
      </c>
      <c r="R5" s="92" t="s">
        <v>40</v>
      </c>
      <c r="S5" s="92" t="s">
        <v>40</v>
      </c>
      <c r="T5" s="92" t="s">
        <v>40</v>
      </c>
      <c r="U5" s="92" t="s">
        <v>40</v>
      </c>
      <c r="V5" s="19" t="s">
        <v>41</v>
      </c>
      <c r="W5" s="19" t="s">
        <v>38</v>
      </c>
      <c r="X5" s="19" t="s">
        <v>34</v>
      </c>
      <c r="Y5" s="1013" t="s">
        <v>42</v>
      </c>
      <c r="Z5" s="1013" t="s">
        <v>43</v>
      </c>
      <c r="AA5" s="1013" t="s">
        <v>44</v>
      </c>
      <c r="AB5" s="1013"/>
      <c r="AC5" s="1013" t="s">
        <v>42</v>
      </c>
      <c r="AD5" s="1013" t="s">
        <v>43</v>
      </c>
      <c r="AE5" s="1013" t="s">
        <v>44</v>
      </c>
      <c r="AF5" s="1013"/>
      <c r="AG5" s="94" t="s">
        <v>40</v>
      </c>
      <c r="AH5" s="94" t="s">
        <v>40</v>
      </c>
      <c r="AI5" s="94" t="s">
        <v>40</v>
      </c>
      <c r="AJ5" s="94" t="s">
        <v>40</v>
      </c>
      <c r="AK5" s="95" t="s">
        <v>40</v>
      </c>
      <c r="AL5" s="95" t="s">
        <v>40</v>
      </c>
      <c r="AM5" s="95" t="s">
        <v>40</v>
      </c>
      <c r="AN5" s="27" t="s">
        <v>39</v>
      </c>
      <c r="AO5" s="28" t="s">
        <v>39</v>
      </c>
      <c r="AP5" s="96" t="s">
        <v>39</v>
      </c>
      <c r="AQ5" s="1"/>
    </row>
    <row r="6" spans="1:49" ht="19.5" customHeight="1">
      <c r="A6" s="97">
        <v>1</v>
      </c>
      <c r="B6" s="29">
        <v>2</v>
      </c>
      <c r="C6" s="98">
        <v>3</v>
      </c>
      <c r="D6" s="29">
        <v>4</v>
      </c>
      <c r="E6" s="98">
        <v>5</v>
      </c>
      <c r="F6" s="29">
        <v>6</v>
      </c>
      <c r="G6" s="98">
        <v>7</v>
      </c>
      <c r="H6" s="99">
        <v>8</v>
      </c>
      <c r="I6" s="98">
        <v>9</v>
      </c>
      <c r="J6" s="29">
        <v>10</v>
      </c>
      <c r="K6" s="98">
        <v>11</v>
      </c>
      <c r="L6" s="29">
        <v>12</v>
      </c>
      <c r="M6" s="98">
        <v>13</v>
      </c>
      <c r="N6" s="100">
        <v>14</v>
      </c>
      <c r="O6" s="101">
        <v>15</v>
      </c>
      <c r="P6" s="100">
        <v>16</v>
      </c>
      <c r="Q6" s="102">
        <v>17</v>
      </c>
      <c r="R6" s="103">
        <v>18</v>
      </c>
      <c r="S6" s="104">
        <v>19</v>
      </c>
      <c r="T6" s="103">
        <v>20</v>
      </c>
      <c r="U6" s="104">
        <v>21</v>
      </c>
      <c r="V6" s="29">
        <v>22</v>
      </c>
      <c r="W6" s="98">
        <v>23</v>
      </c>
      <c r="X6" s="29">
        <v>24</v>
      </c>
      <c r="Y6" s="1014">
        <v>25</v>
      </c>
      <c r="Z6" s="1015">
        <v>26</v>
      </c>
      <c r="AA6" s="1014">
        <v>27</v>
      </c>
      <c r="AB6" s="1015">
        <v>28</v>
      </c>
      <c r="AC6" s="1014">
        <v>29</v>
      </c>
      <c r="AD6" s="1015">
        <v>30</v>
      </c>
      <c r="AE6" s="1014">
        <v>31</v>
      </c>
      <c r="AF6" s="1015">
        <v>32</v>
      </c>
      <c r="AG6" s="105">
        <v>33</v>
      </c>
      <c r="AH6" s="106">
        <v>34</v>
      </c>
      <c r="AI6" s="105">
        <v>35</v>
      </c>
      <c r="AJ6" s="106">
        <v>36</v>
      </c>
      <c r="AK6" s="107">
        <v>37</v>
      </c>
      <c r="AL6" s="108">
        <v>38</v>
      </c>
      <c r="AM6" s="107">
        <v>39</v>
      </c>
      <c r="AN6" s="108">
        <v>40</v>
      </c>
      <c r="AO6" s="109">
        <v>41</v>
      </c>
      <c r="AP6" s="110">
        <v>42</v>
      </c>
      <c r="AQ6" s="2"/>
    </row>
    <row r="7" spans="1:49" ht="40.5" customHeight="1">
      <c r="A7" s="540"/>
      <c r="B7" s="859" t="s">
        <v>1118</v>
      </c>
      <c r="C7" s="859">
        <v>4</v>
      </c>
      <c r="D7" s="53" t="s">
        <v>1119</v>
      </c>
      <c r="E7" s="52">
        <v>4</v>
      </c>
      <c r="F7" s="52"/>
      <c r="G7" s="1016" t="s">
        <v>1120</v>
      </c>
      <c r="H7" s="54" t="s">
        <v>1121</v>
      </c>
      <c r="I7" s="52" t="s">
        <v>193</v>
      </c>
      <c r="J7" s="53" t="s">
        <v>1122</v>
      </c>
      <c r="K7" s="52"/>
      <c r="L7" s="53" t="s">
        <v>1123</v>
      </c>
      <c r="M7" s="52"/>
      <c r="N7" s="1017">
        <v>2420780</v>
      </c>
      <c r="O7" s="1017">
        <v>6415500</v>
      </c>
      <c r="P7" s="1017">
        <v>1985660</v>
      </c>
      <c r="Q7" s="56">
        <f>N7+O7+P7</f>
        <v>10821940</v>
      </c>
      <c r="R7" s="57"/>
      <c r="S7" s="57"/>
      <c r="T7" s="57"/>
      <c r="U7" s="57"/>
      <c r="V7" s="52">
        <v>131658</v>
      </c>
      <c r="W7" s="52">
        <v>121069</v>
      </c>
      <c r="X7" s="52"/>
      <c r="Y7" s="52"/>
      <c r="Z7" s="52"/>
      <c r="AA7" s="52"/>
      <c r="AB7" s="53" t="s">
        <v>1124</v>
      </c>
      <c r="AC7" s="52"/>
      <c r="AD7" s="52"/>
      <c r="AE7" s="52"/>
      <c r="AF7" s="52"/>
      <c r="AG7" s="58"/>
      <c r="AH7" s="58"/>
      <c r="AI7" s="58"/>
      <c r="AJ7" s="58"/>
      <c r="AK7" s="59">
        <f>R7*Y7</f>
        <v>0</v>
      </c>
      <c r="AL7" s="59">
        <f t="shared" ref="AL7:AM12" si="0">S7*Z7</f>
        <v>0</v>
      </c>
      <c r="AM7" s="59">
        <f t="shared" si="0"/>
        <v>0</v>
      </c>
      <c r="AN7" s="59">
        <v>0</v>
      </c>
      <c r="AO7" s="13">
        <f>AK7+AL7+AM7+AN7</f>
        <v>0</v>
      </c>
      <c r="AP7" s="60">
        <f>AO7-Q7</f>
        <v>-10821940</v>
      </c>
      <c r="AQ7" s="1"/>
    </row>
    <row r="8" spans="1:49" ht="40.5" customHeight="1">
      <c r="A8" s="540"/>
      <c r="B8" s="866"/>
      <c r="C8" s="866"/>
      <c r="D8" s="53" t="s">
        <v>1119</v>
      </c>
      <c r="E8" s="52">
        <v>2</v>
      </c>
      <c r="F8" s="52"/>
      <c r="G8" s="1016" t="s">
        <v>1125</v>
      </c>
      <c r="H8" s="54" t="s">
        <v>60</v>
      </c>
      <c r="I8" s="52" t="s">
        <v>193</v>
      </c>
      <c r="J8" s="53" t="s">
        <v>1126</v>
      </c>
      <c r="K8" s="52"/>
      <c r="L8" s="53" t="s">
        <v>1127</v>
      </c>
      <c r="M8" s="52"/>
      <c r="N8" s="1017">
        <v>3694866</v>
      </c>
      <c r="O8" s="1017">
        <v>1283100</v>
      </c>
      <c r="P8" s="1017">
        <v>992830</v>
      </c>
      <c r="Q8" s="56">
        <f>N8+O8+P8</f>
        <v>5970796</v>
      </c>
      <c r="R8" s="57"/>
      <c r="S8" s="57"/>
      <c r="T8" s="57"/>
      <c r="U8" s="57"/>
      <c r="V8" s="52">
        <v>131658</v>
      </c>
      <c r="W8" s="52">
        <v>121069</v>
      </c>
      <c r="X8" s="52"/>
      <c r="Y8" s="52"/>
      <c r="Z8" s="52"/>
      <c r="AA8" s="52"/>
      <c r="AB8" s="53" t="s">
        <v>1124</v>
      </c>
      <c r="AC8" s="52"/>
      <c r="AD8" s="52"/>
      <c r="AE8" s="52"/>
      <c r="AF8" s="52"/>
      <c r="AG8" s="58"/>
      <c r="AH8" s="58"/>
      <c r="AI8" s="58"/>
      <c r="AJ8" s="58"/>
      <c r="AK8" s="59">
        <f>R8*Y8</f>
        <v>0</v>
      </c>
      <c r="AL8" s="59">
        <f t="shared" si="0"/>
        <v>0</v>
      </c>
      <c r="AM8" s="59">
        <f t="shared" si="0"/>
        <v>0</v>
      </c>
      <c r="AN8" s="59">
        <v>0</v>
      </c>
      <c r="AO8" s="13">
        <f>AK8+AL8+AM8+AN8</f>
        <v>0</v>
      </c>
      <c r="AP8" s="60">
        <f>AO8-Q8</f>
        <v>-5970796</v>
      </c>
      <c r="AQ8" s="1"/>
    </row>
    <row r="9" spans="1:49" ht="40.5" customHeight="1">
      <c r="A9" s="540"/>
      <c r="B9" s="866"/>
      <c r="C9" s="866"/>
      <c r="D9" s="53" t="s">
        <v>1119</v>
      </c>
      <c r="E9" s="52">
        <v>3</v>
      </c>
      <c r="F9" s="52"/>
      <c r="G9" s="1016" t="s">
        <v>1128</v>
      </c>
      <c r="H9" s="54" t="s">
        <v>60</v>
      </c>
      <c r="I9" s="52" t="s">
        <v>193</v>
      </c>
      <c r="J9" s="53" t="s">
        <v>1129</v>
      </c>
      <c r="K9" s="52"/>
      <c r="L9" s="53" t="s">
        <v>1127</v>
      </c>
      <c r="M9" s="52"/>
      <c r="N9" s="1017">
        <v>2818587</v>
      </c>
      <c r="O9" s="1017">
        <v>5268700</v>
      </c>
      <c r="P9" s="1017">
        <v>1489245</v>
      </c>
      <c r="Q9" s="56">
        <f>N9+O9+P9</f>
        <v>9576532</v>
      </c>
      <c r="R9" s="57"/>
      <c r="S9" s="57"/>
      <c r="T9" s="57"/>
      <c r="U9" s="57"/>
      <c r="V9" s="52">
        <v>131658</v>
      </c>
      <c r="W9" s="52">
        <v>121069</v>
      </c>
      <c r="X9" s="52"/>
      <c r="Y9" s="52"/>
      <c r="Z9" s="52"/>
      <c r="AA9" s="52"/>
      <c r="AB9" s="53" t="s">
        <v>1124</v>
      </c>
      <c r="AC9" s="52"/>
      <c r="AD9" s="52"/>
      <c r="AE9" s="52"/>
      <c r="AF9" s="52"/>
      <c r="AG9" s="58"/>
      <c r="AH9" s="58"/>
      <c r="AI9" s="58"/>
      <c r="AJ9" s="58"/>
      <c r="AK9" s="59">
        <f>R9*Y9</f>
        <v>0</v>
      </c>
      <c r="AL9" s="59">
        <f t="shared" si="0"/>
        <v>0</v>
      </c>
      <c r="AM9" s="59">
        <f t="shared" si="0"/>
        <v>0</v>
      </c>
      <c r="AN9" s="59">
        <v>0</v>
      </c>
      <c r="AO9" s="13">
        <f>AK9+AL9+AM9+AN9</f>
        <v>0</v>
      </c>
      <c r="AP9" s="60">
        <f>AO9-Q9</f>
        <v>-9576532</v>
      </c>
      <c r="AQ9" s="1"/>
    </row>
    <row r="10" spans="1:49" ht="40.5" customHeight="1">
      <c r="A10" s="540"/>
      <c r="B10" s="866"/>
      <c r="C10" s="866"/>
      <c r="D10" s="53" t="s">
        <v>1119</v>
      </c>
      <c r="E10" s="52">
        <v>1</v>
      </c>
      <c r="F10" s="52"/>
      <c r="G10" s="1016" t="s">
        <v>1130</v>
      </c>
      <c r="H10" s="54" t="s">
        <v>60</v>
      </c>
      <c r="I10" s="52" t="s">
        <v>193</v>
      </c>
      <c r="J10" s="53" t="s">
        <v>1131</v>
      </c>
      <c r="K10" s="52"/>
      <c r="L10" s="53" t="s">
        <v>1127</v>
      </c>
      <c r="M10" s="52"/>
      <c r="N10" s="1017">
        <v>713377</v>
      </c>
      <c r="O10" s="1017">
        <v>1894100</v>
      </c>
      <c r="P10" s="1017">
        <v>496415</v>
      </c>
      <c r="Q10" s="603">
        <f>SUM(N10:P10)</f>
        <v>3103892</v>
      </c>
      <c r="R10" s="57"/>
      <c r="S10" s="57"/>
      <c r="T10" s="57"/>
      <c r="U10" s="57"/>
      <c r="V10" s="52"/>
      <c r="W10" s="52"/>
      <c r="X10" s="52"/>
      <c r="Y10" s="52"/>
      <c r="Z10" s="52"/>
      <c r="AA10" s="52"/>
      <c r="AB10" s="53"/>
      <c r="AC10" s="52"/>
      <c r="AD10" s="52"/>
      <c r="AE10" s="52"/>
      <c r="AF10" s="52"/>
      <c r="AG10" s="58"/>
      <c r="AH10" s="58"/>
      <c r="AI10" s="58"/>
      <c r="AJ10" s="58"/>
      <c r="AK10" s="59">
        <f>R10*Y10</f>
        <v>0</v>
      </c>
      <c r="AL10" s="59">
        <f t="shared" si="0"/>
        <v>0</v>
      </c>
      <c r="AM10" s="59">
        <f t="shared" si="0"/>
        <v>0</v>
      </c>
      <c r="AN10" s="59">
        <v>0</v>
      </c>
      <c r="AO10" s="13">
        <f>AK10+AL10+AM10+AN10</f>
        <v>0</v>
      </c>
      <c r="AP10" s="60">
        <f>AO10-Q10</f>
        <v>-3103892</v>
      </c>
      <c r="AQ10" s="1"/>
    </row>
    <row r="11" spans="1:49" ht="40.5" customHeight="1">
      <c r="A11" s="542"/>
      <c r="B11" s="866"/>
      <c r="C11" s="866"/>
      <c r="D11" s="604" t="s">
        <v>1132</v>
      </c>
      <c r="E11" s="112">
        <v>1</v>
      </c>
      <c r="F11" s="112"/>
      <c r="G11" s="1018" t="s">
        <v>1133</v>
      </c>
      <c r="H11" s="54" t="s">
        <v>1134</v>
      </c>
      <c r="I11" s="112"/>
      <c r="J11" s="112"/>
      <c r="K11" s="112"/>
      <c r="L11" s="604" t="s">
        <v>1135</v>
      </c>
      <c r="M11" s="112"/>
      <c r="N11" s="1019"/>
      <c r="O11" s="1019">
        <v>0</v>
      </c>
      <c r="P11" s="113">
        <v>311250</v>
      </c>
      <c r="Q11" s="56">
        <f>N11+O11+P11</f>
        <v>311250</v>
      </c>
      <c r="R11" s="114"/>
      <c r="S11" s="114"/>
      <c r="T11" s="114"/>
      <c r="U11" s="114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5"/>
      <c r="AH11" s="115"/>
      <c r="AI11" s="115"/>
      <c r="AJ11" s="115"/>
      <c r="AK11" s="135"/>
      <c r="AL11" s="135"/>
      <c r="AM11" s="135"/>
      <c r="AN11" s="59">
        <v>0</v>
      </c>
      <c r="AO11" s="72"/>
      <c r="AP11" s="342"/>
      <c r="AQ11" s="1"/>
    </row>
    <row r="12" spans="1:49" ht="40.5" customHeight="1" thickBot="1">
      <c r="A12" s="542"/>
      <c r="B12" s="955"/>
      <c r="C12" s="955"/>
      <c r="D12" s="604" t="s">
        <v>1136</v>
      </c>
      <c r="E12" s="112">
        <v>5</v>
      </c>
      <c r="F12" s="112"/>
      <c r="G12" s="112" t="s">
        <v>1137</v>
      </c>
      <c r="H12" s="54" t="s">
        <v>1134</v>
      </c>
      <c r="I12" s="112"/>
      <c r="J12" s="112"/>
      <c r="K12" s="112"/>
      <c r="L12" s="604" t="s">
        <v>1138</v>
      </c>
      <c r="M12" s="112"/>
      <c r="N12" s="113"/>
      <c r="O12" s="113"/>
      <c r="P12" s="113"/>
      <c r="Q12" s="630">
        <f t="shared" ref="Q12" si="1">N12+O12+P12</f>
        <v>0</v>
      </c>
      <c r="R12" s="114"/>
      <c r="S12" s="114"/>
      <c r="T12" s="114"/>
      <c r="U12" s="114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5"/>
      <c r="AH12" s="115"/>
      <c r="AI12" s="115"/>
      <c r="AJ12" s="115"/>
      <c r="AK12" s="135">
        <f t="shared" ref="AK12" si="2">R12*Y12</f>
        <v>0</v>
      </c>
      <c r="AL12" s="135">
        <f t="shared" si="0"/>
        <v>0</v>
      </c>
      <c r="AM12" s="135">
        <f t="shared" si="0"/>
        <v>0</v>
      </c>
      <c r="AN12" s="59">
        <v>0</v>
      </c>
      <c r="AO12" s="72">
        <f t="shared" ref="AO12" si="3">AK12+AL12+AM12+AN12</f>
        <v>0</v>
      </c>
      <c r="AP12" s="342">
        <f t="shared" ref="AP12" si="4">AO12-Q12</f>
        <v>0</v>
      </c>
      <c r="AQ12" s="1"/>
    </row>
    <row r="13" spans="1:49" ht="40.5" customHeight="1" thickBot="1">
      <c r="A13" s="136"/>
      <c r="B13" s="137" t="s">
        <v>115</v>
      </c>
      <c r="C13" s="137">
        <f>SUM(C7)</f>
        <v>4</v>
      </c>
      <c r="D13" s="137"/>
      <c r="E13" s="137">
        <f>SUM(E8:E12)</f>
        <v>12</v>
      </c>
      <c r="F13" s="137"/>
      <c r="G13" s="137"/>
      <c r="H13" s="137"/>
      <c r="I13" s="137"/>
      <c r="J13" s="137"/>
      <c r="K13" s="137"/>
      <c r="L13" s="137"/>
      <c r="M13" s="139"/>
      <c r="N13" s="140">
        <f t="shared" ref="N13:AP13" si="5">SUM(N8:N12)</f>
        <v>7226830</v>
      </c>
      <c r="O13" s="141">
        <f t="shared" si="5"/>
        <v>8445900</v>
      </c>
      <c r="P13" s="137">
        <f t="shared" si="5"/>
        <v>3289740</v>
      </c>
      <c r="Q13" s="137">
        <f t="shared" si="5"/>
        <v>18962470</v>
      </c>
      <c r="R13" s="137">
        <f t="shared" si="5"/>
        <v>0</v>
      </c>
      <c r="S13" s="137">
        <f t="shared" si="5"/>
        <v>0</v>
      </c>
      <c r="T13" s="137">
        <f t="shared" si="5"/>
        <v>0</v>
      </c>
      <c r="U13" s="137">
        <f t="shared" si="5"/>
        <v>0</v>
      </c>
      <c r="V13" s="137">
        <f t="shared" si="5"/>
        <v>263316</v>
      </c>
      <c r="W13" s="137">
        <f t="shared" si="5"/>
        <v>242138</v>
      </c>
      <c r="X13" s="137">
        <f t="shared" si="5"/>
        <v>0</v>
      </c>
      <c r="Y13" s="137">
        <f t="shared" si="5"/>
        <v>0</v>
      </c>
      <c r="Z13" s="137">
        <f t="shared" si="5"/>
        <v>0</v>
      </c>
      <c r="AA13" s="137">
        <f t="shared" si="5"/>
        <v>0</v>
      </c>
      <c r="AB13" s="137">
        <f t="shared" si="5"/>
        <v>0</v>
      </c>
      <c r="AC13" s="137">
        <f t="shared" si="5"/>
        <v>0</v>
      </c>
      <c r="AD13" s="137">
        <f t="shared" si="5"/>
        <v>0</v>
      </c>
      <c r="AE13" s="137">
        <f t="shared" si="5"/>
        <v>0</v>
      </c>
      <c r="AF13" s="137">
        <f t="shared" si="5"/>
        <v>0</v>
      </c>
      <c r="AG13" s="137">
        <f t="shared" si="5"/>
        <v>0</v>
      </c>
      <c r="AH13" s="137">
        <f t="shared" si="5"/>
        <v>0</v>
      </c>
      <c r="AI13" s="137">
        <f t="shared" si="5"/>
        <v>0</v>
      </c>
      <c r="AJ13" s="137">
        <f t="shared" si="5"/>
        <v>0</v>
      </c>
      <c r="AK13" s="137">
        <f t="shared" si="5"/>
        <v>0</v>
      </c>
      <c r="AL13" s="137">
        <f t="shared" si="5"/>
        <v>0</v>
      </c>
      <c r="AM13" s="137">
        <f t="shared" si="5"/>
        <v>0</v>
      </c>
      <c r="AN13" s="137">
        <f t="shared" si="5"/>
        <v>0</v>
      </c>
      <c r="AO13" s="137">
        <f t="shared" si="5"/>
        <v>0</v>
      </c>
      <c r="AP13" s="211">
        <f t="shared" si="5"/>
        <v>-18651220</v>
      </c>
      <c r="AQ13" s="1"/>
    </row>
    <row r="14" spans="1:49" s="116" customFormat="1" ht="42" customHeight="1">
      <c r="A14" s="370">
        <v>1</v>
      </c>
      <c r="B14" s="943" t="s">
        <v>1139</v>
      </c>
      <c r="C14" s="31"/>
      <c r="D14" s="30" t="s">
        <v>1140</v>
      </c>
      <c r="E14" s="31">
        <v>1</v>
      </c>
      <c r="F14" s="1020">
        <v>44146</v>
      </c>
      <c r="G14" s="30" t="s">
        <v>1141</v>
      </c>
      <c r="H14" s="32" t="s">
        <v>60</v>
      </c>
      <c r="I14" s="31"/>
      <c r="J14" s="30"/>
      <c r="K14" s="31"/>
      <c r="L14" s="30" t="s">
        <v>1142</v>
      </c>
      <c r="M14" s="31"/>
      <c r="N14" s="677">
        <v>6011016</v>
      </c>
      <c r="O14" s="33">
        <v>4717000</v>
      </c>
      <c r="P14" s="677">
        <v>362940</v>
      </c>
      <c r="Q14" s="1021">
        <f>P14+O14+N14</f>
        <v>11090956</v>
      </c>
      <c r="R14" s="1022"/>
      <c r="S14" s="34"/>
      <c r="T14" s="1022"/>
      <c r="U14" s="1023" t="s">
        <v>1143</v>
      </c>
      <c r="V14" s="30">
        <v>5982</v>
      </c>
      <c r="W14" s="31">
        <v>20</v>
      </c>
      <c r="X14" s="30"/>
      <c r="Y14" s="30"/>
      <c r="Z14" s="30"/>
      <c r="AA14" s="31"/>
      <c r="AB14" s="31"/>
      <c r="AC14" s="31"/>
      <c r="AD14" s="31"/>
      <c r="AE14" s="31"/>
      <c r="AF14" s="30"/>
      <c r="AG14" s="35"/>
      <c r="AH14" s="36"/>
      <c r="AI14" s="35"/>
      <c r="AJ14" s="36">
        <v>1202500</v>
      </c>
      <c r="AK14" s="37"/>
      <c r="AL14" s="1024"/>
      <c r="AM14" s="37"/>
      <c r="AN14" s="1024">
        <v>10590000</v>
      </c>
      <c r="AO14" s="1025">
        <f>AJ14+AN14</f>
        <v>11792500</v>
      </c>
      <c r="AP14" s="416">
        <f>AO14-Q14</f>
        <v>701544</v>
      </c>
      <c r="AR14" s="772"/>
      <c r="AS14" s="1"/>
      <c r="AT14" s="772"/>
      <c r="AU14" s="1"/>
      <c r="AV14" s="772"/>
      <c r="AW14" s="74"/>
    </row>
    <row r="15" spans="1:49" s="116" customFormat="1" ht="42" customHeight="1">
      <c r="A15" s="370">
        <v>2</v>
      </c>
      <c r="B15" s="944"/>
      <c r="C15" s="31"/>
      <c r="D15" s="30" t="s">
        <v>497</v>
      </c>
      <c r="E15" s="31">
        <v>1</v>
      </c>
      <c r="F15" s="1020">
        <v>44022</v>
      </c>
      <c r="G15" s="30" t="s">
        <v>1144</v>
      </c>
      <c r="H15" s="32" t="s">
        <v>60</v>
      </c>
      <c r="I15" s="31"/>
      <c r="J15" s="30"/>
      <c r="K15" s="31"/>
      <c r="L15" s="30" t="s">
        <v>1142</v>
      </c>
      <c r="M15" s="31"/>
      <c r="N15" s="677">
        <v>3310067</v>
      </c>
      <c r="O15" s="33">
        <v>3394500</v>
      </c>
      <c r="P15" s="677">
        <v>182896</v>
      </c>
      <c r="Q15" s="1021">
        <f>P15+O15+N15</f>
        <v>6887463</v>
      </c>
      <c r="R15" s="1022"/>
      <c r="S15" s="34"/>
      <c r="T15" s="1022"/>
      <c r="U15" s="1022" t="s">
        <v>1145</v>
      </c>
      <c r="V15" s="30">
        <v>5982</v>
      </c>
      <c r="W15" s="31">
        <v>7</v>
      </c>
      <c r="X15" s="30"/>
      <c r="Y15" s="30"/>
      <c r="Z15" s="30"/>
      <c r="AA15" s="31"/>
      <c r="AB15" s="31"/>
      <c r="AC15" s="31"/>
      <c r="AD15" s="31"/>
      <c r="AE15" s="31"/>
      <c r="AF15" s="30"/>
      <c r="AG15" s="35"/>
      <c r="AH15" s="36"/>
      <c r="AI15" s="35"/>
      <c r="AJ15" s="36">
        <v>106000</v>
      </c>
      <c r="AK15" s="37"/>
      <c r="AL15" s="1024"/>
      <c r="AM15" s="37"/>
      <c r="AN15" s="1024">
        <v>16219500</v>
      </c>
      <c r="AO15" s="1025">
        <v>16325500</v>
      </c>
      <c r="AP15" s="416">
        <f>AO15-Q15</f>
        <v>9438037</v>
      </c>
      <c r="AR15" s="772"/>
      <c r="AS15" s="1"/>
      <c r="AT15" s="772"/>
      <c r="AU15" s="1"/>
      <c r="AV15" s="772"/>
      <c r="AW15" s="74"/>
    </row>
    <row r="16" spans="1:49" s="116" customFormat="1" ht="42" customHeight="1">
      <c r="A16" s="370">
        <v>3</v>
      </c>
      <c r="B16" s="944"/>
      <c r="C16" s="31"/>
      <c r="D16" s="30" t="s">
        <v>131</v>
      </c>
      <c r="E16" s="31">
        <v>1</v>
      </c>
      <c r="F16" s="1020">
        <v>44020</v>
      </c>
      <c r="G16" s="31" t="s">
        <v>1146</v>
      </c>
      <c r="H16" s="32" t="s">
        <v>60</v>
      </c>
      <c r="I16" s="31"/>
      <c r="J16" s="30"/>
      <c r="K16" s="31"/>
      <c r="L16" s="30" t="s">
        <v>1142</v>
      </c>
      <c r="M16" s="31"/>
      <c r="N16" s="677">
        <v>6122320</v>
      </c>
      <c r="O16" s="33">
        <v>3454000</v>
      </c>
      <c r="P16" s="677">
        <v>375590</v>
      </c>
      <c r="Q16" s="1021">
        <f>P16+O16+N16</f>
        <v>9951910</v>
      </c>
      <c r="R16" s="1022"/>
      <c r="S16" s="34"/>
      <c r="T16" s="1022"/>
      <c r="U16" s="34" t="s">
        <v>1147</v>
      </c>
      <c r="V16" s="30">
        <v>5982</v>
      </c>
      <c r="W16" s="31">
        <v>3396</v>
      </c>
      <c r="X16" s="30"/>
      <c r="Y16" s="30"/>
      <c r="Z16" s="30"/>
      <c r="AA16" s="31"/>
      <c r="AB16" s="31"/>
      <c r="AC16" s="31"/>
      <c r="AD16" s="31"/>
      <c r="AE16" s="31"/>
      <c r="AF16" s="30"/>
      <c r="AG16" s="35"/>
      <c r="AH16" s="36"/>
      <c r="AI16" s="35"/>
      <c r="AJ16" s="36"/>
      <c r="AK16" s="37"/>
      <c r="AL16" s="1024"/>
      <c r="AM16" s="37"/>
      <c r="AN16" s="1024">
        <v>6723998</v>
      </c>
      <c r="AO16" s="1025">
        <f>AN16</f>
        <v>6723998</v>
      </c>
      <c r="AP16" s="416">
        <f>AO16-Q16</f>
        <v>-3227912</v>
      </c>
      <c r="AR16" s="772"/>
      <c r="AS16" s="1"/>
      <c r="AT16" s="772"/>
      <c r="AU16" s="1"/>
      <c r="AV16" s="772"/>
      <c r="AW16" s="74"/>
    </row>
    <row r="17" spans="1:49" s="116" customFormat="1" ht="42" customHeight="1">
      <c r="A17" s="370">
        <v>4</v>
      </c>
      <c r="B17" s="944"/>
      <c r="C17" s="31"/>
      <c r="D17" s="30" t="s">
        <v>131</v>
      </c>
      <c r="E17" s="31">
        <v>1</v>
      </c>
      <c r="F17" s="1020" t="s">
        <v>1148</v>
      </c>
      <c r="G17" s="31" t="s">
        <v>1149</v>
      </c>
      <c r="H17" s="32"/>
      <c r="I17" s="31"/>
      <c r="J17" s="30"/>
      <c r="K17" s="31"/>
      <c r="L17" s="30" t="s">
        <v>1142</v>
      </c>
      <c r="M17" s="31"/>
      <c r="N17" s="677">
        <v>2391545</v>
      </c>
      <c r="O17" s="33">
        <v>791700</v>
      </c>
      <c r="P17" s="677">
        <v>81150</v>
      </c>
      <c r="Q17" s="1021">
        <f>P17+O17+N17</f>
        <v>3264395</v>
      </c>
      <c r="R17" s="1022"/>
      <c r="S17" s="34"/>
      <c r="T17" s="1022"/>
      <c r="U17" s="34"/>
      <c r="V17" s="30">
        <v>5982</v>
      </c>
      <c r="W17" s="31">
        <v>3396</v>
      </c>
      <c r="X17" s="30"/>
      <c r="Y17" s="30"/>
      <c r="Z17" s="30"/>
      <c r="AA17" s="31"/>
      <c r="AB17" s="31"/>
      <c r="AC17" s="31"/>
      <c r="AD17" s="31"/>
      <c r="AE17" s="31"/>
      <c r="AF17" s="30"/>
      <c r="AG17" s="35"/>
      <c r="AH17" s="36"/>
      <c r="AI17" s="35"/>
      <c r="AJ17" s="36"/>
      <c r="AK17" s="37"/>
      <c r="AL17" s="1024"/>
      <c r="AM17" s="37"/>
      <c r="AN17" s="1024">
        <v>2712360</v>
      </c>
      <c r="AO17" s="1025">
        <v>2712360</v>
      </c>
      <c r="AP17" s="416">
        <f>AO17-Q17</f>
        <v>-552035</v>
      </c>
      <c r="AR17" s="772"/>
      <c r="AS17" s="1"/>
      <c r="AT17" s="772"/>
      <c r="AU17" s="1"/>
      <c r="AV17" s="772"/>
      <c r="AW17" s="74"/>
    </row>
    <row r="18" spans="1:49" s="116" customFormat="1" ht="42" customHeight="1">
      <c r="A18" s="540">
        <v>4</v>
      </c>
      <c r="B18" s="944"/>
      <c r="C18" s="52"/>
      <c r="D18" s="7" t="s">
        <v>1150</v>
      </c>
      <c r="E18" s="52">
        <v>1</v>
      </c>
      <c r="F18" s="52" t="s">
        <v>1151</v>
      </c>
      <c r="G18" s="7" t="s">
        <v>1152</v>
      </c>
      <c r="H18" s="54" t="s">
        <v>554</v>
      </c>
      <c r="I18" s="52"/>
      <c r="J18" s="52"/>
      <c r="K18" s="52"/>
      <c r="L18" s="7" t="s">
        <v>1142</v>
      </c>
      <c r="M18" s="52"/>
      <c r="N18" s="55">
        <v>6032703</v>
      </c>
      <c r="O18" s="55">
        <v>5633000</v>
      </c>
      <c r="P18" s="55">
        <v>202998</v>
      </c>
      <c r="Q18" s="56">
        <f>P18+O18+N18</f>
        <v>11868701</v>
      </c>
      <c r="R18" s="57"/>
      <c r="S18" s="57"/>
      <c r="T18" s="57"/>
      <c r="U18" s="10" t="s">
        <v>1143</v>
      </c>
      <c r="V18" s="52">
        <v>4180</v>
      </c>
      <c r="W18" s="52">
        <v>27</v>
      </c>
      <c r="X18" s="52"/>
      <c r="Y18" s="52"/>
      <c r="Z18" s="52"/>
      <c r="AA18" s="52"/>
      <c r="AB18" s="52"/>
      <c r="AC18" s="52"/>
      <c r="AD18" s="52"/>
      <c r="AE18" s="52"/>
      <c r="AF18" s="52"/>
      <c r="AG18" s="58"/>
      <c r="AH18" s="58"/>
      <c r="AI18" s="58"/>
      <c r="AJ18" s="58">
        <v>1452000</v>
      </c>
      <c r="AK18" s="59">
        <f>R18*AA18</f>
        <v>0</v>
      </c>
      <c r="AL18" s="59"/>
      <c r="AM18" s="59"/>
      <c r="AN18" s="59">
        <v>12660000</v>
      </c>
      <c r="AO18" s="13">
        <f>AN18+AJ18</f>
        <v>14112000</v>
      </c>
      <c r="AP18" s="60">
        <f>AO18-Q18</f>
        <v>2243299</v>
      </c>
      <c r="AR18" s="1"/>
      <c r="AS18" s="1"/>
      <c r="AT18" s="1"/>
      <c r="AU18" s="1"/>
      <c r="AV18" s="1"/>
      <c r="AW18" s="1"/>
    </row>
    <row r="19" spans="1:49" s="1029" customFormat="1" ht="42" customHeight="1">
      <c r="A19" s="1026">
        <v>5</v>
      </c>
      <c r="B19" s="944"/>
      <c r="C19" s="744"/>
      <c r="D19" s="231" t="s">
        <v>1153</v>
      </c>
      <c r="E19" s="744">
        <v>1</v>
      </c>
      <c r="F19" s="744" t="s">
        <v>1154</v>
      </c>
      <c r="G19" s="231" t="s">
        <v>1155</v>
      </c>
      <c r="H19" s="745"/>
      <c r="I19" s="744"/>
      <c r="J19" s="744"/>
      <c r="K19" s="744"/>
      <c r="L19" s="231" t="s">
        <v>1142</v>
      </c>
      <c r="M19" s="744"/>
      <c r="N19" s="746">
        <v>492825</v>
      </c>
      <c r="O19" s="746">
        <v>500000</v>
      </c>
      <c r="P19" s="746">
        <v>0</v>
      </c>
      <c r="Q19" s="747">
        <f t="shared" ref="Q19:Q21" si="6">P19+O19+N19</f>
        <v>992825</v>
      </c>
      <c r="R19" s="1027"/>
      <c r="S19" s="1027"/>
      <c r="T19" s="1027"/>
      <c r="U19" s="235" t="s">
        <v>1156</v>
      </c>
      <c r="V19" s="744"/>
      <c r="W19" s="744">
        <v>58</v>
      </c>
      <c r="X19" s="744"/>
      <c r="Y19" s="744"/>
      <c r="Z19" s="744"/>
      <c r="AA19" s="1028" t="s">
        <v>1157</v>
      </c>
      <c r="AB19" s="744"/>
      <c r="AC19" s="744">
        <v>1.8</v>
      </c>
      <c r="AD19" s="744" t="s">
        <v>1158</v>
      </c>
      <c r="AE19" s="744" t="s">
        <v>1159</v>
      </c>
      <c r="AF19" s="744"/>
      <c r="AG19" s="748"/>
      <c r="AH19" s="748"/>
      <c r="AI19" s="748"/>
      <c r="AJ19" s="748">
        <v>1989380</v>
      </c>
      <c r="AK19" s="749"/>
      <c r="AL19" s="749">
        <v>0</v>
      </c>
      <c r="AM19" s="749">
        <v>0</v>
      </c>
      <c r="AN19" s="749"/>
      <c r="AO19" s="218">
        <v>1989380</v>
      </c>
      <c r="AP19" s="249">
        <f>AO19-Q19</f>
        <v>996555</v>
      </c>
      <c r="AR19" s="700"/>
      <c r="AS19" s="700"/>
      <c r="AT19" s="700"/>
      <c r="AU19" s="700"/>
      <c r="AV19" s="700"/>
      <c r="AW19" s="700"/>
    </row>
    <row r="20" spans="1:49" s="116" customFormat="1" ht="42" customHeight="1">
      <c r="A20" s="542">
        <v>6</v>
      </c>
      <c r="B20" s="944"/>
      <c r="C20" s="112"/>
      <c r="D20" s="66" t="s">
        <v>1153</v>
      </c>
      <c r="E20" s="112">
        <v>1</v>
      </c>
      <c r="F20" s="112" t="s">
        <v>1160</v>
      </c>
      <c r="G20" s="66" t="s">
        <v>1161</v>
      </c>
      <c r="H20" s="1030"/>
      <c r="I20" s="112"/>
      <c r="J20" s="112"/>
      <c r="K20" s="112"/>
      <c r="L20" s="66" t="s">
        <v>1142</v>
      </c>
      <c r="M20" s="112"/>
      <c r="N20" s="113">
        <v>1458200</v>
      </c>
      <c r="O20" s="113">
        <v>960000</v>
      </c>
      <c r="P20" s="113">
        <v>20000</v>
      </c>
      <c r="Q20" s="630">
        <f>P20+O20+N20</f>
        <v>2438200</v>
      </c>
      <c r="R20" s="114"/>
      <c r="S20" s="114"/>
      <c r="T20" s="114"/>
      <c r="U20" s="493">
        <v>10000</v>
      </c>
      <c r="V20" s="112"/>
      <c r="W20" s="112">
        <v>10</v>
      </c>
      <c r="X20" s="112"/>
      <c r="Y20" s="112"/>
      <c r="Z20" s="112"/>
      <c r="AA20" s="112"/>
      <c r="AB20" s="112"/>
      <c r="AC20" s="112" t="s">
        <v>1162</v>
      </c>
      <c r="AD20" s="112"/>
      <c r="AE20" s="112"/>
      <c r="AF20" s="112"/>
      <c r="AG20" s="115"/>
      <c r="AH20" s="115"/>
      <c r="AI20" s="115"/>
      <c r="AJ20" s="115">
        <v>98000</v>
      </c>
      <c r="AK20" s="135"/>
      <c r="AL20" s="135"/>
      <c r="AM20" s="135"/>
      <c r="AN20" s="135">
        <v>98000</v>
      </c>
      <c r="AO20" s="72">
        <v>98000</v>
      </c>
      <c r="AP20" s="342">
        <f>AO20-Q20</f>
        <v>-2340200</v>
      </c>
      <c r="AR20" s="1"/>
      <c r="AS20" s="1"/>
      <c r="AT20" s="1"/>
      <c r="AU20" s="1"/>
      <c r="AV20" s="1"/>
      <c r="AW20" s="1"/>
    </row>
    <row r="21" spans="1:49" s="116" customFormat="1" ht="42" customHeight="1">
      <c r="A21" s="542">
        <v>7</v>
      </c>
      <c r="B21" s="944"/>
      <c r="C21" s="112"/>
      <c r="D21" s="66" t="s">
        <v>1163</v>
      </c>
      <c r="E21" s="112">
        <v>1</v>
      </c>
      <c r="F21" s="112" t="s">
        <v>1154</v>
      </c>
      <c r="G21" s="112" t="s">
        <v>1164</v>
      </c>
      <c r="H21" s="1030"/>
      <c r="I21" s="112"/>
      <c r="J21" s="112"/>
      <c r="K21" s="112"/>
      <c r="L21" s="66" t="s">
        <v>1142</v>
      </c>
      <c r="M21" s="112"/>
      <c r="N21" s="113">
        <v>756820</v>
      </c>
      <c r="O21" s="113">
        <v>175000</v>
      </c>
      <c r="P21" s="113">
        <v>36340</v>
      </c>
      <c r="Q21" s="630">
        <f t="shared" si="6"/>
        <v>968160</v>
      </c>
      <c r="R21" s="114"/>
      <c r="S21" s="114"/>
      <c r="T21" s="114"/>
      <c r="U21" s="493" t="s">
        <v>1165</v>
      </c>
      <c r="V21" s="112"/>
      <c r="W21" s="112">
        <v>9</v>
      </c>
      <c r="X21" s="112"/>
      <c r="Y21" s="112"/>
      <c r="Z21" s="112"/>
      <c r="AA21" s="112" t="s">
        <v>1166</v>
      </c>
      <c r="AB21" s="112" t="s">
        <v>1167</v>
      </c>
      <c r="AC21" s="112"/>
      <c r="AD21" s="112"/>
      <c r="AE21" s="112"/>
      <c r="AF21" s="112"/>
      <c r="AG21" s="115"/>
      <c r="AH21" s="115"/>
      <c r="AI21" s="115"/>
      <c r="AJ21" s="115">
        <v>138700</v>
      </c>
      <c r="AK21" s="135"/>
      <c r="AL21" s="135"/>
      <c r="AM21" s="135"/>
      <c r="AN21" s="135">
        <v>137800</v>
      </c>
      <c r="AO21" s="72">
        <v>138700</v>
      </c>
      <c r="AP21" s="342">
        <f>AO21-Q21</f>
        <v>-829460</v>
      </c>
      <c r="AR21" s="1"/>
      <c r="AS21" s="1"/>
      <c r="AT21" s="1"/>
      <c r="AU21" s="1"/>
      <c r="AV21" s="1"/>
      <c r="AW21" s="1"/>
    </row>
    <row r="22" spans="1:49" s="1029" customFormat="1" ht="42" customHeight="1">
      <c r="A22" s="1031">
        <v>8</v>
      </c>
      <c r="B22" s="944"/>
      <c r="C22" s="752"/>
      <c r="D22" s="1032" t="s">
        <v>1163</v>
      </c>
      <c r="E22" s="752">
        <v>1</v>
      </c>
      <c r="F22" s="752" t="s">
        <v>1154</v>
      </c>
      <c r="G22" s="752" t="s">
        <v>1164</v>
      </c>
      <c r="H22" s="753"/>
      <c r="I22" s="752"/>
      <c r="J22" s="752"/>
      <c r="K22" s="752"/>
      <c r="L22" s="750" t="s">
        <v>1142</v>
      </c>
      <c r="M22" s="752"/>
      <c r="N22" s="754">
        <v>1584245</v>
      </c>
      <c r="O22" s="754">
        <v>793000</v>
      </c>
      <c r="P22" s="754">
        <v>57316</v>
      </c>
      <c r="Q22" s="1033">
        <f>P22+O22+N22</f>
        <v>2434561</v>
      </c>
      <c r="R22" s="1034"/>
      <c r="S22" s="1034"/>
      <c r="T22" s="1034"/>
      <c r="U22" s="253" t="s">
        <v>1168</v>
      </c>
      <c r="V22" s="752"/>
      <c r="W22" s="752">
        <v>18</v>
      </c>
      <c r="X22" s="752"/>
      <c r="Y22" s="752"/>
      <c r="Z22" s="752"/>
      <c r="AA22" s="752" t="s">
        <v>1169</v>
      </c>
      <c r="AB22" s="752" t="s">
        <v>1170</v>
      </c>
      <c r="AC22" s="752" t="s">
        <v>1171</v>
      </c>
      <c r="AD22" s="752" t="s">
        <v>1172</v>
      </c>
      <c r="AE22" s="752" t="s">
        <v>1173</v>
      </c>
      <c r="AF22" s="752"/>
      <c r="AG22" s="755"/>
      <c r="AH22" s="755"/>
      <c r="AI22" s="755"/>
      <c r="AJ22" s="755">
        <v>1350900</v>
      </c>
      <c r="AK22" s="756"/>
      <c r="AL22" s="756"/>
      <c r="AM22" s="756"/>
      <c r="AN22" s="756">
        <v>1350900</v>
      </c>
      <c r="AO22" s="257">
        <v>1350900</v>
      </c>
      <c r="AP22" s="1035">
        <f>AO22-Q22</f>
        <v>-1083661</v>
      </c>
      <c r="AR22" s="700"/>
      <c r="AS22" s="700"/>
      <c r="AT22" s="700"/>
      <c r="AU22" s="700"/>
      <c r="AV22" s="700"/>
      <c r="AW22" s="700"/>
    </row>
    <row r="23" spans="1:49" s="116" customFormat="1" ht="42" customHeight="1">
      <c r="A23" s="542">
        <v>9</v>
      </c>
      <c r="B23" s="944"/>
      <c r="C23" s="112"/>
      <c r="D23" s="604" t="s">
        <v>1163</v>
      </c>
      <c r="E23" s="112">
        <v>1</v>
      </c>
      <c r="F23" s="112" t="s">
        <v>1154</v>
      </c>
      <c r="G23" s="112" t="s">
        <v>1164</v>
      </c>
      <c r="H23" s="1030"/>
      <c r="I23" s="112"/>
      <c r="J23" s="112"/>
      <c r="K23" s="112"/>
      <c r="L23" s="66" t="s">
        <v>1142</v>
      </c>
      <c r="M23" s="112"/>
      <c r="N23" s="113"/>
      <c r="O23" s="113"/>
      <c r="P23" s="113"/>
      <c r="Q23" s="630"/>
      <c r="R23" s="114"/>
      <c r="S23" s="114"/>
      <c r="T23" s="114"/>
      <c r="U23" s="493" t="s">
        <v>1174</v>
      </c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5"/>
      <c r="AH23" s="115"/>
      <c r="AI23" s="115"/>
      <c r="AJ23" s="115"/>
      <c r="AK23" s="135"/>
      <c r="AL23" s="135"/>
      <c r="AM23" s="135"/>
      <c r="AN23" s="135"/>
      <c r="AO23" s="72"/>
      <c r="AP23" s="342"/>
      <c r="AR23" s="1"/>
      <c r="AS23" s="1"/>
      <c r="AT23" s="1"/>
      <c r="AU23" s="1"/>
      <c r="AV23" s="1"/>
      <c r="AW23" s="1"/>
    </row>
    <row r="24" spans="1:49" s="1029" customFormat="1" ht="42" customHeight="1">
      <c r="A24" s="1031">
        <v>10</v>
      </c>
      <c r="B24" s="944"/>
      <c r="C24" s="752"/>
      <c r="D24" s="1032" t="s">
        <v>1175</v>
      </c>
      <c r="E24" s="752">
        <v>1</v>
      </c>
      <c r="F24" s="752" t="s">
        <v>1154</v>
      </c>
      <c r="G24" s="752" t="s">
        <v>1176</v>
      </c>
      <c r="H24" s="753"/>
      <c r="I24" s="752"/>
      <c r="J24" s="752"/>
      <c r="K24" s="752"/>
      <c r="L24" s="750" t="s">
        <v>1142</v>
      </c>
      <c r="M24" s="752"/>
      <c r="N24" s="754">
        <v>4722618</v>
      </c>
      <c r="O24" s="754">
        <v>2050000</v>
      </c>
      <c r="P24" s="754"/>
      <c r="Q24" s="1033">
        <f>P24+O24+N24</f>
        <v>6772618</v>
      </c>
      <c r="R24" s="1034"/>
      <c r="S24" s="1034"/>
      <c r="T24" s="1034"/>
      <c r="U24" s="253" t="s">
        <v>1177</v>
      </c>
      <c r="V24" s="752"/>
      <c r="W24" s="752">
        <v>59</v>
      </c>
      <c r="X24" s="752"/>
      <c r="Y24" s="752" t="s">
        <v>1178</v>
      </c>
      <c r="Z24" s="752" t="s">
        <v>1179</v>
      </c>
      <c r="AA24" s="752"/>
      <c r="AB24" s="752"/>
      <c r="AC24" s="752"/>
      <c r="AD24" s="752"/>
      <c r="AE24" s="752"/>
      <c r="AF24" s="752"/>
      <c r="AG24" s="755"/>
      <c r="AH24" s="755"/>
      <c r="AI24" s="755"/>
      <c r="AJ24" s="755">
        <v>4114280</v>
      </c>
      <c r="AK24" s="756"/>
      <c r="AL24" s="756"/>
      <c r="AM24" s="756"/>
      <c r="AN24" s="756">
        <v>4114280</v>
      </c>
      <c r="AO24" s="257">
        <v>4114280</v>
      </c>
      <c r="AP24" s="1035">
        <f>AO24-Q24</f>
        <v>-2658338</v>
      </c>
      <c r="AR24" s="700"/>
      <c r="AS24" s="700"/>
      <c r="AT24" s="700"/>
      <c r="AU24" s="700"/>
      <c r="AV24" s="700"/>
      <c r="AW24" s="700"/>
    </row>
    <row r="25" spans="1:49" s="116" customFormat="1" ht="42" customHeight="1">
      <c r="A25" s="542">
        <v>11</v>
      </c>
      <c r="B25" s="944"/>
      <c r="C25" s="112"/>
      <c r="D25" s="604" t="s">
        <v>1175</v>
      </c>
      <c r="E25" s="112">
        <v>1</v>
      </c>
      <c r="F25" s="112" t="s">
        <v>1154</v>
      </c>
      <c r="G25" s="112" t="s">
        <v>1176</v>
      </c>
      <c r="H25" s="1030"/>
      <c r="I25" s="112"/>
      <c r="J25" s="112"/>
      <c r="K25" s="112"/>
      <c r="L25" s="66" t="s">
        <v>1142</v>
      </c>
      <c r="M25" s="112"/>
      <c r="N25" s="113">
        <v>1156902</v>
      </c>
      <c r="O25" s="113">
        <v>1194500</v>
      </c>
      <c r="P25" s="113"/>
      <c r="Q25" s="630">
        <f>N25+O25+P25</f>
        <v>2351402</v>
      </c>
      <c r="R25" s="114"/>
      <c r="S25" s="114"/>
      <c r="T25" s="114"/>
      <c r="U25" s="493" t="s">
        <v>1180</v>
      </c>
      <c r="V25" s="112"/>
      <c r="W25" s="112">
        <v>44</v>
      </c>
      <c r="X25" s="112"/>
      <c r="Y25" s="112">
        <v>75.88</v>
      </c>
      <c r="Z25" s="112">
        <v>11.65</v>
      </c>
      <c r="AA25" s="112"/>
      <c r="AB25" s="112"/>
      <c r="AC25" s="112"/>
      <c r="AD25" s="112"/>
      <c r="AE25" s="112"/>
      <c r="AF25" s="112"/>
      <c r="AG25" s="115"/>
      <c r="AH25" s="115"/>
      <c r="AI25" s="115"/>
      <c r="AJ25" s="115">
        <v>2355208</v>
      </c>
      <c r="AK25" s="135"/>
      <c r="AL25" s="135"/>
      <c r="AM25" s="135"/>
      <c r="AN25" s="135">
        <v>2355208</v>
      </c>
      <c r="AO25" s="72">
        <v>2355208</v>
      </c>
      <c r="AP25" s="342">
        <f>AO25-Q25</f>
        <v>3806</v>
      </c>
      <c r="AR25" s="1"/>
      <c r="AS25" s="1"/>
      <c r="AT25" s="1"/>
      <c r="AU25" s="1"/>
      <c r="AV25" s="1"/>
      <c r="AW25" s="1"/>
    </row>
    <row r="26" spans="1:49" customFormat="1" ht="51.75" customHeight="1">
      <c r="A26" s="540">
        <v>1</v>
      </c>
      <c r="B26" s="944"/>
      <c r="C26" s="52"/>
      <c r="D26" s="53" t="s">
        <v>1150</v>
      </c>
      <c r="E26" s="52">
        <v>1</v>
      </c>
      <c r="F26" s="150" t="s">
        <v>1181</v>
      </c>
      <c r="G26" s="150" t="s">
        <v>473</v>
      </c>
      <c r="H26" s="54" t="s">
        <v>738</v>
      </c>
      <c r="I26" s="52">
        <v>0</v>
      </c>
      <c r="J26" s="52" t="s">
        <v>130</v>
      </c>
      <c r="K26" s="52">
        <v>0</v>
      </c>
      <c r="L26" s="52">
        <v>0</v>
      </c>
      <c r="M26" s="52">
        <v>0</v>
      </c>
      <c r="N26" s="55">
        <v>3692350</v>
      </c>
      <c r="O26" s="55">
        <v>2904000</v>
      </c>
      <c r="P26" s="55">
        <v>397650</v>
      </c>
      <c r="Q26" s="56">
        <f>N26+O26+P26</f>
        <v>6994000</v>
      </c>
      <c r="R26" s="57">
        <v>0</v>
      </c>
      <c r="S26" s="57">
        <v>0</v>
      </c>
      <c r="T26" s="57">
        <v>0</v>
      </c>
      <c r="U26" s="57"/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0</v>
      </c>
      <c r="AG26" s="58">
        <v>0</v>
      </c>
      <c r="AH26" s="58">
        <v>0</v>
      </c>
      <c r="AI26" s="58">
        <v>0</v>
      </c>
      <c r="AJ26" s="58">
        <v>0</v>
      </c>
      <c r="AK26" s="59">
        <f>R26*Y26</f>
        <v>0</v>
      </c>
      <c r="AL26" s="59">
        <f>S26*Z26</f>
        <v>0</v>
      </c>
      <c r="AM26" s="59">
        <f>T26*AA26</f>
        <v>0</v>
      </c>
      <c r="AN26" s="59">
        <v>45000</v>
      </c>
      <c r="AO26" s="13">
        <f>AK26+AL26+AM26+AN26</f>
        <v>45000</v>
      </c>
      <c r="AP26" s="62">
        <f>AO26-Q26</f>
        <v>-6949000</v>
      </c>
      <c r="AQ26" s="115"/>
      <c r="AR26" s="50"/>
    </row>
    <row r="27" spans="1:49" customFormat="1" ht="51.75" customHeight="1">
      <c r="A27" s="52">
        <v>2</v>
      </c>
      <c r="B27" s="944"/>
      <c r="C27" s="52"/>
      <c r="D27" s="53" t="s">
        <v>1182</v>
      </c>
      <c r="E27" s="52">
        <v>1</v>
      </c>
      <c r="F27" s="150" t="s">
        <v>1181</v>
      </c>
      <c r="G27" s="150" t="s">
        <v>1183</v>
      </c>
      <c r="H27" s="54" t="s">
        <v>738</v>
      </c>
      <c r="I27" s="52">
        <v>0</v>
      </c>
      <c r="J27" s="52" t="s">
        <v>130</v>
      </c>
      <c r="K27" s="52">
        <v>0</v>
      </c>
      <c r="L27" s="52">
        <v>0</v>
      </c>
      <c r="M27" s="52">
        <v>0</v>
      </c>
      <c r="N27" s="55">
        <v>3015236</v>
      </c>
      <c r="O27" s="55">
        <v>3952000</v>
      </c>
      <c r="P27" s="55">
        <v>0</v>
      </c>
      <c r="Q27" s="1036">
        <f t="shared" ref="Q27:Q35" si="7">N27+O27+P27</f>
        <v>6967236</v>
      </c>
      <c r="R27" s="57">
        <v>0</v>
      </c>
      <c r="S27" s="57">
        <v>0</v>
      </c>
      <c r="T27" s="57">
        <v>0</v>
      </c>
      <c r="U27" s="57"/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8">
        <v>0</v>
      </c>
      <c r="AH27" s="58">
        <v>0</v>
      </c>
      <c r="AI27" s="58">
        <v>0</v>
      </c>
      <c r="AJ27" s="58">
        <v>0</v>
      </c>
      <c r="AK27" s="59">
        <f>R27*Y27</f>
        <v>0</v>
      </c>
      <c r="AL27" s="59">
        <f>S27*Z27</f>
        <v>0</v>
      </c>
      <c r="AM27" s="59">
        <f>T27*AA27</f>
        <v>0</v>
      </c>
      <c r="AN27" s="59">
        <v>0</v>
      </c>
      <c r="AO27" s="13">
        <f t="shared" ref="AO27:AO35" si="8">AK27+AL27+AM27+AN27</f>
        <v>0</v>
      </c>
      <c r="AP27" s="62">
        <f>AO27-Q27</f>
        <v>-6967236</v>
      </c>
      <c r="AQ27" s="1037" t="s">
        <v>1184</v>
      </c>
      <c r="AR27" s="50"/>
    </row>
    <row r="28" spans="1:49" customFormat="1" ht="51.75" customHeight="1">
      <c r="A28" s="52">
        <v>3</v>
      </c>
      <c r="B28" s="944"/>
      <c r="C28" s="52"/>
      <c r="D28" s="53" t="s">
        <v>1185</v>
      </c>
      <c r="E28" s="52">
        <v>1</v>
      </c>
      <c r="F28" s="150" t="s">
        <v>1181</v>
      </c>
      <c r="G28" s="150" t="s">
        <v>1186</v>
      </c>
      <c r="H28" s="54" t="s">
        <v>738</v>
      </c>
      <c r="I28" s="52">
        <v>0</v>
      </c>
      <c r="J28" s="52" t="s">
        <v>130</v>
      </c>
      <c r="K28" s="52">
        <v>0</v>
      </c>
      <c r="L28" s="52">
        <v>0</v>
      </c>
      <c r="M28" s="52">
        <v>0</v>
      </c>
      <c r="N28" s="1038">
        <v>6797500</v>
      </c>
      <c r="O28" s="55">
        <v>7195000</v>
      </c>
      <c r="P28" s="55">
        <v>0</v>
      </c>
      <c r="Q28" s="56">
        <f t="shared" si="7"/>
        <v>13992500</v>
      </c>
      <c r="R28" s="57">
        <v>0</v>
      </c>
      <c r="S28" s="57">
        <v>0</v>
      </c>
      <c r="T28" s="57">
        <v>0</v>
      </c>
      <c r="U28" s="57"/>
      <c r="V28" s="52"/>
      <c r="W28" s="52"/>
      <c r="X28" s="52"/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8">
        <v>0</v>
      </c>
      <c r="AH28" s="58">
        <v>0</v>
      </c>
      <c r="AI28" s="58">
        <v>0</v>
      </c>
      <c r="AJ28" s="58">
        <v>0</v>
      </c>
      <c r="AK28" s="59">
        <f>R28*Y28</f>
        <v>0</v>
      </c>
      <c r="AL28" s="59">
        <f>S28*Z28</f>
        <v>0</v>
      </c>
      <c r="AM28" s="59">
        <f>T28*AA28</f>
        <v>0</v>
      </c>
      <c r="AN28" s="1039"/>
      <c r="AO28" s="13">
        <f t="shared" si="8"/>
        <v>0</v>
      </c>
      <c r="AP28" s="62">
        <f>AO28-Q28</f>
        <v>-13992500</v>
      </c>
      <c r="AQ28" s="1037" t="s">
        <v>1187</v>
      </c>
      <c r="AR28" s="50"/>
    </row>
    <row r="29" spans="1:49" customFormat="1" ht="51.75" customHeight="1">
      <c r="A29" s="52">
        <v>4</v>
      </c>
      <c r="B29" s="944"/>
      <c r="C29" s="52"/>
      <c r="D29" s="53" t="s">
        <v>1188</v>
      </c>
      <c r="E29" s="52">
        <v>1</v>
      </c>
      <c r="F29" s="150" t="s">
        <v>1181</v>
      </c>
      <c r="G29" s="150" t="s">
        <v>267</v>
      </c>
      <c r="H29" s="54" t="s">
        <v>738</v>
      </c>
      <c r="I29" s="52">
        <v>0</v>
      </c>
      <c r="J29" s="52" t="s">
        <v>130</v>
      </c>
      <c r="K29" s="52">
        <v>0</v>
      </c>
      <c r="L29" s="52">
        <v>0</v>
      </c>
      <c r="M29" s="52">
        <v>0</v>
      </c>
      <c r="N29" s="55">
        <v>3210787</v>
      </c>
      <c r="O29" s="55">
        <v>1098400</v>
      </c>
      <c r="P29" s="55">
        <v>0</v>
      </c>
      <c r="Q29" s="56">
        <f t="shared" si="7"/>
        <v>4309187</v>
      </c>
      <c r="R29" s="57">
        <v>0</v>
      </c>
      <c r="S29" s="57">
        <v>0</v>
      </c>
      <c r="T29" s="57">
        <v>0</v>
      </c>
      <c r="U29" s="57">
        <v>0</v>
      </c>
      <c r="V29" s="52">
        <v>0</v>
      </c>
      <c r="W29" s="52">
        <v>6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8">
        <v>0</v>
      </c>
      <c r="AH29" s="58">
        <v>0</v>
      </c>
      <c r="AI29" s="58">
        <v>0</v>
      </c>
      <c r="AJ29" s="58">
        <v>0</v>
      </c>
      <c r="AK29" s="59">
        <f>R29*Y29</f>
        <v>0</v>
      </c>
      <c r="AL29" s="59">
        <f>S29*Z29</f>
        <v>0</v>
      </c>
      <c r="AM29" s="59">
        <f>T29*AA29</f>
        <v>0</v>
      </c>
      <c r="AN29" s="59">
        <v>0</v>
      </c>
      <c r="AO29" s="13">
        <f t="shared" si="8"/>
        <v>0</v>
      </c>
      <c r="AP29" s="62">
        <f>AO29-Q29</f>
        <v>-4309187</v>
      </c>
      <c r="AQ29" s="1037" t="s">
        <v>1189</v>
      </c>
      <c r="AR29" s="50"/>
    </row>
    <row r="30" spans="1:49" customFormat="1" ht="51.75" customHeight="1">
      <c r="A30" s="1040">
        <v>5</v>
      </c>
      <c r="B30" s="944"/>
      <c r="C30" s="1040"/>
      <c r="D30" s="1041" t="s">
        <v>466</v>
      </c>
      <c r="E30" s="1040">
        <v>1</v>
      </c>
      <c r="F30" s="1042" t="s">
        <v>1181</v>
      </c>
      <c r="G30" s="1042" t="s">
        <v>1190</v>
      </c>
      <c r="H30" s="1040" t="s">
        <v>738</v>
      </c>
      <c r="I30" s="1040">
        <v>0</v>
      </c>
      <c r="J30" s="1040" t="s">
        <v>130</v>
      </c>
      <c r="K30" s="1040">
        <v>0</v>
      </c>
      <c r="L30" s="1040">
        <v>0</v>
      </c>
      <c r="M30" s="1040">
        <v>0</v>
      </c>
      <c r="N30" s="1040">
        <v>1538257</v>
      </c>
      <c r="O30" s="1040">
        <v>2085000</v>
      </c>
      <c r="P30" s="1040">
        <v>0</v>
      </c>
      <c r="Q30" s="1040">
        <f t="shared" si="7"/>
        <v>3623257</v>
      </c>
      <c r="R30" s="1040">
        <v>0</v>
      </c>
      <c r="S30" s="1040">
        <v>0</v>
      </c>
      <c r="T30" s="1040">
        <v>0</v>
      </c>
      <c r="U30" s="1040">
        <v>200</v>
      </c>
      <c r="V30" s="1040">
        <v>0</v>
      </c>
      <c r="W30" s="1040">
        <v>8</v>
      </c>
      <c r="X30" s="1040">
        <v>0</v>
      </c>
      <c r="Y30" s="1040">
        <v>0</v>
      </c>
      <c r="Z30" s="1040">
        <v>0</v>
      </c>
      <c r="AA30" s="1040">
        <v>0</v>
      </c>
      <c r="AB30" s="1040">
        <v>0</v>
      </c>
      <c r="AC30" s="1040">
        <v>0</v>
      </c>
      <c r="AD30" s="1040">
        <v>0</v>
      </c>
      <c r="AE30" s="1040"/>
      <c r="AF30" s="52">
        <v>0</v>
      </c>
      <c r="AG30" s="1040">
        <v>0</v>
      </c>
      <c r="AH30" s="1040">
        <v>0</v>
      </c>
      <c r="AI30" s="1040">
        <v>0</v>
      </c>
      <c r="AJ30" s="1040">
        <v>0</v>
      </c>
      <c r="AK30" s="1040">
        <f>R30*Y30</f>
        <v>0</v>
      </c>
      <c r="AL30" s="1040">
        <f>S30*Z30</f>
        <v>0</v>
      </c>
      <c r="AM30" s="1040">
        <v>376000</v>
      </c>
      <c r="AN30" s="1040">
        <v>0</v>
      </c>
      <c r="AO30" s="1043">
        <v>0</v>
      </c>
      <c r="AP30" s="1044">
        <f>AO30-Q30</f>
        <v>-3623257</v>
      </c>
      <c r="AQ30" s="1045" t="s">
        <v>1191</v>
      </c>
      <c r="AR30" s="50"/>
    </row>
    <row r="31" spans="1:49" customFormat="1" ht="51.75" customHeight="1">
      <c r="A31" s="52">
        <v>6</v>
      </c>
      <c r="B31" s="944"/>
      <c r="C31" s="52"/>
      <c r="D31" s="53" t="s">
        <v>1192</v>
      </c>
      <c r="E31" s="52">
        <v>60</v>
      </c>
      <c r="F31" s="150" t="s">
        <v>1181</v>
      </c>
      <c r="G31" s="150"/>
      <c r="H31" s="54" t="s">
        <v>738</v>
      </c>
      <c r="I31" s="52">
        <v>0</v>
      </c>
      <c r="J31" s="52" t="s">
        <v>130</v>
      </c>
      <c r="K31" s="52">
        <v>0</v>
      </c>
      <c r="L31" s="52">
        <v>0</v>
      </c>
      <c r="M31" s="52">
        <v>0</v>
      </c>
      <c r="N31" s="55">
        <v>0</v>
      </c>
      <c r="O31" s="55">
        <v>0</v>
      </c>
      <c r="P31" s="55">
        <v>0</v>
      </c>
      <c r="Q31" s="56">
        <f t="shared" si="7"/>
        <v>0</v>
      </c>
      <c r="R31" s="57">
        <v>0</v>
      </c>
      <c r="S31" s="57">
        <v>0</v>
      </c>
      <c r="T31" s="57">
        <v>0</v>
      </c>
      <c r="U31" s="57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  <c r="AG31" s="58">
        <v>0</v>
      </c>
      <c r="AH31" s="58">
        <v>0</v>
      </c>
      <c r="AI31" s="58">
        <v>0</v>
      </c>
      <c r="AJ31" s="58">
        <v>0</v>
      </c>
      <c r="AK31" s="59">
        <f>R31*Y31</f>
        <v>0</v>
      </c>
      <c r="AL31" s="59">
        <f>S31*Z31</f>
        <v>0</v>
      </c>
      <c r="AM31" s="59">
        <f>T31*AA31</f>
        <v>0</v>
      </c>
      <c r="AN31" s="59">
        <v>0</v>
      </c>
      <c r="AO31" s="13">
        <f t="shared" si="8"/>
        <v>0</v>
      </c>
      <c r="AP31" s="62">
        <f>AO31-Q31</f>
        <v>0</v>
      </c>
      <c r="AQ31" s="1037"/>
      <c r="AR31" s="50"/>
    </row>
    <row r="32" spans="1:49" customFormat="1" ht="51.75" customHeight="1">
      <c r="A32" s="52">
        <v>7</v>
      </c>
      <c r="B32" s="944"/>
      <c r="C32" s="52"/>
      <c r="D32" s="53" t="s">
        <v>1193</v>
      </c>
      <c r="E32" s="52">
        <v>1</v>
      </c>
      <c r="F32" s="150" t="s">
        <v>1181</v>
      </c>
      <c r="G32" s="150" t="s">
        <v>193</v>
      </c>
      <c r="H32" s="54" t="s">
        <v>738</v>
      </c>
      <c r="I32" s="52">
        <v>0</v>
      </c>
      <c r="J32" s="52" t="s">
        <v>130</v>
      </c>
      <c r="K32" s="52">
        <v>0</v>
      </c>
      <c r="L32" s="52">
        <v>0</v>
      </c>
      <c r="M32" s="52">
        <v>0</v>
      </c>
      <c r="N32" s="55">
        <v>0</v>
      </c>
      <c r="O32" s="55">
        <v>0</v>
      </c>
      <c r="P32" s="55">
        <v>0</v>
      </c>
      <c r="Q32" s="56">
        <f t="shared" si="7"/>
        <v>0</v>
      </c>
      <c r="R32" s="57">
        <v>0</v>
      </c>
      <c r="S32" s="57">
        <v>0</v>
      </c>
      <c r="T32" s="57">
        <v>0</v>
      </c>
      <c r="U32" s="57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52">
        <v>0</v>
      </c>
      <c r="AF32" s="52">
        <v>0</v>
      </c>
      <c r="AG32" s="58">
        <v>0</v>
      </c>
      <c r="AH32" s="58">
        <v>0</v>
      </c>
      <c r="AI32" s="58">
        <v>0</v>
      </c>
      <c r="AJ32" s="58">
        <v>0</v>
      </c>
      <c r="AK32" s="59">
        <f>R32*Y32</f>
        <v>0</v>
      </c>
      <c r="AL32" s="59">
        <f>S32*Z32</f>
        <v>0</v>
      </c>
      <c r="AM32" s="59">
        <f>T32*AA32</f>
        <v>0</v>
      </c>
      <c r="AN32" s="59">
        <v>0</v>
      </c>
      <c r="AO32" s="13">
        <f t="shared" si="8"/>
        <v>0</v>
      </c>
      <c r="AP32" s="62">
        <f>AO32-Q32</f>
        <v>0</v>
      </c>
      <c r="AQ32" s="1037"/>
      <c r="AR32" s="50"/>
    </row>
    <row r="33" spans="1:49" customFormat="1" ht="51.75" customHeight="1">
      <c r="A33" s="52">
        <v>8</v>
      </c>
      <c r="B33" s="944"/>
      <c r="C33" s="52"/>
      <c r="D33" s="53" t="s">
        <v>1194</v>
      </c>
      <c r="E33" s="52">
        <v>1</v>
      </c>
      <c r="F33" s="150" t="s">
        <v>1181</v>
      </c>
      <c r="G33" s="150"/>
      <c r="H33" s="54" t="s">
        <v>738</v>
      </c>
      <c r="I33" s="52">
        <v>0</v>
      </c>
      <c r="J33" s="52"/>
      <c r="K33" s="52">
        <v>0</v>
      </c>
      <c r="L33" s="52">
        <v>0</v>
      </c>
      <c r="M33" s="52">
        <v>0</v>
      </c>
      <c r="N33" s="55">
        <v>0</v>
      </c>
      <c r="O33" s="55">
        <v>0</v>
      </c>
      <c r="P33" s="55">
        <v>0</v>
      </c>
      <c r="Q33" s="56">
        <f t="shared" si="7"/>
        <v>0</v>
      </c>
      <c r="R33" s="57">
        <v>0</v>
      </c>
      <c r="S33" s="57">
        <v>0</v>
      </c>
      <c r="T33" s="57">
        <v>0</v>
      </c>
      <c r="U33" s="57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8">
        <v>0</v>
      </c>
      <c r="AH33" s="58">
        <v>0</v>
      </c>
      <c r="AI33" s="58">
        <v>0</v>
      </c>
      <c r="AJ33" s="58">
        <v>0</v>
      </c>
      <c r="AK33" s="59">
        <f>R33*Y33</f>
        <v>0</v>
      </c>
      <c r="AL33" s="59">
        <f>S33*Z33</f>
        <v>0</v>
      </c>
      <c r="AM33" s="59">
        <f>T33*AA33</f>
        <v>0</v>
      </c>
      <c r="AN33" s="59">
        <v>0</v>
      </c>
      <c r="AO33" s="13">
        <f t="shared" si="8"/>
        <v>0</v>
      </c>
      <c r="AP33" s="62">
        <f>AO33-Q33</f>
        <v>0</v>
      </c>
      <c r="AQ33" s="1037"/>
      <c r="AR33" s="50"/>
    </row>
    <row r="34" spans="1:49" customFormat="1" ht="51.75" customHeight="1">
      <c r="A34" s="52">
        <v>9</v>
      </c>
      <c r="B34" s="944"/>
      <c r="C34" s="52"/>
      <c r="D34" s="53" t="s">
        <v>1195</v>
      </c>
      <c r="E34" s="52">
        <v>1</v>
      </c>
      <c r="F34" s="150" t="s">
        <v>1181</v>
      </c>
      <c r="G34" s="150"/>
      <c r="H34" s="54" t="s">
        <v>738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5">
        <v>0</v>
      </c>
      <c r="O34" s="55">
        <v>0</v>
      </c>
      <c r="P34" s="55">
        <v>0</v>
      </c>
      <c r="Q34" s="56">
        <f t="shared" si="7"/>
        <v>0</v>
      </c>
      <c r="R34" s="57">
        <v>0</v>
      </c>
      <c r="S34" s="57">
        <v>0</v>
      </c>
      <c r="T34" s="57">
        <v>0</v>
      </c>
      <c r="U34" s="57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52">
        <v>0</v>
      </c>
      <c r="AF34" s="52">
        <v>0</v>
      </c>
      <c r="AG34" s="58">
        <v>0</v>
      </c>
      <c r="AH34" s="58">
        <v>0</v>
      </c>
      <c r="AI34" s="58">
        <v>0</v>
      </c>
      <c r="AJ34" s="58">
        <v>0</v>
      </c>
      <c r="AK34" s="59">
        <f>R34*Y34</f>
        <v>0</v>
      </c>
      <c r="AL34" s="59">
        <f>S34*Z34</f>
        <v>0</v>
      </c>
      <c r="AM34" s="59">
        <f>T34*AA34</f>
        <v>0</v>
      </c>
      <c r="AN34" s="59">
        <v>0</v>
      </c>
      <c r="AO34" s="13">
        <f t="shared" si="8"/>
        <v>0</v>
      </c>
      <c r="AP34" s="62">
        <f>AO34-Q34</f>
        <v>0</v>
      </c>
      <c r="AQ34" s="1037"/>
      <c r="AR34" s="50"/>
    </row>
    <row r="35" spans="1:49" customFormat="1" ht="51.75" customHeight="1">
      <c r="A35" s="52">
        <v>10</v>
      </c>
      <c r="B35" s="944"/>
      <c r="C35" s="52"/>
      <c r="D35" s="53" t="s">
        <v>1196</v>
      </c>
      <c r="E35" s="52">
        <v>1</v>
      </c>
      <c r="F35" s="150" t="s">
        <v>1181</v>
      </c>
      <c r="G35" s="150"/>
      <c r="H35" s="54" t="s">
        <v>738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5">
        <v>0</v>
      </c>
      <c r="O35" s="55">
        <v>0</v>
      </c>
      <c r="P35" s="55">
        <v>0</v>
      </c>
      <c r="Q35" s="56">
        <f t="shared" si="7"/>
        <v>0</v>
      </c>
      <c r="R35" s="57">
        <v>0</v>
      </c>
      <c r="S35" s="57">
        <v>0</v>
      </c>
      <c r="T35" s="57">
        <v>0</v>
      </c>
      <c r="U35" s="57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52">
        <v>0</v>
      </c>
      <c r="AF35" s="52">
        <v>0</v>
      </c>
      <c r="AG35" s="58">
        <v>0</v>
      </c>
      <c r="AH35" s="58">
        <v>0</v>
      </c>
      <c r="AI35" s="58">
        <v>0</v>
      </c>
      <c r="AJ35" s="58">
        <v>0</v>
      </c>
      <c r="AK35" s="59">
        <f>R35*Y35</f>
        <v>0</v>
      </c>
      <c r="AL35" s="59">
        <f>S35*Z35</f>
        <v>0</v>
      </c>
      <c r="AM35" s="59">
        <f>T35*AA35</f>
        <v>0</v>
      </c>
      <c r="AN35" s="59">
        <v>0</v>
      </c>
      <c r="AO35" s="13">
        <f t="shared" si="8"/>
        <v>0</v>
      </c>
      <c r="AP35" s="62">
        <f>AO35-Q35</f>
        <v>0</v>
      </c>
      <c r="AQ35" s="1037"/>
      <c r="AR35" s="50"/>
    </row>
    <row r="36" spans="1:49" customFormat="1" ht="51.75" customHeight="1">
      <c r="A36" s="149">
        <v>11</v>
      </c>
      <c r="B36" s="944"/>
      <c r="C36" s="149"/>
      <c r="D36" s="202" t="s">
        <v>316</v>
      </c>
      <c r="E36" s="149">
        <v>1</v>
      </c>
      <c r="F36" s="1046" t="s">
        <v>1181</v>
      </c>
      <c r="G36" s="1046" t="s">
        <v>1197</v>
      </c>
      <c r="H36" s="149" t="s">
        <v>738</v>
      </c>
      <c r="I36" s="149">
        <v>0</v>
      </c>
      <c r="J36" s="149" t="s">
        <v>130</v>
      </c>
      <c r="K36" s="149">
        <v>0</v>
      </c>
      <c r="L36" s="149">
        <v>0</v>
      </c>
      <c r="M36" s="149">
        <v>0</v>
      </c>
      <c r="N36" s="149">
        <v>653500</v>
      </c>
      <c r="O36" s="149">
        <v>64000</v>
      </c>
      <c r="P36" s="149">
        <v>0</v>
      </c>
      <c r="Q36" s="149">
        <v>717500</v>
      </c>
      <c r="R36" s="149">
        <v>0</v>
      </c>
      <c r="S36" s="149">
        <v>0</v>
      </c>
      <c r="T36" s="149">
        <v>0</v>
      </c>
      <c r="U36" s="149">
        <v>0</v>
      </c>
      <c r="V36" s="149">
        <v>0</v>
      </c>
      <c r="W36" s="149">
        <v>11</v>
      </c>
      <c r="X36" s="149">
        <v>0</v>
      </c>
      <c r="Y36" s="149">
        <v>0</v>
      </c>
      <c r="Z36" s="149">
        <v>0</v>
      </c>
      <c r="AA36" s="149">
        <v>0</v>
      </c>
      <c r="AB36" s="149">
        <v>0</v>
      </c>
      <c r="AC36" s="149">
        <v>260250</v>
      </c>
      <c r="AD36" s="149">
        <v>0</v>
      </c>
      <c r="AE36" s="149">
        <v>0</v>
      </c>
      <c r="AF36" s="52">
        <v>0</v>
      </c>
      <c r="AG36" s="149">
        <v>0</v>
      </c>
      <c r="AH36" s="149">
        <v>0</v>
      </c>
      <c r="AI36" s="149">
        <v>0</v>
      </c>
      <c r="AJ36" s="149">
        <v>0</v>
      </c>
      <c r="AK36" s="149">
        <f>R36*Y36</f>
        <v>0</v>
      </c>
      <c r="AL36" s="149">
        <f>S36*Z36</f>
        <v>0</v>
      </c>
      <c r="AM36" s="149">
        <f>T36*AA36</f>
        <v>0</v>
      </c>
      <c r="AN36" s="149">
        <v>260250</v>
      </c>
      <c r="AO36" s="48">
        <v>260250</v>
      </c>
      <c r="AP36" s="48">
        <f>AO36-Q36</f>
        <v>-457250</v>
      </c>
      <c r="AQ36" s="1047" t="s">
        <v>1198</v>
      </c>
      <c r="AR36" s="50"/>
    </row>
    <row r="37" spans="1:49" customFormat="1" ht="51.75" customHeight="1">
      <c r="A37" s="52"/>
      <c r="B37" s="944"/>
      <c r="C37" s="52"/>
      <c r="D37" s="53" t="s">
        <v>1199</v>
      </c>
      <c r="E37" s="52">
        <v>1</v>
      </c>
      <c r="F37" s="1046" t="s">
        <v>1181</v>
      </c>
      <c r="G37" s="53" t="s">
        <v>1200</v>
      </c>
      <c r="H37" s="54" t="s">
        <v>1201</v>
      </c>
      <c r="I37" s="1048" t="s">
        <v>132</v>
      </c>
      <c r="J37" s="150" t="s">
        <v>130</v>
      </c>
      <c r="K37" s="52">
        <v>0</v>
      </c>
      <c r="L37" s="52">
        <v>0</v>
      </c>
      <c r="M37" s="119"/>
      <c r="N37" s="55">
        <v>147000</v>
      </c>
      <c r="O37" s="1049">
        <v>150000</v>
      </c>
      <c r="P37" s="55">
        <v>114000</v>
      </c>
      <c r="Q37" s="56">
        <v>411000</v>
      </c>
      <c r="R37" s="57"/>
      <c r="S37" s="57"/>
      <c r="T37" s="816">
        <v>0</v>
      </c>
      <c r="U37" s="816"/>
      <c r="V37" s="52"/>
      <c r="W37" s="52"/>
      <c r="X37" s="52"/>
      <c r="Y37" s="52"/>
      <c r="Z37" s="52"/>
      <c r="AA37" s="150" t="s">
        <v>132</v>
      </c>
      <c r="AB37" s="150">
        <v>0</v>
      </c>
      <c r="AC37" s="52"/>
      <c r="AD37" s="52"/>
      <c r="AE37" s="52"/>
      <c r="AF37" s="52">
        <v>0</v>
      </c>
      <c r="AG37" s="58"/>
      <c r="AH37" s="58"/>
      <c r="AI37" s="58"/>
      <c r="AJ37" s="1050"/>
      <c r="AK37" s="59">
        <f>R37*Y37</f>
        <v>0</v>
      </c>
      <c r="AL37" s="59">
        <f>S37*Z37</f>
        <v>0</v>
      </c>
      <c r="AM37" s="59">
        <v>0</v>
      </c>
      <c r="AN37" s="59">
        <f>U37*AB37</f>
        <v>0</v>
      </c>
      <c r="AO37" s="13">
        <f>AK37+AL37+AM37+AN37</f>
        <v>0</v>
      </c>
      <c r="AP37" s="62">
        <f>AO37-Q37</f>
        <v>-411000</v>
      </c>
      <c r="AQ37" s="7" t="s">
        <v>1202</v>
      </c>
      <c r="AR37" s="50"/>
    </row>
    <row r="38" spans="1:49" customFormat="1" ht="51.75" customHeight="1" thickBot="1">
      <c r="A38" s="52"/>
      <c r="B38" s="949"/>
      <c r="C38" s="52"/>
      <c r="D38" s="119" t="s">
        <v>413</v>
      </c>
      <c r="E38" s="52">
        <v>2</v>
      </c>
      <c r="F38" s="1046" t="s">
        <v>1181</v>
      </c>
      <c r="G38" s="150" t="s">
        <v>1203</v>
      </c>
      <c r="H38" s="799" t="s">
        <v>1201</v>
      </c>
      <c r="I38" s="52"/>
      <c r="J38" s="150" t="s">
        <v>130</v>
      </c>
      <c r="K38" s="52"/>
      <c r="L38" s="52"/>
      <c r="M38" s="52"/>
      <c r="N38" s="1051">
        <v>3509650</v>
      </c>
      <c r="O38" s="1051">
        <v>2034000</v>
      </c>
      <c r="P38" s="1051">
        <v>397650</v>
      </c>
      <c r="Q38" s="1052">
        <f t="shared" ref="Q38" si="9">N38+O38+P38</f>
        <v>5941300</v>
      </c>
      <c r="R38" s="57"/>
      <c r="S38" s="57"/>
      <c r="T38" s="816">
        <v>0</v>
      </c>
      <c r="U38" s="816">
        <v>15000</v>
      </c>
      <c r="V38" s="150"/>
      <c r="W38" s="52">
        <v>1</v>
      </c>
      <c r="X38" s="52"/>
      <c r="Y38" s="52"/>
      <c r="Z38" s="150"/>
      <c r="AA38" s="150"/>
      <c r="AB38" s="150"/>
      <c r="AC38" s="52"/>
      <c r="AD38" s="52"/>
      <c r="AE38" s="52"/>
      <c r="AF38" s="52">
        <v>0</v>
      </c>
      <c r="AG38" s="58"/>
      <c r="AH38" s="1050" t="s">
        <v>132</v>
      </c>
      <c r="AI38" s="58"/>
      <c r="AJ38" s="1050"/>
      <c r="AK38" s="59">
        <f>R38*Y38</f>
        <v>0</v>
      </c>
      <c r="AL38" s="59">
        <f>S38*Z38</f>
        <v>0</v>
      </c>
      <c r="AM38" s="59">
        <f>T38*AA38</f>
        <v>0</v>
      </c>
      <c r="AN38" s="59">
        <v>60000</v>
      </c>
      <c r="AO38" s="13">
        <f t="shared" ref="AO38" si="10">AK38+AL38+AM38+AN38</f>
        <v>60000</v>
      </c>
      <c r="AP38" s="62">
        <f>AO38-Q38</f>
        <v>-5881300</v>
      </c>
      <c r="AQ38" s="1037" t="s">
        <v>1204</v>
      </c>
      <c r="AR38" s="50"/>
    </row>
    <row r="39" spans="1:49" ht="42" customHeight="1" thickBot="1">
      <c r="A39" s="136"/>
      <c r="B39" s="137" t="s">
        <v>115</v>
      </c>
      <c r="C39" s="137">
        <v>28</v>
      </c>
      <c r="D39" s="137"/>
      <c r="E39" s="137">
        <f>SUM(E14:E38)</f>
        <v>85</v>
      </c>
      <c r="F39" s="137"/>
      <c r="G39" s="137"/>
      <c r="H39" s="137"/>
      <c r="I39" s="137"/>
      <c r="J39" s="137"/>
      <c r="K39" s="137"/>
      <c r="L39" s="137"/>
      <c r="M39" s="137"/>
      <c r="N39" s="137">
        <f t="shared" ref="N39:AE39" si="11">SUM(N14:N38)</f>
        <v>56603541</v>
      </c>
      <c r="O39" s="137">
        <f t="shared" si="11"/>
        <v>43145100</v>
      </c>
      <c r="P39" s="137">
        <f t="shared" si="11"/>
        <v>2228530</v>
      </c>
      <c r="Q39" s="137">
        <f t="shared" si="11"/>
        <v>101977171</v>
      </c>
      <c r="R39" s="137">
        <f t="shared" si="11"/>
        <v>0</v>
      </c>
      <c r="S39" s="137">
        <f t="shared" si="11"/>
        <v>0</v>
      </c>
      <c r="T39" s="137">
        <f t="shared" si="11"/>
        <v>0</v>
      </c>
      <c r="U39" s="137">
        <f t="shared" si="11"/>
        <v>25200</v>
      </c>
      <c r="V39" s="137">
        <f t="shared" si="11"/>
        <v>28108</v>
      </c>
      <c r="W39" s="137">
        <f t="shared" si="11"/>
        <v>7070</v>
      </c>
      <c r="X39" s="137">
        <f t="shared" si="11"/>
        <v>0</v>
      </c>
      <c r="Y39" s="137">
        <f t="shared" si="11"/>
        <v>75.88</v>
      </c>
      <c r="Z39" s="137">
        <f t="shared" si="11"/>
        <v>11.65</v>
      </c>
      <c r="AA39" s="137">
        <f t="shared" si="11"/>
        <v>0</v>
      </c>
      <c r="AB39" s="137">
        <f t="shared" si="11"/>
        <v>0</v>
      </c>
      <c r="AC39" s="137">
        <f t="shared" si="11"/>
        <v>260251.8</v>
      </c>
      <c r="AD39" s="137">
        <f t="shared" si="11"/>
        <v>0</v>
      </c>
      <c r="AE39" s="137">
        <f t="shared" si="11"/>
        <v>0</v>
      </c>
      <c r="AF39" s="137">
        <f>SUM(AF14:AF38)</f>
        <v>0</v>
      </c>
      <c r="AG39" s="137">
        <f>SUM(AG14:AG38)</f>
        <v>0</v>
      </c>
      <c r="AH39" s="137">
        <f>SUM(AH14:AH38)</f>
        <v>0</v>
      </c>
      <c r="AI39" s="137">
        <f>SUM(AI14:AI38)</f>
        <v>0</v>
      </c>
      <c r="AJ39" s="137">
        <f>SUM(AJ14:AJ38)</f>
        <v>12806968</v>
      </c>
      <c r="AK39" s="137">
        <f>SUM(AK14:AK38)</f>
        <v>0</v>
      </c>
      <c r="AL39" s="137">
        <f>SUM(AL14:AL38)</f>
        <v>0</v>
      </c>
      <c r="AM39" s="137">
        <f>SUM(AM14:AM38)</f>
        <v>376000</v>
      </c>
      <c r="AN39" s="137">
        <f>SUM(AN14:AN38)</f>
        <v>57327296</v>
      </c>
      <c r="AO39" s="137">
        <f>SUM(AO14:AO38)</f>
        <v>62078076</v>
      </c>
      <c r="AP39" s="137">
        <f>SUM(AP14:AP38)</f>
        <v>-39899095</v>
      </c>
      <c r="AR39" s="1"/>
      <c r="AS39" s="1"/>
      <c r="AT39" s="1"/>
      <c r="AU39" s="1"/>
      <c r="AV39" s="1"/>
      <c r="AW39" s="1"/>
    </row>
    <row r="40" spans="1:49" ht="99" customHeight="1">
      <c r="A40" s="540">
        <v>1</v>
      </c>
      <c r="B40" s="859" t="s">
        <v>1205</v>
      </c>
      <c r="C40" s="859">
        <v>4</v>
      </c>
      <c r="D40" s="7" t="s">
        <v>195</v>
      </c>
      <c r="E40" s="39">
        <v>1</v>
      </c>
      <c r="F40" s="39">
        <v>2018</v>
      </c>
      <c r="G40" s="39" t="s">
        <v>1206</v>
      </c>
      <c r="H40" s="40" t="s">
        <v>60</v>
      </c>
      <c r="I40" s="39">
        <v>0</v>
      </c>
      <c r="J40" s="39">
        <v>0</v>
      </c>
      <c r="K40" s="39">
        <v>0</v>
      </c>
      <c r="L40" s="39" t="s">
        <v>1207</v>
      </c>
      <c r="M40" s="39">
        <v>0</v>
      </c>
      <c r="N40" s="41">
        <v>3665.3</v>
      </c>
      <c r="O40" s="41">
        <v>4325.8999999999996</v>
      </c>
      <c r="P40" s="47">
        <v>26</v>
      </c>
      <c r="Q40" s="42">
        <f>N40+O40+P40</f>
        <v>8017.2</v>
      </c>
      <c r="R40" s="43">
        <v>0</v>
      </c>
      <c r="S40" s="43">
        <v>0</v>
      </c>
      <c r="T40" s="43">
        <v>0</v>
      </c>
      <c r="U40" s="43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26.2</v>
      </c>
      <c r="AB40" s="39"/>
      <c r="AC40" s="39">
        <v>0</v>
      </c>
      <c r="AD40" s="39">
        <v>0</v>
      </c>
      <c r="AE40" s="39">
        <v>0</v>
      </c>
      <c r="AF40" s="39" t="s">
        <v>1208</v>
      </c>
      <c r="AG40" s="44">
        <v>0</v>
      </c>
      <c r="AH40" s="44">
        <v>0</v>
      </c>
      <c r="AI40" s="44">
        <v>0</v>
      </c>
      <c r="AJ40" s="44">
        <v>0</v>
      </c>
      <c r="AK40" s="45">
        <f>R40*Y40</f>
        <v>0</v>
      </c>
      <c r="AL40" s="45">
        <f t="shared" ref="AL40:AO43" si="12">S40*Z40</f>
        <v>0</v>
      </c>
      <c r="AM40" s="45">
        <f t="shared" si="12"/>
        <v>0</v>
      </c>
      <c r="AN40" s="1053">
        <v>504</v>
      </c>
      <c r="AO40" s="45">
        <f t="shared" si="12"/>
        <v>0</v>
      </c>
      <c r="AP40" s="60">
        <f>AO40-Q40</f>
        <v>-8017.2</v>
      </c>
      <c r="AQ40" s="1"/>
    </row>
    <row r="41" spans="1:49" ht="95.25" customHeight="1">
      <c r="A41" s="540">
        <v>2</v>
      </c>
      <c r="B41" s="866"/>
      <c r="C41" s="866"/>
      <c r="D41" s="7" t="s">
        <v>50</v>
      </c>
      <c r="E41" s="39">
        <v>1</v>
      </c>
      <c r="F41" s="39">
        <v>2018</v>
      </c>
      <c r="G41" s="39" t="s">
        <v>1209</v>
      </c>
      <c r="H41" s="40" t="s">
        <v>60</v>
      </c>
      <c r="I41" s="39">
        <v>0</v>
      </c>
      <c r="J41" s="39">
        <v>0</v>
      </c>
      <c r="K41" s="39">
        <v>0</v>
      </c>
      <c r="L41" s="39" t="s">
        <v>1207</v>
      </c>
      <c r="M41" s="39">
        <v>0</v>
      </c>
      <c r="N41" s="41">
        <v>2711.5</v>
      </c>
      <c r="O41" s="41">
        <v>449.8</v>
      </c>
      <c r="P41" s="47">
        <v>0</v>
      </c>
      <c r="Q41" s="42">
        <f t="shared" ref="Q41:Q43" si="13">N41+O41+P41</f>
        <v>3161.3</v>
      </c>
      <c r="R41" s="43">
        <v>0</v>
      </c>
      <c r="S41" s="43">
        <v>0</v>
      </c>
      <c r="T41" s="43">
        <v>0</v>
      </c>
      <c r="U41" s="43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85</v>
      </c>
      <c r="AB41" s="39"/>
      <c r="AC41" s="39">
        <v>0</v>
      </c>
      <c r="AD41" s="39">
        <v>0</v>
      </c>
      <c r="AE41" s="39">
        <v>0</v>
      </c>
      <c r="AF41" s="39">
        <v>0</v>
      </c>
      <c r="AG41" s="44">
        <v>0</v>
      </c>
      <c r="AH41" s="44">
        <v>0</v>
      </c>
      <c r="AI41" s="44">
        <v>0</v>
      </c>
      <c r="AJ41" s="44">
        <v>0</v>
      </c>
      <c r="AK41" s="45">
        <f t="shared" ref="AK41:AK43" si="14">R41*Y41</f>
        <v>0</v>
      </c>
      <c r="AL41" s="45">
        <f t="shared" si="12"/>
        <v>0</v>
      </c>
      <c r="AM41" s="45">
        <f t="shared" si="12"/>
        <v>0</v>
      </c>
      <c r="AN41" s="45">
        <f t="shared" si="12"/>
        <v>0</v>
      </c>
      <c r="AO41" s="45">
        <f t="shared" si="12"/>
        <v>0</v>
      </c>
      <c r="AP41" s="60">
        <f t="shared" ref="AP41:AP43" si="15">AO41-Q41</f>
        <v>-3161.3</v>
      </c>
      <c r="AQ41" s="1"/>
    </row>
    <row r="42" spans="1:49" ht="95.25" customHeight="1">
      <c r="A42" s="542">
        <v>3</v>
      </c>
      <c r="B42" s="866"/>
      <c r="C42" s="866"/>
      <c r="D42" s="65" t="s">
        <v>1210</v>
      </c>
      <c r="E42" s="65">
        <v>1</v>
      </c>
      <c r="F42" s="39">
        <v>2019</v>
      </c>
      <c r="G42" s="65" t="s">
        <v>1211</v>
      </c>
      <c r="H42" s="40" t="s">
        <v>60</v>
      </c>
      <c r="I42" s="65">
        <v>0</v>
      </c>
      <c r="J42" s="65">
        <v>0</v>
      </c>
      <c r="K42" s="65">
        <v>0</v>
      </c>
      <c r="L42" s="39" t="s">
        <v>1207</v>
      </c>
      <c r="M42" s="65">
        <v>0</v>
      </c>
      <c r="N42" s="67">
        <v>2471.9</v>
      </c>
      <c r="O42" s="67">
        <v>1583.8</v>
      </c>
      <c r="P42" s="309">
        <v>358</v>
      </c>
      <c r="Q42" s="42">
        <f t="shared" si="13"/>
        <v>4413.7</v>
      </c>
      <c r="R42" s="68">
        <v>0</v>
      </c>
      <c r="S42" s="68">
        <v>0</v>
      </c>
      <c r="T42" s="68">
        <v>0</v>
      </c>
      <c r="U42" s="68">
        <v>0</v>
      </c>
      <c r="V42" s="65">
        <v>0</v>
      </c>
      <c r="W42" s="65">
        <v>0</v>
      </c>
      <c r="X42" s="65">
        <v>0</v>
      </c>
      <c r="Y42" s="65">
        <v>0</v>
      </c>
      <c r="Z42" s="65">
        <v>0</v>
      </c>
      <c r="AA42" s="65">
        <v>2880</v>
      </c>
      <c r="AB42" s="39">
        <v>0</v>
      </c>
      <c r="AC42" s="39">
        <v>0</v>
      </c>
      <c r="AD42" s="39">
        <v>0</v>
      </c>
      <c r="AE42" s="39">
        <v>0</v>
      </c>
      <c r="AF42" s="39">
        <v>0</v>
      </c>
      <c r="AG42" s="44">
        <v>0</v>
      </c>
      <c r="AH42" s="44">
        <v>0</v>
      </c>
      <c r="AI42" s="44">
        <v>0</v>
      </c>
      <c r="AJ42" s="44">
        <v>0</v>
      </c>
      <c r="AK42" s="45">
        <f t="shared" si="14"/>
        <v>0</v>
      </c>
      <c r="AL42" s="45">
        <f t="shared" si="12"/>
        <v>0</v>
      </c>
      <c r="AM42" s="45">
        <f t="shared" si="12"/>
        <v>0</v>
      </c>
      <c r="AN42" s="45">
        <f t="shared" si="12"/>
        <v>0</v>
      </c>
      <c r="AO42" s="45">
        <f t="shared" si="12"/>
        <v>0</v>
      </c>
      <c r="AP42" s="60">
        <f t="shared" si="15"/>
        <v>-4413.7</v>
      </c>
      <c r="AQ42" s="1"/>
    </row>
    <row r="43" spans="1:49" ht="88.5" customHeight="1" thickBot="1">
      <c r="A43" s="542">
        <v>4</v>
      </c>
      <c r="B43" s="955"/>
      <c r="C43" s="955"/>
      <c r="D43" s="65" t="s">
        <v>1212</v>
      </c>
      <c r="E43" s="65">
        <v>2</v>
      </c>
      <c r="F43" s="39">
        <v>2018</v>
      </c>
      <c r="G43" s="65">
        <v>33098</v>
      </c>
      <c r="H43" s="40" t="s">
        <v>60</v>
      </c>
      <c r="I43" s="65">
        <v>0</v>
      </c>
      <c r="J43" s="65">
        <v>0</v>
      </c>
      <c r="K43" s="65">
        <v>0</v>
      </c>
      <c r="L43" s="39" t="s">
        <v>1207</v>
      </c>
      <c r="M43" s="65">
        <v>0</v>
      </c>
      <c r="N43" s="67">
        <v>5385.05</v>
      </c>
      <c r="O43" s="67">
        <v>3035</v>
      </c>
      <c r="P43" s="309">
        <v>346</v>
      </c>
      <c r="Q43" s="70">
        <f t="shared" si="13"/>
        <v>8766.0499999999993</v>
      </c>
      <c r="R43" s="68">
        <v>0</v>
      </c>
      <c r="S43" s="68">
        <v>0</v>
      </c>
      <c r="T43" s="68">
        <v>0</v>
      </c>
      <c r="U43" s="68">
        <v>0</v>
      </c>
      <c r="V43" s="65">
        <v>0</v>
      </c>
      <c r="W43" s="65">
        <v>0</v>
      </c>
      <c r="X43" s="65">
        <v>0</v>
      </c>
      <c r="Y43" s="65">
        <v>0</v>
      </c>
      <c r="Z43" s="65">
        <v>0</v>
      </c>
      <c r="AA43" s="65">
        <v>16054</v>
      </c>
      <c r="AB43" s="39">
        <v>0</v>
      </c>
      <c r="AC43" s="39">
        <v>0</v>
      </c>
      <c r="AD43" s="39">
        <v>0</v>
      </c>
      <c r="AE43" s="39">
        <v>0</v>
      </c>
      <c r="AF43" s="39">
        <v>0</v>
      </c>
      <c r="AG43" s="44">
        <v>0</v>
      </c>
      <c r="AH43" s="44">
        <v>0</v>
      </c>
      <c r="AI43" s="44">
        <v>0</v>
      </c>
      <c r="AJ43" s="44">
        <v>0</v>
      </c>
      <c r="AK43" s="71">
        <f t="shared" si="14"/>
        <v>0</v>
      </c>
      <c r="AL43" s="71">
        <f t="shared" si="12"/>
        <v>0</v>
      </c>
      <c r="AM43" s="71">
        <f t="shared" si="12"/>
        <v>0</v>
      </c>
      <c r="AN43" s="71">
        <f t="shared" si="12"/>
        <v>0</v>
      </c>
      <c r="AO43" s="71">
        <f t="shared" si="12"/>
        <v>0</v>
      </c>
      <c r="AP43" s="342">
        <f t="shared" si="15"/>
        <v>-8766.0499999999993</v>
      </c>
      <c r="AQ43" s="1"/>
    </row>
    <row r="44" spans="1:49" ht="45" customHeight="1" thickBot="1">
      <c r="A44" s="136"/>
      <c r="B44" s="137" t="s">
        <v>115</v>
      </c>
      <c r="C44" s="138">
        <f>SUM(C40:C43)</f>
        <v>4</v>
      </c>
      <c r="D44" s="138"/>
      <c r="E44" s="138">
        <f>SUM(E40:E43)</f>
        <v>5</v>
      </c>
      <c r="F44" s="137"/>
      <c r="G44" s="137"/>
      <c r="H44" s="137"/>
      <c r="I44" s="137"/>
      <c r="J44" s="137"/>
      <c r="K44" s="137"/>
      <c r="L44" s="137"/>
      <c r="M44" s="139"/>
      <c r="N44" s="140">
        <f t="shared" ref="N44:AP44" si="16">SUM(N40:N43)</f>
        <v>14233.75</v>
      </c>
      <c r="O44" s="141">
        <f t="shared" si="16"/>
        <v>9394.5</v>
      </c>
      <c r="P44" s="137">
        <f t="shared" si="16"/>
        <v>730</v>
      </c>
      <c r="Q44" s="137">
        <f t="shared" si="16"/>
        <v>24358.25</v>
      </c>
      <c r="R44" s="137">
        <f t="shared" si="16"/>
        <v>0</v>
      </c>
      <c r="S44" s="137">
        <f t="shared" si="16"/>
        <v>0</v>
      </c>
      <c r="T44" s="137">
        <f t="shared" si="16"/>
        <v>0</v>
      </c>
      <c r="U44" s="137">
        <f t="shared" si="16"/>
        <v>0</v>
      </c>
      <c r="V44" s="137">
        <f t="shared" si="16"/>
        <v>0</v>
      </c>
      <c r="W44" s="137">
        <f t="shared" si="16"/>
        <v>0</v>
      </c>
      <c r="X44" s="137">
        <f t="shared" si="16"/>
        <v>0</v>
      </c>
      <c r="Y44" s="137">
        <f t="shared" si="16"/>
        <v>0</v>
      </c>
      <c r="Z44" s="137">
        <f t="shared" si="16"/>
        <v>0</v>
      </c>
      <c r="AA44" s="137">
        <f t="shared" si="16"/>
        <v>19045.2</v>
      </c>
      <c r="AB44" s="137">
        <f t="shared" si="16"/>
        <v>0</v>
      </c>
      <c r="AC44" s="137">
        <f t="shared" si="16"/>
        <v>0</v>
      </c>
      <c r="AD44" s="137">
        <f t="shared" si="16"/>
        <v>0</v>
      </c>
      <c r="AE44" s="137">
        <f t="shared" si="16"/>
        <v>0</v>
      </c>
      <c r="AF44" s="137">
        <f t="shared" si="16"/>
        <v>0</v>
      </c>
      <c r="AG44" s="137">
        <f t="shared" si="16"/>
        <v>0</v>
      </c>
      <c r="AH44" s="137">
        <f t="shared" si="16"/>
        <v>0</v>
      </c>
      <c r="AI44" s="137">
        <f t="shared" si="16"/>
        <v>0</v>
      </c>
      <c r="AJ44" s="137">
        <f t="shared" si="16"/>
        <v>0</v>
      </c>
      <c r="AK44" s="137">
        <f t="shared" si="16"/>
        <v>0</v>
      </c>
      <c r="AL44" s="137">
        <f t="shared" si="16"/>
        <v>0</v>
      </c>
      <c r="AM44" s="137">
        <f t="shared" si="16"/>
        <v>0</v>
      </c>
      <c r="AN44" s="137">
        <f t="shared" si="16"/>
        <v>504</v>
      </c>
      <c r="AO44" s="137">
        <f t="shared" si="16"/>
        <v>0</v>
      </c>
      <c r="AP44" s="211">
        <f t="shared" si="16"/>
        <v>-24358.25</v>
      </c>
      <c r="AQ44" s="1"/>
    </row>
    <row r="45" spans="1:49" ht="36" customHeight="1">
      <c r="A45" s="540">
        <v>1</v>
      </c>
      <c r="B45" s="865" t="s">
        <v>1213</v>
      </c>
      <c r="C45" s="865">
        <v>24</v>
      </c>
      <c r="D45" s="53" t="s">
        <v>497</v>
      </c>
      <c r="E45" s="52">
        <v>1</v>
      </c>
      <c r="F45" s="75">
        <v>43819</v>
      </c>
      <c r="G45" s="52" t="s">
        <v>1214</v>
      </c>
      <c r="H45" s="54" t="s">
        <v>60</v>
      </c>
      <c r="I45" s="52" t="s">
        <v>1215</v>
      </c>
      <c r="J45" s="52"/>
      <c r="K45" s="52"/>
      <c r="L45" s="52"/>
      <c r="M45" s="52"/>
      <c r="N45" s="55"/>
      <c r="O45" s="55">
        <v>1639575</v>
      </c>
      <c r="P45" s="55">
        <v>1005500</v>
      </c>
      <c r="Q45" s="56">
        <f>N45+O45+P45</f>
        <v>2645075</v>
      </c>
      <c r="R45" s="1054"/>
      <c r="S45" s="1054"/>
      <c r="T45" s="57"/>
      <c r="U45" s="57">
        <v>5500</v>
      </c>
      <c r="V45" s="52"/>
      <c r="W45" s="52"/>
      <c r="X45" s="52"/>
      <c r="Y45" s="52"/>
      <c r="Z45" s="52"/>
      <c r="AA45" s="52"/>
      <c r="AB45" s="52">
        <v>40</v>
      </c>
      <c r="AC45" s="52"/>
      <c r="AD45" s="52"/>
      <c r="AE45" s="52"/>
      <c r="AF45" s="52"/>
      <c r="AG45" s="58"/>
      <c r="AH45" s="58"/>
      <c r="AI45" s="58"/>
      <c r="AJ45" s="58">
        <v>220000</v>
      </c>
      <c r="AK45" s="59">
        <f>R45*Y45</f>
        <v>0</v>
      </c>
      <c r="AL45" s="59">
        <f t="shared" ref="AL45:AN56" si="17">S45*Z45</f>
        <v>0</v>
      </c>
      <c r="AM45" s="59">
        <f t="shared" si="17"/>
        <v>0</v>
      </c>
      <c r="AN45" s="59">
        <f t="shared" si="17"/>
        <v>220000</v>
      </c>
      <c r="AO45" s="13">
        <f>AK45+AL45+AM45+AN45</f>
        <v>220000</v>
      </c>
      <c r="AP45" s="60">
        <f>AO45-Q45</f>
        <v>-2425075</v>
      </c>
      <c r="AQ45" s="1"/>
    </row>
    <row r="46" spans="1:49" ht="31.5" customHeight="1">
      <c r="A46" s="540">
        <v>2</v>
      </c>
      <c r="B46" s="866"/>
      <c r="C46" s="866"/>
      <c r="D46" s="53" t="s">
        <v>1216</v>
      </c>
      <c r="E46" s="52">
        <v>1</v>
      </c>
      <c r="F46" s="75">
        <v>43741</v>
      </c>
      <c r="G46" s="52" t="s">
        <v>1217</v>
      </c>
      <c r="H46" s="54" t="s">
        <v>60</v>
      </c>
      <c r="I46" s="52"/>
      <c r="J46" s="52"/>
      <c r="K46" s="52"/>
      <c r="L46" s="52"/>
      <c r="M46" s="52"/>
      <c r="N46" s="55"/>
      <c r="O46" s="55">
        <v>6199200</v>
      </c>
      <c r="P46" s="55">
        <v>189000</v>
      </c>
      <c r="Q46" s="56">
        <f t="shared" ref="Q46:Q51" si="18">N46+O46+P46</f>
        <v>6388200</v>
      </c>
      <c r="R46" s="1054"/>
      <c r="S46" s="1054"/>
      <c r="T46" s="57"/>
      <c r="U46" s="1054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8"/>
      <c r="AH46" s="58"/>
      <c r="AI46" s="58"/>
      <c r="AJ46" s="58"/>
      <c r="AK46" s="59">
        <f t="shared" ref="AK46:AK56" si="19">R46*Y46</f>
        <v>0</v>
      </c>
      <c r="AL46" s="59">
        <f t="shared" si="17"/>
        <v>0</v>
      </c>
      <c r="AM46" s="59">
        <f t="shared" si="17"/>
        <v>0</v>
      </c>
      <c r="AN46" s="59">
        <f t="shared" si="17"/>
        <v>0</v>
      </c>
      <c r="AO46" s="13">
        <f t="shared" ref="AO46:AO56" si="20">AK46+AL46+AM46+AN46</f>
        <v>0</v>
      </c>
      <c r="AP46" s="60">
        <f t="shared" ref="AP46:AP56" si="21">AO46-Q46</f>
        <v>-6388200</v>
      </c>
      <c r="AQ46" s="1"/>
    </row>
    <row r="47" spans="1:49" ht="30" customHeight="1">
      <c r="A47" s="542">
        <v>3</v>
      </c>
      <c r="B47" s="866"/>
      <c r="C47" s="866"/>
      <c r="D47" s="604" t="s">
        <v>1080</v>
      </c>
      <c r="E47" s="112">
        <v>1</v>
      </c>
      <c r="F47" s="766">
        <v>43781</v>
      </c>
      <c r="G47" s="52" t="s">
        <v>1218</v>
      </c>
      <c r="H47" s="1030" t="s">
        <v>60</v>
      </c>
      <c r="I47" s="112"/>
      <c r="J47" s="205"/>
      <c r="K47" s="52"/>
      <c r="L47" s="112"/>
      <c r="M47" s="112"/>
      <c r="N47" s="113"/>
      <c r="O47" s="113">
        <v>0</v>
      </c>
      <c r="P47" s="113">
        <v>66000</v>
      </c>
      <c r="Q47" s="56">
        <f t="shared" si="18"/>
        <v>66000</v>
      </c>
      <c r="R47" s="1054"/>
      <c r="S47" s="1054"/>
      <c r="T47" s="57"/>
      <c r="U47" s="57">
        <v>8000</v>
      </c>
      <c r="V47" s="52"/>
      <c r="W47" s="112"/>
      <c r="X47" s="112"/>
      <c r="Y47" s="112"/>
      <c r="Z47" s="112"/>
      <c r="AA47" s="112"/>
      <c r="AB47" s="52"/>
      <c r="AC47" s="112"/>
      <c r="AD47" s="112"/>
      <c r="AE47" s="112"/>
      <c r="AF47" s="112"/>
      <c r="AG47" s="115"/>
      <c r="AH47" s="115"/>
      <c r="AI47" s="115"/>
      <c r="AJ47" s="115"/>
      <c r="AK47" s="59">
        <f t="shared" si="19"/>
        <v>0</v>
      </c>
      <c r="AL47" s="59">
        <f t="shared" si="17"/>
        <v>0</v>
      </c>
      <c r="AM47" s="59">
        <f t="shared" si="17"/>
        <v>0</v>
      </c>
      <c r="AN47" s="59">
        <f t="shared" si="17"/>
        <v>0</v>
      </c>
      <c r="AO47" s="13">
        <f t="shared" si="20"/>
        <v>0</v>
      </c>
      <c r="AP47" s="60">
        <f t="shared" si="21"/>
        <v>-66000</v>
      </c>
      <c r="AQ47" s="1"/>
    </row>
    <row r="48" spans="1:49" ht="24.75" customHeight="1">
      <c r="A48" s="540">
        <v>4</v>
      </c>
      <c r="B48" s="866"/>
      <c r="C48" s="866"/>
      <c r="D48" s="604" t="s">
        <v>50</v>
      </c>
      <c r="E48" s="112">
        <v>1</v>
      </c>
      <c r="F48" s="766">
        <v>43781</v>
      </c>
      <c r="G48" s="1055" t="s">
        <v>1219</v>
      </c>
      <c r="H48" s="1030" t="s">
        <v>60</v>
      </c>
      <c r="I48" s="112"/>
      <c r="J48" s="205"/>
      <c r="K48" s="112"/>
      <c r="L48" s="112"/>
      <c r="M48" s="112"/>
      <c r="N48" s="113"/>
      <c r="O48" s="113">
        <v>2291625</v>
      </c>
      <c r="P48" s="113">
        <v>1855500</v>
      </c>
      <c r="Q48" s="56">
        <f t="shared" si="18"/>
        <v>4147125</v>
      </c>
      <c r="R48" s="1054"/>
      <c r="S48" s="1054"/>
      <c r="T48" s="57"/>
      <c r="U48" s="57">
        <v>20000</v>
      </c>
      <c r="V48" s="5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5"/>
      <c r="AH48" s="115"/>
      <c r="AI48" s="115"/>
      <c r="AJ48" s="115"/>
      <c r="AK48" s="59">
        <f t="shared" si="19"/>
        <v>0</v>
      </c>
      <c r="AL48" s="59">
        <f t="shared" si="17"/>
        <v>0</v>
      </c>
      <c r="AM48" s="59">
        <f t="shared" si="17"/>
        <v>0</v>
      </c>
      <c r="AN48" s="59">
        <f t="shared" si="17"/>
        <v>0</v>
      </c>
      <c r="AO48" s="13">
        <f t="shared" si="20"/>
        <v>0</v>
      </c>
      <c r="AP48" s="60">
        <f t="shared" si="21"/>
        <v>-4147125</v>
      </c>
      <c r="AQ48" s="1"/>
    </row>
    <row r="49" spans="1:43" ht="23.25" customHeight="1">
      <c r="A49" s="540">
        <v>5</v>
      </c>
      <c r="B49" s="866"/>
      <c r="C49" s="866"/>
      <c r="D49" s="112" t="s">
        <v>48</v>
      </c>
      <c r="E49" s="112">
        <v>1</v>
      </c>
      <c r="F49" s="766">
        <v>43781</v>
      </c>
      <c r="G49" s="112" t="s">
        <v>141</v>
      </c>
      <c r="H49" s="1030" t="s">
        <v>60</v>
      </c>
      <c r="I49" s="52"/>
      <c r="J49" s="149"/>
      <c r="K49" s="112"/>
      <c r="L49" s="112"/>
      <c r="M49" s="112"/>
      <c r="N49" s="113"/>
      <c r="O49" s="113">
        <v>3416175</v>
      </c>
      <c r="P49" s="113">
        <v>1591500</v>
      </c>
      <c r="Q49" s="630">
        <f t="shared" si="18"/>
        <v>5007675</v>
      </c>
      <c r="R49" s="1054"/>
      <c r="S49" s="1054"/>
      <c r="T49" s="57"/>
      <c r="U49" s="57">
        <v>15000</v>
      </c>
      <c r="V49" s="5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5"/>
      <c r="AH49" s="115"/>
      <c r="AI49" s="115"/>
      <c r="AJ49" s="115"/>
      <c r="AK49" s="59">
        <f t="shared" si="19"/>
        <v>0</v>
      </c>
      <c r="AL49" s="59">
        <f t="shared" si="17"/>
        <v>0</v>
      </c>
      <c r="AM49" s="59">
        <f t="shared" si="17"/>
        <v>0</v>
      </c>
      <c r="AN49" s="59">
        <f t="shared" si="17"/>
        <v>0</v>
      </c>
      <c r="AO49" s="13">
        <f t="shared" si="20"/>
        <v>0</v>
      </c>
      <c r="AP49" s="60">
        <f t="shared" si="21"/>
        <v>-5007675</v>
      </c>
      <c r="AQ49" s="1"/>
    </row>
    <row r="50" spans="1:43" ht="46.5" customHeight="1">
      <c r="A50" s="542">
        <v>6</v>
      </c>
      <c r="B50" s="866"/>
      <c r="C50" s="866"/>
      <c r="D50" s="53" t="s">
        <v>1220</v>
      </c>
      <c r="E50" s="52">
        <v>1</v>
      </c>
      <c r="F50" s="52" t="s">
        <v>1221</v>
      </c>
      <c r="G50" s="7" t="s">
        <v>1222</v>
      </c>
      <c r="H50" s="54" t="s">
        <v>60</v>
      </c>
      <c r="I50" s="52"/>
      <c r="J50" s="52"/>
      <c r="K50" s="52"/>
      <c r="L50" s="52"/>
      <c r="M50" s="1056"/>
      <c r="N50" s="55"/>
      <c r="O50" s="55">
        <v>324950</v>
      </c>
      <c r="P50" s="55">
        <v>368000</v>
      </c>
      <c r="Q50" s="56">
        <f>N50+O50+P50</f>
        <v>692950</v>
      </c>
      <c r="R50" s="57"/>
      <c r="S50" s="57"/>
      <c r="T50" s="57"/>
      <c r="U50" s="57">
        <v>11500</v>
      </c>
      <c r="V50" s="52"/>
      <c r="W50" s="52"/>
      <c r="X50" s="52"/>
      <c r="Y50" s="52"/>
      <c r="Z50" s="112"/>
      <c r="AA50" s="112"/>
      <c r="AB50" s="52"/>
      <c r="AC50" s="52"/>
      <c r="AD50" s="52"/>
      <c r="AE50" s="52"/>
      <c r="AF50" s="52"/>
      <c r="AG50" s="58"/>
      <c r="AH50" s="58"/>
      <c r="AI50" s="58"/>
      <c r="AJ50" s="58"/>
      <c r="AK50" s="59">
        <f t="shared" si="19"/>
        <v>0</v>
      </c>
      <c r="AL50" s="59">
        <f t="shared" si="17"/>
        <v>0</v>
      </c>
      <c r="AM50" s="59">
        <f t="shared" si="17"/>
        <v>0</v>
      </c>
      <c r="AN50" s="59">
        <f t="shared" si="17"/>
        <v>0</v>
      </c>
      <c r="AO50" s="13">
        <f t="shared" si="20"/>
        <v>0</v>
      </c>
      <c r="AP50" s="60">
        <f t="shared" si="21"/>
        <v>-692950</v>
      </c>
      <c r="AQ50" s="1037"/>
    </row>
    <row r="51" spans="1:43" ht="25.5" customHeight="1">
      <c r="A51" s="540">
        <v>7</v>
      </c>
      <c r="B51" s="866"/>
      <c r="C51" s="866"/>
      <c r="D51" s="604" t="s">
        <v>50</v>
      </c>
      <c r="E51" s="112">
        <v>1</v>
      </c>
      <c r="F51" s="766" t="s">
        <v>1223</v>
      </c>
      <c r="G51" s="112" t="s">
        <v>1224</v>
      </c>
      <c r="H51" s="1030" t="s">
        <v>60</v>
      </c>
      <c r="I51" s="112"/>
      <c r="J51" s="205"/>
      <c r="K51" s="112"/>
      <c r="L51" s="112"/>
      <c r="M51" s="112"/>
      <c r="N51" s="113"/>
      <c r="O51" s="113">
        <v>1535625</v>
      </c>
      <c r="P51" s="113">
        <v>483600</v>
      </c>
      <c r="Q51" s="56">
        <f t="shared" si="18"/>
        <v>2019225</v>
      </c>
      <c r="R51" s="1054"/>
      <c r="S51" s="1054"/>
      <c r="T51" s="57"/>
      <c r="U51" s="57">
        <v>20000</v>
      </c>
      <c r="V51" s="5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5"/>
      <c r="AH51" s="115"/>
      <c r="AI51" s="115"/>
      <c r="AJ51" s="115"/>
      <c r="AK51" s="59">
        <f t="shared" si="19"/>
        <v>0</v>
      </c>
      <c r="AL51" s="59">
        <f t="shared" si="17"/>
        <v>0</v>
      </c>
      <c r="AM51" s="59">
        <f t="shared" si="17"/>
        <v>0</v>
      </c>
      <c r="AN51" s="59">
        <f t="shared" si="17"/>
        <v>0</v>
      </c>
      <c r="AO51" s="13">
        <f t="shared" si="20"/>
        <v>0</v>
      </c>
      <c r="AP51" s="60">
        <f t="shared" si="21"/>
        <v>-2019225</v>
      </c>
      <c r="AQ51" s="1"/>
    </row>
    <row r="52" spans="1:43" ht="23.25" customHeight="1">
      <c r="A52" s="540">
        <v>8</v>
      </c>
      <c r="B52" s="866"/>
      <c r="C52" s="866"/>
      <c r="D52" s="112" t="s">
        <v>48</v>
      </c>
      <c r="E52" s="112">
        <v>1</v>
      </c>
      <c r="F52" s="766" t="s">
        <v>1225</v>
      </c>
      <c r="G52" s="112" t="s">
        <v>1226</v>
      </c>
      <c r="H52" s="1030" t="s">
        <v>60</v>
      </c>
      <c r="I52" s="112"/>
      <c r="J52" s="149"/>
      <c r="K52" s="112"/>
      <c r="L52" s="112"/>
      <c r="M52" s="112"/>
      <c r="N52" s="113"/>
      <c r="O52" s="113">
        <v>2050650</v>
      </c>
      <c r="P52" s="113">
        <v>1358000</v>
      </c>
      <c r="Q52" s="630">
        <f>N52+O52+P52</f>
        <v>3408650</v>
      </c>
      <c r="R52" s="1054"/>
      <c r="S52" s="1054"/>
      <c r="T52" s="57"/>
      <c r="U52" s="57">
        <v>15000</v>
      </c>
      <c r="V52" s="5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5"/>
      <c r="AH52" s="115"/>
      <c r="AI52" s="115"/>
      <c r="AJ52" s="115"/>
      <c r="AK52" s="59">
        <f t="shared" si="19"/>
        <v>0</v>
      </c>
      <c r="AL52" s="59">
        <f t="shared" si="17"/>
        <v>0</v>
      </c>
      <c r="AM52" s="59">
        <f t="shared" si="17"/>
        <v>0</v>
      </c>
      <c r="AN52" s="59">
        <f t="shared" si="17"/>
        <v>0</v>
      </c>
      <c r="AO52" s="13">
        <f t="shared" si="20"/>
        <v>0</v>
      </c>
      <c r="AP52" s="60">
        <f t="shared" si="21"/>
        <v>-3408650</v>
      </c>
      <c r="AQ52" s="1"/>
    </row>
    <row r="53" spans="1:43" ht="54.75" customHeight="1">
      <c r="A53" s="542">
        <v>9</v>
      </c>
      <c r="B53" s="866"/>
      <c r="C53" s="866"/>
      <c r="D53" s="53" t="s">
        <v>1227</v>
      </c>
      <c r="E53" s="52">
        <v>1</v>
      </c>
      <c r="F53" s="7" t="s">
        <v>1228</v>
      </c>
      <c r="G53" s="53" t="s">
        <v>1229</v>
      </c>
      <c r="H53" s="54" t="s">
        <v>60</v>
      </c>
      <c r="I53" s="52"/>
      <c r="J53" s="52"/>
      <c r="K53" s="52"/>
      <c r="L53" s="52"/>
      <c r="M53" s="52"/>
      <c r="N53" s="55"/>
      <c r="O53" s="55"/>
      <c r="P53" s="55"/>
      <c r="Q53" s="56"/>
      <c r="R53" s="57"/>
      <c r="S53" s="57"/>
      <c r="T53" s="57"/>
      <c r="U53" s="57"/>
      <c r="V53" s="52"/>
      <c r="W53" s="52"/>
      <c r="X53" s="52"/>
      <c r="Y53" s="52"/>
      <c r="Z53" s="112"/>
      <c r="AA53" s="112"/>
      <c r="AB53" s="52"/>
      <c r="AC53" s="52"/>
      <c r="AD53" s="52"/>
      <c r="AE53" s="52"/>
      <c r="AF53" s="52"/>
      <c r="AG53" s="58"/>
      <c r="AH53" s="58"/>
      <c r="AI53" s="58"/>
      <c r="AJ53" s="58"/>
      <c r="AK53" s="59">
        <f t="shared" si="19"/>
        <v>0</v>
      </c>
      <c r="AL53" s="59">
        <f t="shared" si="17"/>
        <v>0</v>
      </c>
      <c r="AM53" s="59">
        <f t="shared" si="17"/>
        <v>0</v>
      </c>
      <c r="AN53" s="59">
        <f t="shared" si="17"/>
        <v>0</v>
      </c>
      <c r="AO53" s="13">
        <f t="shared" si="20"/>
        <v>0</v>
      </c>
      <c r="AP53" s="60">
        <f t="shared" si="21"/>
        <v>0</v>
      </c>
      <c r="AQ53" s="1037"/>
    </row>
    <row r="54" spans="1:43" ht="27" customHeight="1">
      <c r="A54" s="540">
        <v>10</v>
      </c>
      <c r="B54" s="866"/>
      <c r="C54" s="866"/>
      <c r="D54" s="112" t="s">
        <v>48</v>
      </c>
      <c r="E54" s="112">
        <v>1</v>
      </c>
      <c r="F54" s="766">
        <v>43781</v>
      </c>
      <c r="G54" s="112" t="s">
        <v>1230</v>
      </c>
      <c r="H54" s="1030" t="s">
        <v>60</v>
      </c>
      <c r="I54" s="52"/>
      <c r="J54" s="149"/>
      <c r="K54" s="112"/>
      <c r="L54" s="112"/>
      <c r="M54" s="112"/>
      <c r="N54" s="113"/>
      <c r="O54" s="113">
        <v>1979775</v>
      </c>
      <c r="P54" s="113">
        <v>701320</v>
      </c>
      <c r="Q54" s="630">
        <f t="shared" ref="Q54" si="22">N54+O54+P54</f>
        <v>2681095</v>
      </c>
      <c r="R54" s="1054"/>
      <c r="S54" s="1054"/>
      <c r="T54" s="57"/>
      <c r="U54" s="57">
        <v>15000</v>
      </c>
      <c r="V54" s="5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5"/>
      <c r="AH54" s="115"/>
      <c r="AI54" s="115"/>
      <c r="AJ54" s="115"/>
      <c r="AK54" s="59">
        <f t="shared" si="19"/>
        <v>0</v>
      </c>
      <c r="AL54" s="59">
        <f t="shared" si="17"/>
        <v>0</v>
      </c>
      <c r="AM54" s="59">
        <f t="shared" si="17"/>
        <v>0</v>
      </c>
      <c r="AN54" s="59">
        <f t="shared" si="17"/>
        <v>0</v>
      </c>
      <c r="AO54" s="13">
        <f t="shared" si="20"/>
        <v>0</v>
      </c>
      <c r="AP54" s="60">
        <f t="shared" si="21"/>
        <v>-2681095</v>
      </c>
      <c r="AQ54" s="1"/>
    </row>
    <row r="55" spans="1:43" ht="27.75" customHeight="1">
      <c r="A55" s="540">
        <v>11</v>
      </c>
      <c r="B55" s="866"/>
      <c r="C55" s="866"/>
      <c r="D55" s="53" t="s">
        <v>1231</v>
      </c>
      <c r="E55" s="52">
        <v>1</v>
      </c>
      <c r="F55" s="766" t="s">
        <v>1232</v>
      </c>
      <c r="G55" s="53" t="s">
        <v>1233</v>
      </c>
      <c r="H55" s="1030" t="s">
        <v>60</v>
      </c>
      <c r="I55" s="52"/>
      <c r="J55" s="52"/>
      <c r="K55" s="52"/>
      <c r="L55" s="52"/>
      <c r="M55" s="52"/>
      <c r="N55" s="55"/>
      <c r="O55" s="55"/>
      <c r="P55" s="55"/>
      <c r="Q55" s="56"/>
      <c r="R55" s="57"/>
      <c r="S55" s="57"/>
      <c r="T55" s="57"/>
      <c r="U55" s="57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8"/>
      <c r="AH55" s="58"/>
      <c r="AI55" s="58"/>
      <c r="AJ55" s="58"/>
      <c r="AK55" s="59">
        <f t="shared" si="19"/>
        <v>0</v>
      </c>
      <c r="AL55" s="59">
        <f t="shared" si="17"/>
        <v>0</v>
      </c>
      <c r="AM55" s="59">
        <f t="shared" si="17"/>
        <v>0</v>
      </c>
      <c r="AN55" s="59">
        <f t="shared" si="17"/>
        <v>0</v>
      </c>
      <c r="AO55" s="13">
        <f t="shared" si="20"/>
        <v>0</v>
      </c>
      <c r="AP55" s="60">
        <f t="shared" si="21"/>
        <v>0</v>
      </c>
      <c r="AQ55" s="7"/>
    </row>
    <row r="56" spans="1:43" ht="33" customHeight="1" thickBot="1">
      <c r="A56" s="542">
        <v>12</v>
      </c>
      <c r="B56" s="955"/>
      <c r="C56" s="955"/>
      <c r="D56" s="53" t="s">
        <v>297</v>
      </c>
      <c r="E56" s="52">
        <v>2</v>
      </c>
      <c r="F56" s="766" t="s">
        <v>1232</v>
      </c>
      <c r="G56" s="53" t="s">
        <v>297</v>
      </c>
      <c r="H56" s="1030" t="s">
        <v>60</v>
      </c>
      <c r="I56" s="52"/>
      <c r="J56" s="52"/>
      <c r="K56" s="52"/>
      <c r="L56" s="52"/>
      <c r="M56" s="52"/>
      <c r="N56" s="55"/>
      <c r="O56" s="55"/>
      <c r="P56" s="55"/>
      <c r="Q56" s="56"/>
      <c r="R56" s="57"/>
      <c r="S56" s="57"/>
      <c r="T56" s="57"/>
      <c r="U56" s="57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8"/>
      <c r="AH56" s="58"/>
      <c r="AI56" s="58"/>
      <c r="AJ56" s="58"/>
      <c r="AK56" s="59">
        <f t="shared" si="19"/>
        <v>0</v>
      </c>
      <c r="AL56" s="59">
        <f t="shared" si="17"/>
        <v>0</v>
      </c>
      <c r="AM56" s="59">
        <f t="shared" si="17"/>
        <v>0</v>
      </c>
      <c r="AN56" s="59">
        <f t="shared" si="17"/>
        <v>0</v>
      </c>
      <c r="AO56" s="13">
        <f t="shared" si="20"/>
        <v>0</v>
      </c>
      <c r="AP56" s="60">
        <f t="shared" si="21"/>
        <v>0</v>
      </c>
      <c r="AQ56" s="7"/>
    </row>
    <row r="57" spans="1:43" ht="45" customHeight="1" thickBot="1">
      <c r="A57" s="136"/>
      <c r="B57" s="137" t="s">
        <v>115</v>
      </c>
      <c r="C57" s="137">
        <f>SUM(C45:C54)</f>
        <v>24</v>
      </c>
      <c r="D57" s="137"/>
      <c r="E57" s="137">
        <f>SUM(E45:E54)</f>
        <v>10</v>
      </c>
      <c r="F57" s="137"/>
      <c r="G57" s="137"/>
      <c r="H57" s="137"/>
      <c r="I57" s="194"/>
      <c r="J57" s="194"/>
      <c r="K57" s="137"/>
      <c r="L57" s="137"/>
      <c r="M57" s="139"/>
      <c r="N57" s="140">
        <f t="shared" ref="N57:U57" si="23">SUM(N45:N54)</f>
        <v>0</v>
      </c>
      <c r="O57" s="141">
        <f t="shared" si="23"/>
        <v>19437575</v>
      </c>
      <c r="P57" s="137">
        <f t="shared" si="23"/>
        <v>7618420</v>
      </c>
      <c r="Q57" s="137">
        <f t="shared" si="23"/>
        <v>27055995</v>
      </c>
      <c r="R57" s="137">
        <f t="shared" si="23"/>
        <v>0</v>
      </c>
      <c r="S57" s="137">
        <f t="shared" si="23"/>
        <v>0</v>
      </c>
      <c r="T57" s="137">
        <f t="shared" si="23"/>
        <v>0</v>
      </c>
      <c r="U57" s="137">
        <f t="shared" si="23"/>
        <v>110000</v>
      </c>
      <c r="V57" s="137">
        <v>16087</v>
      </c>
      <c r="W57" s="137">
        <f t="shared" ref="W57:AP57" si="24">SUM(W45:W54)</f>
        <v>0</v>
      </c>
      <c r="X57" s="137">
        <f t="shared" si="24"/>
        <v>0</v>
      </c>
      <c r="Y57" s="137">
        <f t="shared" si="24"/>
        <v>0</v>
      </c>
      <c r="Z57" s="137">
        <f t="shared" si="24"/>
        <v>0</v>
      </c>
      <c r="AA57" s="137">
        <f t="shared" si="24"/>
        <v>0</v>
      </c>
      <c r="AB57" s="137">
        <f t="shared" si="24"/>
        <v>40</v>
      </c>
      <c r="AC57" s="137">
        <f t="shared" si="24"/>
        <v>0</v>
      </c>
      <c r="AD57" s="137">
        <f t="shared" si="24"/>
        <v>0</v>
      </c>
      <c r="AE57" s="137">
        <f t="shared" si="24"/>
        <v>0</v>
      </c>
      <c r="AF57" s="137">
        <f t="shared" si="24"/>
        <v>0</v>
      </c>
      <c r="AG57" s="137">
        <f t="shared" si="24"/>
        <v>0</v>
      </c>
      <c r="AH57" s="137">
        <f t="shared" si="24"/>
        <v>0</v>
      </c>
      <c r="AI57" s="137">
        <f t="shared" si="24"/>
        <v>0</v>
      </c>
      <c r="AJ57" s="137">
        <f t="shared" si="24"/>
        <v>220000</v>
      </c>
      <c r="AK57" s="137">
        <f t="shared" si="24"/>
        <v>0</v>
      </c>
      <c r="AL57" s="137">
        <f t="shared" si="24"/>
        <v>0</v>
      </c>
      <c r="AM57" s="137">
        <f t="shared" si="24"/>
        <v>0</v>
      </c>
      <c r="AN57" s="137">
        <f t="shared" si="24"/>
        <v>220000</v>
      </c>
      <c r="AO57" s="137">
        <f t="shared" si="24"/>
        <v>220000</v>
      </c>
      <c r="AP57" s="211">
        <f t="shared" si="24"/>
        <v>-26835995</v>
      </c>
      <c r="AQ57" s="1"/>
    </row>
    <row r="58" spans="1:43" ht="39.75" customHeight="1">
      <c r="A58" s="1057">
        <v>1</v>
      </c>
      <c r="B58" s="859" t="s">
        <v>1234</v>
      </c>
      <c r="C58" s="859">
        <v>21</v>
      </c>
      <c r="D58" s="1058" t="s">
        <v>616</v>
      </c>
      <c r="E58" s="98">
        <v>1</v>
      </c>
      <c r="F58" s="29" t="s">
        <v>1235</v>
      </c>
      <c r="G58" s="29" t="s">
        <v>1236</v>
      </c>
      <c r="H58" s="99" t="s">
        <v>1237</v>
      </c>
      <c r="I58" s="98"/>
      <c r="J58" s="29"/>
      <c r="K58" s="98"/>
      <c r="L58" s="29"/>
      <c r="M58" s="98"/>
      <c r="N58" s="100"/>
      <c r="O58" s="101"/>
      <c r="P58" s="100"/>
      <c r="Q58" s="630">
        <f t="shared" ref="Q58:Q90" si="25">N58+O58+P58</f>
        <v>0</v>
      </c>
      <c r="R58" s="103"/>
      <c r="S58" s="104"/>
      <c r="T58" s="103"/>
      <c r="U58" s="104"/>
      <c r="V58" s="29"/>
      <c r="W58" s="98"/>
      <c r="X58" s="29"/>
      <c r="Y58" s="98"/>
      <c r="Z58" s="29"/>
      <c r="AA58" s="98"/>
      <c r="AB58" s="29"/>
      <c r="AC58" s="98"/>
      <c r="AD58" s="29"/>
      <c r="AE58" s="98"/>
      <c r="AF58" s="29"/>
      <c r="AG58" s="105"/>
      <c r="AH58" s="106"/>
      <c r="AI58" s="105"/>
      <c r="AJ58" s="106"/>
      <c r="AK58" s="107"/>
      <c r="AL58" s="108"/>
      <c r="AM58" s="107"/>
      <c r="AN58" s="108"/>
      <c r="AO58" s="109"/>
      <c r="AP58" s="110"/>
      <c r="AQ58" s="2"/>
    </row>
    <row r="59" spans="1:43" ht="27.75" customHeight="1">
      <c r="A59" s="842"/>
      <c r="B59" s="866"/>
      <c r="C59" s="866"/>
      <c r="D59" s="1058" t="s">
        <v>616</v>
      </c>
      <c r="E59" s="98">
        <v>1</v>
      </c>
      <c r="F59" s="29" t="s">
        <v>1238</v>
      </c>
      <c r="G59" s="98" t="s">
        <v>1239</v>
      </c>
      <c r="H59" s="99" t="s">
        <v>1237</v>
      </c>
      <c r="I59" s="98"/>
      <c r="J59" s="29"/>
      <c r="K59" s="98"/>
      <c r="L59" s="29"/>
      <c r="M59" s="98"/>
      <c r="N59" s="100"/>
      <c r="O59" s="101"/>
      <c r="P59" s="100"/>
      <c r="Q59" s="630">
        <f t="shared" si="25"/>
        <v>0</v>
      </c>
      <c r="R59" s="103"/>
      <c r="S59" s="104"/>
      <c r="T59" s="103"/>
      <c r="U59" s="104"/>
      <c r="V59" s="29"/>
      <c r="W59" s="98"/>
      <c r="X59" s="29"/>
      <c r="Y59" s="98"/>
      <c r="Z59" s="29"/>
      <c r="AA59" s="98"/>
      <c r="AB59" s="29"/>
      <c r="AC59" s="98"/>
      <c r="AD59" s="29"/>
      <c r="AE59" s="98"/>
      <c r="AF59" s="29"/>
      <c r="AG59" s="105"/>
      <c r="AH59" s="106"/>
      <c r="AI59" s="105"/>
      <c r="AJ59" s="106"/>
      <c r="AK59" s="107"/>
      <c r="AL59" s="108"/>
      <c r="AM59" s="107"/>
      <c r="AN59" s="108"/>
      <c r="AO59" s="109"/>
      <c r="AP59" s="110"/>
      <c r="AQ59" s="2"/>
    </row>
    <row r="60" spans="1:43" ht="19.5" customHeight="1">
      <c r="A60" s="842"/>
      <c r="B60" s="866"/>
      <c r="C60" s="866"/>
      <c r="D60" s="1058" t="s">
        <v>616</v>
      </c>
      <c r="E60" s="98">
        <v>1</v>
      </c>
      <c r="F60" s="29" t="s">
        <v>124</v>
      </c>
      <c r="G60" s="98" t="s">
        <v>1240</v>
      </c>
      <c r="H60" s="99" t="s">
        <v>1121</v>
      </c>
      <c r="I60" s="98"/>
      <c r="J60" s="29"/>
      <c r="K60" s="98"/>
      <c r="L60" s="29"/>
      <c r="M60" s="98"/>
      <c r="N60" s="100"/>
      <c r="O60" s="101"/>
      <c r="P60" s="100"/>
      <c r="Q60" s="630">
        <f t="shared" si="25"/>
        <v>0</v>
      </c>
      <c r="R60" s="103"/>
      <c r="S60" s="104"/>
      <c r="T60" s="103"/>
      <c r="U60" s="104"/>
      <c r="V60" s="29"/>
      <c r="W60" s="98"/>
      <c r="X60" s="29"/>
      <c r="Y60" s="98"/>
      <c r="Z60" s="29"/>
      <c r="AA60" s="98"/>
      <c r="AB60" s="29"/>
      <c r="AC60" s="98"/>
      <c r="AD60" s="29"/>
      <c r="AE60" s="98"/>
      <c r="AF60" s="29"/>
      <c r="AG60" s="105"/>
      <c r="AH60" s="106"/>
      <c r="AI60" s="105"/>
      <c r="AJ60" s="106"/>
      <c r="AK60" s="107"/>
      <c r="AL60" s="108"/>
      <c r="AM60" s="107"/>
      <c r="AN60" s="108"/>
      <c r="AO60" s="109"/>
      <c r="AP60" s="110"/>
      <c r="AQ60" s="2"/>
    </row>
    <row r="61" spans="1:43" ht="19.5" customHeight="1">
      <c r="A61" s="842"/>
      <c r="B61" s="866"/>
      <c r="C61" s="866"/>
      <c r="D61" s="1058" t="s">
        <v>1241</v>
      </c>
      <c r="E61" s="98">
        <v>1</v>
      </c>
      <c r="F61" s="29" t="s">
        <v>1242</v>
      </c>
      <c r="G61" s="4" t="s">
        <v>1243</v>
      </c>
      <c r="H61" s="99" t="s">
        <v>1244</v>
      </c>
      <c r="I61" s="98"/>
      <c r="J61" s="29"/>
      <c r="K61" s="98"/>
      <c r="L61" s="29"/>
      <c r="M61" s="98"/>
      <c r="N61" s="100">
        <v>90000</v>
      </c>
      <c r="O61" s="101">
        <v>425452</v>
      </c>
      <c r="P61" s="100"/>
      <c r="Q61" s="630">
        <f t="shared" si="25"/>
        <v>515452</v>
      </c>
      <c r="R61" s="103"/>
      <c r="S61" s="104"/>
      <c r="T61" s="103"/>
      <c r="U61" s="104"/>
      <c r="V61" s="29"/>
      <c r="W61" s="98"/>
      <c r="X61" s="29"/>
      <c r="Y61" s="98"/>
      <c r="Z61" s="29"/>
      <c r="AA61" s="98"/>
      <c r="AB61" s="29"/>
      <c r="AC61" s="98"/>
      <c r="AD61" s="29"/>
      <c r="AE61" s="98"/>
      <c r="AF61" s="29"/>
      <c r="AG61" s="105"/>
      <c r="AH61" s="106"/>
      <c r="AI61" s="105"/>
      <c r="AJ61" s="106"/>
      <c r="AK61" s="107"/>
      <c r="AL61" s="108"/>
      <c r="AM61" s="107"/>
      <c r="AN61" s="108"/>
      <c r="AO61" s="109"/>
      <c r="AP61" s="110"/>
      <c r="AQ61" s="2"/>
    </row>
    <row r="62" spans="1:43" ht="19.5" customHeight="1">
      <c r="A62" s="842"/>
      <c r="B62" s="866"/>
      <c r="C62" s="866"/>
      <c r="D62" s="1058" t="s">
        <v>1241</v>
      </c>
      <c r="E62" s="98">
        <v>1</v>
      </c>
      <c r="F62" s="29" t="s">
        <v>1242</v>
      </c>
      <c r="G62" s="1037" t="s">
        <v>1243</v>
      </c>
      <c r="H62" s="99" t="s">
        <v>1244</v>
      </c>
      <c r="I62" s="98"/>
      <c r="J62" s="29"/>
      <c r="K62" s="98"/>
      <c r="L62" s="29"/>
      <c r="M62" s="98"/>
      <c r="N62" s="100"/>
      <c r="O62" s="101">
        <v>316150</v>
      </c>
      <c r="P62" s="100"/>
      <c r="Q62" s="630">
        <f t="shared" si="25"/>
        <v>316150</v>
      </c>
      <c r="R62" s="103"/>
      <c r="S62" s="104"/>
      <c r="T62" s="103"/>
      <c r="U62" s="104"/>
      <c r="V62" s="29"/>
      <c r="W62" s="98"/>
      <c r="X62" s="29"/>
      <c r="Y62" s="98"/>
      <c r="Z62" s="29"/>
      <c r="AA62" s="98"/>
      <c r="AB62" s="29"/>
      <c r="AC62" s="98"/>
      <c r="AD62" s="29"/>
      <c r="AE62" s="98"/>
      <c r="AF62" s="29"/>
      <c r="AG62" s="105"/>
      <c r="AH62" s="106"/>
      <c r="AI62" s="105"/>
      <c r="AJ62" s="106"/>
      <c r="AK62" s="107"/>
      <c r="AL62" s="108"/>
      <c r="AM62" s="107"/>
      <c r="AN62" s="108"/>
      <c r="AO62" s="109"/>
      <c r="AP62" s="110"/>
      <c r="AQ62" s="2"/>
    </row>
    <row r="63" spans="1:43" ht="41.25" customHeight="1">
      <c r="A63" s="842"/>
      <c r="B63" s="866"/>
      <c r="C63" s="866"/>
      <c r="D63" s="1058" t="s">
        <v>1241</v>
      </c>
      <c r="E63" s="98">
        <v>1</v>
      </c>
      <c r="F63" s="29" t="s">
        <v>1245</v>
      </c>
      <c r="G63" s="1037" t="s">
        <v>1246</v>
      </c>
      <c r="H63" s="99" t="s">
        <v>1244</v>
      </c>
      <c r="I63" s="98"/>
      <c r="J63" s="29"/>
      <c r="K63" s="98"/>
      <c r="L63" s="29"/>
      <c r="M63" s="98"/>
      <c r="N63" s="100">
        <v>1384600</v>
      </c>
      <c r="O63" s="101">
        <v>6856054</v>
      </c>
      <c r="P63" s="100"/>
      <c r="Q63" s="630">
        <f t="shared" si="25"/>
        <v>8240654</v>
      </c>
      <c r="R63" s="103"/>
      <c r="S63" s="104"/>
      <c r="T63" s="103"/>
      <c r="U63" s="104"/>
      <c r="V63" s="29"/>
      <c r="W63" s="98"/>
      <c r="X63" s="29"/>
      <c r="Y63" s="98"/>
      <c r="Z63" s="29"/>
      <c r="AA63" s="98"/>
      <c r="AB63" s="29"/>
      <c r="AC63" s="98"/>
      <c r="AD63" s="29"/>
      <c r="AE63" s="98"/>
      <c r="AF63" s="29"/>
      <c r="AG63" s="105"/>
      <c r="AH63" s="106"/>
      <c r="AI63" s="105"/>
      <c r="AJ63" s="106"/>
      <c r="AK63" s="107"/>
      <c r="AL63" s="108"/>
      <c r="AM63" s="107"/>
      <c r="AN63" s="108"/>
      <c r="AO63" s="109"/>
      <c r="AP63" s="110"/>
      <c r="AQ63" s="2"/>
    </row>
    <row r="64" spans="1:43" ht="33" customHeight="1">
      <c r="A64" s="842"/>
      <c r="B64" s="866"/>
      <c r="C64" s="866"/>
      <c r="D64" s="1058" t="s">
        <v>1241</v>
      </c>
      <c r="E64" s="98">
        <v>1</v>
      </c>
      <c r="F64" s="29" t="s">
        <v>1245</v>
      </c>
      <c r="G64" s="1059" t="s">
        <v>1247</v>
      </c>
      <c r="H64" s="99" t="s">
        <v>1244</v>
      </c>
      <c r="I64" s="98"/>
      <c r="J64" s="29"/>
      <c r="K64" s="98"/>
      <c r="L64" s="29"/>
      <c r="M64" s="98"/>
      <c r="N64" s="100">
        <v>274600</v>
      </c>
      <c r="O64" s="101"/>
      <c r="P64" s="100"/>
      <c r="Q64" s="630">
        <f t="shared" si="25"/>
        <v>274600</v>
      </c>
      <c r="R64" s="103"/>
      <c r="S64" s="104"/>
      <c r="T64" s="103"/>
      <c r="U64" s="104"/>
      <c r="V64" s="29"/>
      <c r="W64" s="98"/>
      <c r="X64" s="29"/>
      <c r="Y64" s="98"/>
      <c r="Z64" s="29"/>
      <c r="AA64" s="98"/>
      <c r="AB64" s="29"/>
      <c r="AC64" s="98"/>
      <c r="AD64" s="29"/>
      <c r="AE64" s="98"/>
      <c r="AF64" s="29"/>
      <c r="AG64" s="105"/>
      <c r="AH64" s="106"/>
      <c r="AI64" s="105"/>
      <c r="AJ64" s="106"/>
      <c r="AK64" s="107"/>
      <c r="AL64" s="108"/>
      <c r="AM64" s="107"/>
      <c r="AN64" s="108"/>
      <c r="AO64" s="109"/>
      <c r="AP64" s="110"/>
      <c r="AQ64" s="2"/>
    </row>
    <row r="65" spans="1:43" ht="27" customHeight="1">
      <c r="A65" s="842"/>
      <c r="B65" s="866"/>
      <c r="C65" s="866"/>
      <c r="D65" s="1060" t="s">
        <v>1248</v>
      </c>
      <c r="E65" s="98">
        <v>1</v>
      </c>
      <c r="F65" s="29" t="s">
        <v>1249</v>
      </c>
      <c r="G65" s="1037" t="s">
        <v>1250</v>
      </c>
      <c r="H65" s="99" t="s">
        <v>1244</v>
      </c>
      <c r="I65" s="98"/>
      <c r="J65" s="29"/>
      <c r="K65" s="98"/>
      <c r="L65" s="29"/>
      <c r="M65" s="98"/>
      <c r="N65" s="100">
        <v>1992358</v>
      </c>
      <c r="O65" s="101">
        <v>4880718</v>
      </c>
      <c r="P65" s="100"/>
      <c r="Q65" s="630">
        <f t="shared" si="25"/>
        <v>6873076</v>
      </c>
      <c r="R65" s="103"/>
      <c r="S65" s="104"/>
      <c r="T65" s="103"/>
      <c r="U65" s="104"/>
      <c r="V65" s="29"/>
      <c r="W65" s="98"/>
      <c r="X65" s="29"/>
      <c r="Y65" s="98"/>
      <c r="Z65" s="29"/>
      <c r="AA65" s="98"/>
      <c r="AB65" s="29"/>
      <c r="AC65" s="98"/>
      <c r="AD65" s="29"/>
      <c r="AE65" s="98"/>
      <c r="AF65" s="29"/>
      <c r="AG65" s="105"/>
      <c r="AH65" s="106"/>
      <c r="AI65" s="105"/>
      <c r="AJ65" s="106"/>
      <c r="AK65" s="107"/>
      <c r="AL65" s="108"/>
      <c r="AM65" s="107"/>
      <c r="AN65" s="108"/>
      <c r="AO65" s="109"/>
      <c r="AP65" s="110"/>
      <c r="AQ65" s="2"/>
    </row>
    <row r="66" spans="1:43" ht="19.5" customHeight="1">
      <c r="A66" s="842"/>
      <c r="B66" s="866"/>
      <c r="C66" s="866"/>
      <c r="D66" s="1060" t="s">
        <v>1248</v>
      </c>
      <c r="E66" s="98">
        <v>1</v>
      </c>
      <c r="F66" s="29" t="s">
        <v>1251</v>
      </c>
      <c r="G66" s="143" t="s">
        <v>1252</v>
      </c>
      <c r="H66" s="99" t="s">
        <v>1244</v>
      </c>
      <c r="I66" s="98"/>
      <c r="J66" s="1061"/>
      <c r="K66" s="1062"/>
      <c r="L66" s="1061"/>
      <c r="M66" s="1062"/>
      <c r="N66" s="100"/>
      <c r="O66" s="100"/>
      <c r="P66" s="100"/>
      <c r="Q66" s="630">
        <f t="shared" si="25"/>
        <v>0</v>
      </c>
      <c r="R66" s="103"/>
      <c r="S66" s="104"/>
      <c r="T66" s="103"/>
      <c r="U66" s="104"/>
      <c r="V66" s="29"/>
      <c r="W66" s="98"/>
      <c r="X66" s="29"/>
      <c r="Y66" s="98"/>
      <c r="Z66" s="29"/>
      <c r="AA66" s="98"/>
      <c r="AB66" s="29"/>
      <c r="AC66" s="98"/>
      <c r="AD66" s="29"/>
      <c r="AE66" s="98"/>
      <c r="AF66" s="29"/>
      <c r="AG66" s="105"/>
      <c r="AH66" s="106"/>
      <c r="AI66" s="105"/>
      <c r="AJ66" s="106"/>
      <c r="AK66" s="107"/>
      <c r="AL66" s="108"/>
      <c r="AM66" s="107"/>
      <c r="AN66" s="108"/>
      <c r="AO66" s="109"/>
      <c r="AP66" s="110"/>
      <c r="AQ66" s="2"/>
    </row>
    <row r="67" spans="1:43" ht="19.5" customHeight="1">
      <c r="A67" s="842"/>
      <c r="B67" s="866"/>
      <c r="C67" s="866"/>
      <c r="D67" s="1058" t="s">
        <v>1241</v>
      </c>
      <c r="E67" s="98">
        <v>1</v>
      </c>
      <c r="F67" s="29" t="s">
        <v>1253</v>
      </c>
      <c r="G67" s="1063" t="s">
        <v>1254</v>
      </c>
      <c r="H67" s="99" t="s">
        <v>1244</v>
      </c>
      <c r="I67" s="98"/>
      <c r="J67" s="1061"/>
      <c r="K67" s="1062"/>
      <c r="L67" s="1061"/>
      <c r="M67" s="1062"/>
      <c r="N67" s="100">
        <v>1409200</v>
      </c>
      <c r="O67" s="100">
        <v>730020</v>
      </c>
      <c r="P67" s="100"/>
      <c r="Q67" s="630">
        <f t="shared" si="25"/>
        <v>2139220</v>
      </c>
      <c r="R67" s="103"/>
      <c r="S67" s="104"/>
      <c r="T67" s="103"/>
      <c r="U67" s="104"/>
      <c r="V67" s="29"/>
      <c r="W67" s="98"/>
      <c r="X67" s="29"/>
      <c r="Y67" s="98"/>
      <c r="Z67" s="29"/>
      <c r="AA67" s="98"/>
      <c r="AB67" s="29"/>
      <c r="AC67" s="98"/>
      <c r="AD67" s="29"/>
      <c r="AE67" s="98"/>
      <c r="AF67" s="29"/>
      <c r="AG67" s="105"/>
      <c r="AH67" s="106"/>
      <c r="AI67" s="105"/>
      <c r="AJ67" s="106"/>
      <c r="AK67" s="107"/>
      <c r="AL67" s="108"/>
      <c r="AM67" s="107"/>
      <c r="AN67" s="108"/>
      <c r="AO67" s="109"/>
      <c r="AP67" s="110"/>
      <c r="AQ67" s="2"/>
    </row>
    <row r="68" spans="1:43" ht="19.5" customHeight="1">
      <c r="A68" s="842"/>
      <c r="B68" s="866"/>
      <c r="C68" s="866"/>
      <c r="D68" s="1060" t="s">
        <v>1255</v>
      </c>
      <c r="E68" s="98">
        <v>1</v>
      </c>
      <c r="F68" s="29" t="s">
        <v>124</v>
      </c>
      <c r="G68" s="1063" t="s">
        <v>1256</v>
      </c>
      <c r="H68" s="99" t="s">
        <v>1257</v>
      </c>
      <c r="I68" s="98"/>
      <c r="J68" s="1061"/>
      <c r="K68" s="1062"/>
      <c r="L68" s="1061"/>
      <c r="M68" s="1062"/>
      <c r="N68" s="100">
        <v>94650</v>
      </c>
      <c r="O68" s="100"/>
      <c r="P68" s="100"/>
      <c r="Q68" s="630">
        <f t="shared" si="25"/>
        <v>94650</v>
      </c>
      <c r="R68" s="103"/>
      <c r="S68" s="104"/>
      <c r="T68" s="103"/>
      <c r="U68" s="104"/>
      <c r="V68" s="29"/>
      <c r="W68" s="98"/>
      <c r="X68" s="29"/>
      <c r="Y68" s="98"/>
      <c r="Z68" s="29"/>
      <c r="AA68" s="98"/>
      <c r="AB68" s="29"/>
      <c r="AC68" s="98"/>
      <c r="AD68" s="29"/>
      <c r="AE68" s="98"/>
      <c r="AF68" s="29"/>
      <c r="AG68" s="105"/>
      <c r="AH68" s="106"/>
      <c r="AI68" s="105"/>
      <c r="AJ68" s="106"/>
      <c r="AK68" s="107"/>
      <c r="AL68" s="108"/>
      <c r="AM68" s="107"/>
      <c r="AN68" s="108"/>
      <c r="AO68" s="109"/>
      <c r="AP68" s="110"/>
      <c r="AQ68" s="2"/>
    </row>
    <row r="69" spans="1:43" ht="19.5" customHeight="1">
      <c r="A69" s="842"/>
      <c r="B69" s="866"/>
      <c r="C69" s="866"/>
      <c r="D69" s="1058" t="s">
        <v>1241</v>
      </c>
      <c r="E69" s="98">
        <v>1</v>
      </c>
      <c r="F69" s="29" t="s">
        <v>1258</v>
      </c>
      <c r="G69" s="1064" t="s">
        <v>1259</v>
      </c>
      <c r="H69" s="99" t="s">
        <v>1244</v>
      </c>
      <c r="I69" s="98"/>
      <c r="J69" s="1061"/>
      <c r="K69" s="1062"/>
      <c r="L69" s="1061"/>
      <c r="M69" s="1062"/>
      <c r="N69" s="100"/>
      <c r="O69" s="100"/>
      <c r="P69" s="100"/>
      <c r="Q69" s="630">
        <f t="shared" si="25"/>
        <v>0</v>
      </c>
      <c r="R69" s="103"/>
      <c r="S69" s="104"/>
      <c r="T69" s="103"/>
      <c r="U69" s="104"/>
      <c r="V69" s="29"/>
      <c r="W69" s="98"/>
      <c r="X69" s="29"/>
      <c r="Y69" s="98"/>
      <c r="Z69" s="29"/>
      <c r="AA69" s="98"/>
      <c r="AB69" s="29"/>
      <c r="AC69" s="98"/>
      <c r="AD69" s="29"/>
      <c r="AE69" s="98"/>
      <c r="AF69" s="29"/>
      <c r="AG69" s="105"/>
      <c r="AH69" s="106"/>
      <c r="AI69" s="105"/>
      <c r="AJ69" s="106"/>
      <c r="AK69" s="107"/>
      <c r="AL69" s="108"/>
      <c r="AM69" s="107"/>
      <c r="AN69" s="108"/>
      <c r="AO69" s="109"/>
      <c r="AP69" s="110"/>
      <c r="AQ69" s="2"/>
    </row>
    <row r="70" spans="1:43" ht="19.5" customHeight="1">
      <c r="A70" s="842"/>
      <c r="B70" s="866"/>
      <c r="C70" s="866"/>
      <c r="D70" s="1058" t="s">
        <v>1241</v>
      </c>
      <c r="E70" s="98">
        <v>1</v>
      </c>
      <c r="F70" s="29" t="s">
        <v>1249</v>
      </c>
      <c r="G70" s="1064" t="s">
        <v>1260</v>
      </c>
      <c r="H70" s="99" t="s">
        <v>1244</v>
      </c>
      <c r="I70" s="98"/>
      <c r="J70" s="1061"/>
      <c r="K70" s="1062"/>
      <c r="L70" s="1061"/>
      <c r="M70" s="1062"/>
      <c r="N70" s="100">
        <v>47600</v>
      </c>
      <c r="O70" s="100"/>
      <c r="P70" s="100"/>
      <c r="Q70" s="630">
        <f t="shared" si="25"/>
        <v>47600</v>
      </c>
      <c r="R70" s="103"/>
      <c r="S70" s="104"/>
      <c r="T70" s="103"/>
      <c r="U70" s="104"/>
      <c r="V70" s="29"/>
      <c r="W70" s="98"/>
      <c r="X70" s="29"/>
      <c r="Y70" s="98"/>
      <c r="Z70" s="29"/>
      <c r="AA70" s="98"/>
      <c r="AB70" s="29"/>
      <c r="AC70" s="98"/>
      <c r="AD70" s="29"/>
      <c r="AE70" s="98"/>
      <c r="AF70" s="29"/>
      <c r="AG70" s="105"/>
      <c r="AH70" s="106"/>
      <c r="AI70" s="105"/>
      <c r="AJ70" s="106"/>
      <c r="AK70" s="107"/>
      <c r="AL70" s="108"/>
      <c r="AM70" s="107"/>
      <c r="AN70" s="108"/>
      <c r="AO70" s="109"/>
      <c r="AP70" s="110"/>
      <c r="AQ70" s="2"/>
    </row>
    <row r="71" spans="1:43" ht="29.25" customHeight="1">
      <c r="A71" s="842"/>
      <c r="B71" s="866"/>
      <c r="C71" s="866"/>
      <c r="D71" s="1058" t="s">
        <v>1241</v>
      </c>
      <c r="E71" s="98">
        <v>1</v>
      </c>
      <c r="F71" s="29" t="s">
        <v>1245</v>
      </c>
      <c r="G71" s="1065" t="s">
        <v>1261</v>
      </c>
      <c r="H71" s="99" t="s">
        <v>1244</v>
      </c>
      <c r="I71" s="98"/>
      <c r="J71" s="1061"/>
      <c r="K71" s="1062"/>
      <c r="L71" s="1061"/>
      <c r="M71" s="1062"/>
      <c r="N71" s="100"/>
      <c r="O71" s="100"/>
      <c r="P71" s="100"/>
      <c r="Q71" s="630">
        <f t="shared" si="25"/>
        <v>0</v>
      </c>
      <c r="R71" s="103"/>
      <c r="S71" s="104"/>
      <c r="T71" s="103"/>
      <c r="U71" s="104"/>
      <c r="V71" s="29"/>
      <c r="W71" s="98"/>
      <c r="X71" s="29"/>
      <c r="Y71" s="98"/>
      <c r="Z71" s="29"/>
      <c r="AA71" s="98"/>
      <c r="AB71" s="29"/>
      <c r="AC71" s="98"/>
      <c r="AD71" s="29"/>
      <c r="AE71" s="98"/>
      <c r="AF71" s="29"/>
      <c r="AG71" s="105"/>
      <c r="AH71" s="106"/>
      <c r="AI71" s="105"/>
      <c r="AJ71" s="106"/>
      <c r="AK71" s="107"/>
      <c r="AL71" s="108"/>
      <c r="AM71" s="107"/>
      <c r="AN71" s="108"/>
      <c r="AO71" s="109"/>
      <c r="AP71" s="110"/>
      <c r="AQ71" s="2"/>
    </row>
    <row r="72" spans="1:43" ht="19.5" customHeight="1">
      <c r="A72" s="842"/>
      <c r="B72" s="866"/>
      <c r="C72" s="866"/>
      <c r="D72" s="1058" t="s">
        <v>1241</v>
      </c>
      <c r="E72" s="98">
        <v>1</v>
      </c>
      <c r="F72" s="29" t="s">
        <v>1262</v>
      </c>
      <c r="G72" s="1064" t="s">
        <v>1263</v>
      </c>
      <c r="H72" s="99" t="s">
        <v>1244</v>
      </c>
      <c r="I72" s="98"/>
      <c r="J72" s="1061"/>
      <c r="K72" s="1062"/>
      <c r="L72" s="1061"/>
      <c r="M72" s="1062"/>
      <c r="N72" s="100"/>
      <c r="O72" s="100"/>
      <c r="P72" s="100"/>
      <c r="Q72" s="630">
        <f t="shared" si="25"/>
        <v>0</v>
      </c>
      <c r="R72" s="103"/>
      <c r="S72" s="104"/>
      <c r="T72" s="103"/>
      <c r="U72" s="104"/>
      <c r="V72" s="29"/>
      <c r="W72" s="98"/>
      <c r="X72" s="29"/>
      <c r="Y72" s="98"/>
      <c r="Z72" s="29"/>
      <c r="AA72" s="98"/>
      <c r="AB72" s="29"/>
      <c r="AC72" s="98"/>
      <c r="AD72" s="29"/>
      <c r="AE72" s="98"/>
      <c r="AF72" s="29"/>
      <c r="AG72" s="105"/>
      <c r="AH72" s="106"/>
      <c r="AI72" s="105"/>
      <c r="AJ72" s="106"/>
      <c r="AK72" s="107"/>
      <c r="AL72" s="108"/>
      <c r="AM72" s="107"/>
      <c r="AN72" s="108"/>
      <c r="AO72" s="109"/>
      <c r="AP72" s="110"/>
      <c r="AQ72" s="2"/>
    </row>
    <row r="73" spans="1:43" ht="19.5" customHeight="1">
      <c r="A73" s="842"/>
      <c r="B73" s="866"/>
      <c r="C73" s="866"/>
      <c r="D73" s="1058" t="s">
        <v>1241</v>
      </c>
      <c r="E73" s="98">
        <v>1</v>
      </c>
      <c r="F73" s="29" t="s">
        <v>1262</v>
      </c>
      <c r="G73" s="1064" t="s">
        <v>1264</v>
      </c>
      <c r="H73" s="99" t="s">
        <v>1244</v>
      </c>
      <c r="I73" s="98"/>
      <c r="J73" s="1061"/>
      <c r="K73" s="1062"/>
      <c r="L73" s="1061"/>
      <c r="M73" s="1062"/>
      <c r="N73" s="100"/>
      <c r="O73" s="100"/>
      <c r="P73" s="100"/>
      <c r="Q73" s="630">
        <f t="shared" si="25"/>
        <v>0</v>
      </c>
      <c r="R73" s="103"/>
      <c r="S73" s="104"/>
      <c r="T73" s="103"/>
      <c r="U73" s="104"/>
      <c r="V73" s="29"/>
      <c r="W73" s="98"/>
      <c r="X73" s="29"/>
      <c r="Y73" s="98"/>
      <c r="Z73" s="29"/>
      <c r="AA73" s="98"/>
      <c r="AB73" s="29"/>
      <c r="AC73" s="98"/>
      <c r="AD73" s="29"/>
      <c r="AE73" s="98"/>
      <c r="AF73" s="29"/>
      <c r="AG73" s="105"/>
      <c r="AH73" s="106"/>
      <c r="AI73" s="105"/>
      <c r="AJ73" s="106"/>
      <c r="AK73" s="107"/>
      <c r="AL73" s="108"/>
      <c r="AM73" s="107"/>
      <c r="AN73" s="108"/>
      <c r="AO73" s="109"/>
      <c r="AP73" s="110"/>
      <c r="AQ73" s="2"/>
    </row>
    <row r="74" spans="1:43" ht="19.5" customHeight="1">
      <c r="A74" s="842"/>
      <c r="B74" s="866"/>
      <c r="C74" s="866"/>
      <c r="D74" s="1058" t="s">
        <v>1241</v>
      </c>
      <c r="E74" s="98">
        <v>1</v>
      </c>
      <c r="F74" s="29" t="s">
        <v>1265</v>
      </c>
      <c r="G74" s="1064" t="s">
        <v>1259</v>
      </c>
      <c r="H74" s="99" t="s">
        <v>1244</v>
      </c>
      <c r="I74" s="98"/>
      <c r="J74" s="1061"/>
      <c r="K74" s="1062"/>
      <c r="L74" s="1061"/>
      <c r="M74" s="1062"/>
      <c r="N74" s="100"/>
      <c r="O74" s="100"/>
      <c r="P74" s="100"/>
      <c r="Q74" s="630">
        <f t="shared" si="25"/>
        <v>0</v>
      </c>
      <c r="R74" s="103"/>
      <c r="S74" s="104"/>
      <c r="T74" s="103"/>
      <c r="U74" s="104"/>
      <c r="V74" s="29"/>
      <c r="W74" s="98"/>
      <c r="X74" s="29"/>
      <c r="Y74" s="98"/>
      <c r="Z74" s="29"/>
      <c r="AA74" s="98"/>
      <c r="AB74" s="29"/>
      <c r="AC74" s="98"/>
      <c r="AD74" s="29"/>
      <c r="AE74" s="98"/>
      <c r="AF74" s="29"/>
      <c r="AG74" s="105"/>
      <c r="AH74" s="106"/>
      <c r="AI74" s="105"/>
      <c r="AJ74" s="106"/>
      <c r="AK74" s="107"/>
      <c r="AL74" s="108"/>
      <c r="AM74" s="107"/>
      <c r="AN74" s="108"/>
      <c r="AO74" s="109"/>
      <c r="AP74" s="110"/>
      <c r="AQ74" s="2"/>
    </row>
    <row r="75" spans="1:43" ht="19.5" customHeight="1">
      <c r="A75" s="842"/>
      <c r="B75" s="866"/>
      <c r="C75" s="866"/>
      <c r="D75" s="1058" t="s">
        <v>1241</v>
      </c>
      <c r="E75" s="98">
        <v>1</v>
      </c>
      <c r="F75" s="29" t="s">
        <v>1262</v>
      </c>
      <c r="G75" s="1064" t="s">
        <v>1266</v>
      </c>
      <c r="H75" s="99" t="s">
        <v>1244</v>
      </c>
      <c r="I75" s="98"/>
      <c r="J75" s="1061"/>
      <c r="K75" s="1062"/>
      <c r="L75" s="1061"/>
      <c r="M75" s="1062"/>
      <c r="N75" s="100"/>
      <c r="O75" s="100"/>
      <c r="P75" s="100"/>
      <c r="Q75" s="630">
        <f t="shared" si="25"/>
        <v>0</v>
      </c>
      <c r="R75" s="103"/>
      <c r="S75" s="104"/>
      <c r="T75" s="103"/>
      <c r="U75" s="104"/>
      <c r="V75" s="29"/>
      <c r="W75" s="98"/>
      <c r="X75" s="29"/>
      <c r="Y75" s="98"/>
      <c r="Z75" s="29"/>
      <c r="AA75" s="98"/>
      <c r="AB75" s="29"/>
      <c r="AC75" s="98"/>
      <c r="AD75" s="29"/>
      <c r="AE75" s="98"/>
      <c r="AF75" s="29"/>
      <c r="AG75" s="105"/>
      <c r="AH75" s="106"/>
      <c r="AI75" s="105"/>
      <c r="AJ75" s="106"/>
      <c r="AK75" s="107"/>
      <c r="AL75" s="108"/>
      <c r="AM75" s="107"/>
      <c r="AN75" s="108"/>
      <c r="AO75" s="109"/>
      <c r="AP75" s="110"/>
      <c r="AQ75" s="2"/>
    </row>
    <row r="76" spans="1:43" ht="19.5" customHeight="1">
      <c r="A76" s="842"/>
      <c r="B76" s="866"/>
      <c r="C76" s="866"/>
      <c r="D76" s="1058" t="s">
        <v>1241</v>
      </c>
      <c r="E76" s="1062">
        <v>1</v>
      </c>
      <c r="F76" s="29" t="s">
        <v>1249</v>
      </c>
      <c r="G76" s="1064" t="s">
        <v>1267</v>
      </c>
      <c r="H76" s="99" t="s">
        <v>1244</v>
      </c>
      <c r="I76" s="98"/>
      <c r="J76" s="1061"/>
      <c r="K76" s="1062"/>
      <c r="L76" s="1061"/>
      <c r="M76" s="1062"/>
      <c r="N76" s="100">
        <v>950000</v>
      </c>
      <c r="O76" s="100">
        <v>210000</v>
      </c>
      <c r="P76" s="100"/>
      <c r="Q76" s="630">
        <f t="shared" si="25"/>
        <v>1160000</v>
      </c>
      <c r="R76" s="103"/>
      <c r="S76" s="104"/>
      <c r="T76" s="103"/>
      <c r="U76" s="104"/>
      <c r="V76" s="29"/>
      <c r="W76" s="98"/>
      <c r="X76" s="29"/>
      <c r="Y76" s="98"/>
      <c r="Z76" s="29"/>
      <c r="AA76" s="98"/>
      <c r="AB76" s="29"/>
      <c r="AC76" s="98"/>
      <c r="AD76" s="29"/>
      <c r="AE76" s="98"/>
      <c r="AF76" s="29"/>
      <c r="AG76" s="105"/>
      <c r="AH76" s="106"/>
      <c r="AI76" s="105"/>
      <c r="AJ76" s="106"/>
      <c r="AK76" s="107"/>
      <c r="AL76" s="108"/>
      <c r="AM76" s="107"/>
      <c r="AN76" s="108"/>
      <c r="AO76" s="109"/>
      <c r="AP76" s="110"/>
      <c r="AQ76" s="2"/>
    </row>
    <row r="77" spans="1:43" ht="19.5" customHeight="1">
      <c r="A77" s="842"/>
      <c r="B77" s="866"/>
      <c r="C77" s="866"/>
      <c r="D77" s="1058" t="s">
        <v>1241</v>
      </c>
      <c r="E77" s="98">
        <v>1</v>
      </c>
      <c r="F77" s="29" t="s">
        <v>1242</v>
      </c>
      <c r="G77" s="1037" t="s">
        <v>1268</v>
      </c>
      <c r="H77" s="99" t="s">
        <v>1244</v>
      </c>
      <c r="I77" s="98"/>
      <c r="J77" s="1061"/>
      <c r="K77" s="1062"/>
      <c r="L77" s="1061"/>
      <c r="M77" s="1062"/>
      <c r="N77" s="100">
        <v>395500</v>
      </c>
      <c r="O77" s="100">
        <v>2313120</v>
      </c>
      <c r="P77" s="100"/>
      <c r="Q77" s="630">
        <f t="shared" si="25"/>
        <v>2708620</v>
      </c>
      <c r="R77" s="103"/>
      <c r="S77" s="104"/>
      <c r="T77" s="103"/>
      <c r="U77" s="104"/>
      <c r="V77" s="29"/>
      <c r="W77" s="98"/>
      <c r="X77" s="29"/>
      <c r="Y77" s="98"/>
      <c r="Z77" s="29"/>
      <c r="AA77" s="98"/>
      <c r="AB77" s="29"/>
      <c r="AC77" s="98"/>
      <c r="AD77" s="29"/>
      <c r="AE77" s="98"/>
      <c r="AF77" s="29"/>
      <c r="AG77" s="105"/>
      <c r="AH77" s="106"/>
      <c r="AI77" s="105"/>
      <c r="AJ77" s="106"/>
      <c r="AK77" s="107"/>
      <c r="AL77" s="108"/>
      <c r="AM77" s="107"/>
      <c r="AN77" s="108"/>
      <c r="AO77" s="109"/>
      <c r="AP77" s="110"/>
      <c r="AQ77" s="2"/>
    </row>
    <row r="78" spans="1:43" ht="39" customHeight="1">
      <c r="A78" s="842"/>
      <c r="B78" s="866"/>
      <c r="C78" s="866"/>
      <c r="D78" s="1058" t="s">
        <v>131</v>
      </c>
      <c r="E78" s="98">
        <v>1</v>
      </c>
      <c r="F78" s="29" t="s">
        <v>1269</v>
      </c>
      <c r="G78" s="1037" t="s">
        <v>1270</v>
      </c>
      <c r="H78" s="99" t="s">
        <v>1244</v>
      </c>
      <c r="I78" s="98"/>
      <c r="J78" s="1061"/>
      <c r="K78" s="1062"/>
      <c r="L78" s="1061"/>
      <c r="M78" s="1062"/>
      <c r="N78" s="100">
        <v>1600000</v>
      </c>
      <c r="O78" s="100">
        <v>2300000</v>
      </c>
      <c r="P78" s="100"/>
      <c r="Q78" s="630">
        <f t="shared" si="25"/>
        <v>3900000</v>
      </c>
      <c r="R78" s="103"/>
      <c r="S78" s="104"/>
      <c r="T78" s="103"/>
      <c r="U78" s="104"/>
      <c r="V78" s="29"/>
      <c r="W78" s="98"/>
      <c r="X78" s="29"/>
      <c r="Y78" s="98"/>
      <c r="Z78" s="29"/>
      <c r="AA78" s="98"/>
      <c r="AB78" s="29"/>
      <c r="AC78" s="98"/>
      <c r="AD78" s="29"/>
      <c r="AE78" s="98"/>
      <c r="AF78" s="29"/>
      <c r="AG78" s="105"/>
      <c r="AH78" s="106"/>
      <c r="AI78" s="105"/>
      <c r="AJ78" s="106"/>
      <c r="AK78" s="107"/>
      <c r="AL78" s="108"/>
      <c r="AM78" s="107"/>
      <c r="AN78" s="108"/>
      <c r="AO78" s="109"/>
      <c r="AP78" s="110"/>
      <c r="AQ78" s="2"/>
    </row>
    <row r="79" spans="1:43" ht="35.25" customHeight="1">
      <c r="A79" s="842"/>
      <c r="B79" s="866"/>
      <c r="C79" s="866"/>
      <c r="D79" s="1058" t="s">
        <v>1271</v>
      </c>
      <c r="E79" s="98">
        <v>2</v>
      </c>
      <c r="F79" s="29" t="s">
        <v>1262</v>
      </c>
      <c r="G79" s="1037" t="s">
        <v>1272</v>
      </c>
      <c r="H79" s="99" t="s">
        <v>1244</v>
      </c>
      <c r="I79" s="98"/>
      <c r="J79" s="1061"/>
      <c r="K79" s="1062"/>
      <c r="L79" s="1061"/>
      <c r="M79" s="1062"/>
      <c r="N79" s="100">
        <v>1200000</v>
      </c>
      <c r="O79" s="100">
        <v>1900000</v>
      </c>
      <c r="P79" s="100"/>
      <c r="Q79" s="630">
        <f t="shared" si="25"/>
        <v>3100000</v>
      </c>
      <c r="R79" s="103"/>
      <c r="S79" s="104"/>
      <c r="T79" s="103"/>
      <c r="U79" s="104"/>
      <c r="V79" s="29"/>
      <c r="W79" s="98"/>
      <c r="X79" s="29"/>
      <c r="Y79" s="98"/>
      <c r="Z79" s="29"/>
      <c r="AA79" s="98"/>
      <c r="AB79" s="29"/>
      <c r="AC79" s="98"/>
      <c r="AD79" s="29"/>
      <c r="AE79" s="98"/>
      <c r="AF79" s="29"/>
      <c r="AG79" s="105"/>
      <c r="AH79" s="106"/>
      <c r="AI79" s="105"/>
      <c r="AJ79" s="106"/>
      <c r="AK79" s="107"/>
      <c r="AL79" s="108"/>
      <c r="AM79" s="107"/>
      <c r="AN79" s="108"/>
      <c r="AO79" s="109"/>
      <c r="AP79" s="110"/>
      <c r="AQ79" s="2"/>
    </row>
    <row r="80" spans="1:43" ht="18.75" customHeight="1">
      <c r="A80" s="842"/>
      <c r="B80" s="866"/>
      <c r="C80" s="866"/>
      <c r="D80" s="1058" t="s">
        <v>1273</v>
      </c>
      <c r="E80" s="98">
        <v>1</v>
      </c>
      <c r="F80" s="29" t="s">
        <v>1274</v>
      </c>
      <c r="G80" s="1037" t="s">
        <v>650</v>
      </c>
      <c r="H80" s="99" t="s">
        <v>1244</v>
      </c>
      <c r="I80" s="98"/>
      <c r="J80" s="1061"/>
      <c r="K80" s="1062"/>
      <c r="L80" s="1061"/>
      <c r="M80" s="1062"/>
      <c r="N80" s="100">
        <v>550000</v>
      </c>
      <c r="O80" s="100">
        <v>2300000</v>
      </c>
      <c r="P80" s="100"/>
      <c r="Q80" s="630">
        <f t="shared" si="25"/>
        <v>2850000</v>
      </c>
      <c r="R80" s="103"/>
      <c r="S80" s="104"/>
      <c r="T80" s="103"/>
      <c r="U80" s="104"/>
      <c r="V80" s="29"/>
      <c r="W80" s="98"/>
      <c r="X80" s="29"/>
      <c r="Y80" s="98"/>
      <c r="Z80" s="29"/>
      <c r="AA80" s="98"/>
      <c r="AB80" s="29"/>
      <c r="AC80" s="98"/>
      <c r="AD80" s="29"/>
      <c r="AE80" s="98"/>
      <c r="AF80" s="29"/>
      <c r="AG80" s="105"/>
      <c r="AH80" s="106"/>
      <c r="AI80" s="105"/>
      <c r="AJ80" s="106"/>
      <c r="AK80" s="107"/>
      <c r="AL80" s="108"/>
      <c r="AM80" s="107"/>
      <c r="AN80" s="108"/>
      <c r="AO80" s="109"/>
      <c r="AP80" s="110"/>
      <c r="AQ80" s="2"/>
    </row>
    <row r="81" spans="1:43" ht="25.5" customHeight="1">
      <c r="A81" s="842"/>
      <c r="B81" s="866"/>
      <c r="C81" s="866"/>
      <c r="D81" s="1058" t="s">
        <v>1275</v>
      </c>
      <c r="E81" s="98">
        <v>1</v>
      </c>
      <c r="F81" s="4" t="s">
        <v>1276</v>
      </c>
      <c r="G81" s="1066" t="s">
        <v>1277</v>
      </c>
      <c r="H81" s="99" t="s">
        <v>1278</v>
      </c>
      <c r="I81" s="98"/>
      <c r="J81" s="1061"/>
      <c r="K81" s="1062"/>
      <c r="L81" s="1061"/>
      <c r="M81" s="1062"/>
      <c r="N81" s="100">
        <v>250000</v>
      </c>
      <c r="O81" s="100">
        <v>4300000</v>
      </c>
      <c r="P81" s="100"/>
      <c r="Q81" s="630">
        <f t="shared" si="25"/>
        <v>4550000</v>
      </c>
      <c r="R81" s="103"/>
      <c r="S81" s="104"/>
      <c r="T81" s="103"/>
      <c r="U81" s="104"/>
      <c r="V81" s="29"/>
      <c r="W81" s="98"/>
      <c r="X81" s="29"/>
      <c r="Y81" s="98"/>
      <c r="Z81" s="29"/>
      <c r="AA81" s="98"/>
      <c r="AB81" s="29"/>
      <c r="AC81" s="98"/>
      <c r="AD81" s="29"/>
      <c r="AE81" s="98"/>
      <c r="AF81" s="29"/>
      <c r="AG81" s="105"/>
      <c r="AH81" s="106"/>
      <c r="AI81" s="105"/>
      <c r="AJ81" s="106"/>
      <c r="AK81" s="107"/>
      <c r="AL81" s="108"/>
      <c r="AM81" s="107"/>
      <c r="AN81" s="108"/>
      <c r="AO81" s="109"/>
      <c r="AP81" s="110"/>
      <c r="AQ81" s="2"/>
    </row>
    <row r="82" spans="1:43" ht="25.5" customHeight="1">
      <c r="A82" s="842"/>
      <c r="B82" s="866"/>
      <c r="C82" s="866"/>
      <c r="D82" s="1058" t="s">
        <v>138</v>
      </c>
      <c r="E82" s="98">
        <v>1</v>
      </c>
      <c r="F82" s="1037" t="s">
        <v>1276</v>
      </c>
      <c r="G82" s="1066" t="s">
        <v>1279</v>
      </c>
      <c r="H82" s="99" t="s">
        <v>1278</v>
      </c>
      <c r="I82" s="98"/>
      <c r="J82" s="29"/>
      <c r="K82" s="98"/>
      <c r="L82" s="29"/>
      <c r="M82" s="98"/>
      <c r="N82" s="100">
        <v>250000</v>
      </c>
      <c r="O82" s="100">
        <v>4300000</v>
      </c>
      <c r="P82" s="100"/>
      <c r="Q82" s="630">
        <f t="shared" si="25"/>
        <v>4550000</v>
      </c>
      <c r="R82" s="103"/>
      <c r="S82" s="104"/>
      <c r="T82" s="103"/>
      <c r="U82" s="104"/>
      <c r="V82" s="29"/>
      <c r="W82" s="98"/>
      <c r="X82" s="29"/>
      <c r="Y82" s="98"/>
      <c r="Z82" s="29"/>
      <c r="AA82" s="98"/>
      <c r="AB82" s="29"/>
      <c r="AC82" s="98"/>
      <c r="AD82" s="29"/>
      <c r="AE82" s="98"/>
      <c r="AF82" s="29"/>
      <c r="AG82" s="105"/>
      <c r="AH82" s="106"/>
      <c r="AI82" s="105"/>
      <c r="AJ82" s="106"/>
      <c r="AK82" s="107"/>
      <c r="AL82" s="108"/>
      <c r="AM82" s="107"/>
      <c r="AN82" s="108"/>
      <c r="AO82" s="109"/>
      <c r="AP82" s="110"/>
      <c r="AQ82" s="2"/>
    </row>
    <row r="83" spans="1:43" ht="30.75" customHeight="1">
      <c r="A83" s="842"/>
      <c r="B83" s="866"/>
      <c r="C83" s="866"/>
      <c r="D83" s="1058" t="s">
        <v>131</v>
      </c>
      <c r="E83" s="98">
        <v>2</v>
      </c>
      <c r="F83" s="1037" t="s">
        <v>1276</v>
      </c>
      <c r="G83" s="1066" t="s">
        <v>1280</v>
      </c>
      <c r="H83" s="99" t="s">
        <v>1278</v>
      </c>
      <c r="I83" s="98"/>
      <c r="J83" s="29"/>
      <c r="K83" s="98"/>
      <c r="L83" s="29"/>
      <c r="M83" s="98"/>
      <c r="N83" s="100">
        <v>250000</v>
      </c>
      <c r="O83" s="100">
        <v>4300000</v>
      </c>
      <c r="P83" s="100"/>
      <c r="Q83" s="630">
        <f t="shared" si="25"/>
        <v>4550000</v>
      </c>
      <c r="R83" s="103"/>
      <c r="S83" s="104"/>
      <c r="T83" s="103"/>
      <c r="U83" s="104"/>
      <c r="V83" s="29"/>
      <c r="W83" s="98"/>
      <c r="X83" s="29"/>
      <c r="Y83" s="98"/>
      <c r="Z83" s="29"/>
      <c r="AA83" s="98"/>
      <c r="AB83" s="29"/>
      <c r="AC83" s="98"/>
      <c r="AD83" s="29"/>
      <c r="AE83" s="98"/>
      <c r="AF83" s="29"/>
      <c r="AG83" s="105"/>
      <c r="AH83" s="106"/>
      <c r="AI83" s="105"/>
      <c r="AJ83" s="106"/>
      <c r="AK83" s="107"/>
      <c r="AL83" s="108"/>
      <c r="AM83" s="107"/>
      <c r="AN83" s="108"/>
      <c r="AO83" s="109"/>
      <c r="AP83" s="110"/>
      <c r="AQ83" s="2"/>
    </row>
    <row r="84" spans="1:43" ht="30.75" customHeight="1">
      <c r="A84" s="842"/>
      <c r="B84" s="866"/>
      <c r="C84" s="866"/>
      <c r="D84" s="1058" t="s">
        <v>1281</v>
      </c>
      <c r="E84" s="98">
        <v>1</v>
      </c>
      <c r="F84" s="1037" t="s">
        <v>1276</v>
      </c>
      <c r="G84" s="1067" t="s">
        <v>1282</v>
      </c>
      <c r="H84" s="99" t="s">
        <v>1244</v>
      </c>
      <c r="I84" s="98"/>
      <c r="J84" s="29"/>
      <c r="K84" s="98"/>
      <c r="L84" s="29"/>
      <c r="M84" s="98"/>
      <c r="N84" s="100">
        <v>350000</v>
      </c>
      <c r="O84" s="101">
        <v>1400000</v>
      </c>
      <c r="P84" s="100"/>
      <c r="Q84" s="630">
        <f>N84+O84+P84</f>
        <v>1750000</v>
      </c>
      <c r="R84" s="103"/>
      <c r="S84" s="104"/>
      <c r="T84" s="103"/>
      <c r="U84" s="104"/>
      <c r="V84" s="29"/>
      <c r="W84" s="98"/>
      <c r="X84" s="29"/>
      <c r="Y84" s="98"/>
      <c r="Z84" s="29"/>
      <c r="AA84" s="98"/>
      <c r="AB84" s="29"/>
      <c r="AC84" s="98"/>
      <c r="AD84" s="29"/>
      <c r="AE84" s="98"/>
      <c r="AF84" s="29"/>
      <c r="AG84" s="105"/>
      <c r="AH84" s="106"/>
      <c r="AI84" s="105"/>
      <c r="AJ84" s="106"/>
      <c r="AK84" s="107"/>
      <c r="AL84" s="108"/>
      <c r="AM84" s="107"/>
      <c r="AN84" s="108"/>
      <c r="AO84" s="109"/>
      <c r="AP84" s="110"/>
      <c r="AQ84" s="2"/>
    </row>
    <row r="85" spans="1:43" ht="30" customHeight="1">
      <c r="A85" s="842"/>
      <c r="B85" s="866"/>
      <c r="C85" s="866"/>
      <c r="D85" s="1058" t="s">
        <v>131</v>
      </c>
      <c r="E85" s="98">
        <v>1</v>
      </c>
      <c r="F85" s="29" t="s">
        <v>1242</v>
      </c>
      <c r="G85" s="1037" t="s">
        <v>1283</v>
      </c>
      <c r="H85" s="99" t="s">
        <v>1244</v>
      </c>
      <c r="I85" s="98"/>
      <c r="J85" s="29"/>
      <c r="K85" s="98"/>
      <c r="L85" s="29"/>
      <c r="M85" s="98"/>
      <c r="N85" s="100">
        <v>250000</v>
      </c>
      <c r="O85" s="101">
        <v>1900000</v>
      </c>
      <c r="P85" s="100"/>
      <c r="Q85" s="630">
        <f t="shared" si="25"/>
        <v>2150000</v>
      </c>
      <c r="R85" s="103"/>
      <c r="S85" s="104"/>
      <c r="T85" s="103"/>
      <c r="U85" s="104"/>
      <c r="V85" s="29"/>
      <c r="W85" s="98"/>
      <c r="X85" s="29"/>
      <c r="Y85" s="98"/>
      <c r="Z85" s="29"/>
      <c r="AA85" s="98"/>
      <c r="AB85" s="29"/>
      <c r="AC85" s="98"/>
      <c r="AD85" s="29"/>
      <c r="AE85" s="98"/>
      <c r="AF85" s="29"/>
      <c r="AG85" s="105"/>
      <c r="AH85" s="106"/>
      <c r="AI85" s="105"/>
      <c r="AJ85" s="106"/>
      <c r="AK85" s="107"/>
      <c r="AL85" s="108"/>
      <c r="AM85" s="107"/>
      <c r="AN85" s="108"/>
      <c r="AO85" s="109"/>
      <c r="AP85" s="110"/>
      <c r="AQ85" s="2"/>
    </row>
    <row r="86" spans="1:43" ht="33.75" customHeight="1">
      <c r="A86" s="842"/>
      <c r="B86" s="866"/>
      <c r="C86" s="866"/>
      <c r="D86" s="1058" t="s">
        <v>675</v>
      </c>
      <c r="E86" s="98">
        <v>1</v>
      </c>
      <c r="F86" s="29" t="s">
        <v>1181</v>
      </c>
      <c r="G86" s="1037" t="s">
        <v>755</v>
      </c>
      <c r="H86" s="99" t="s">
        <v>1121</v>
      </c>
      <c r="I86" s="98"/>
      <c r="J86" s="29"/>
      <c r="K86" s="98"/>
      <c r="L86" s="29"/>
      <c r="M86" s="98"/>
      <c r="N86" s="100">
        <v>2800000</v>
      </c>
      <c r="O86" s="101">
        <v>7000000</v>
      </c>
      <c r="P86" s="100"/>
      <c r="Q86" s="630">
        <f>N86+O86+P86</f>
        <v>9800000</v>
      </c>
      <c r="R86" s="103"/>
      <c r="S86" s="104"/>
      <c r="T86" s="103"/>
      <c r="U86" s="104"/>
      <c r="V86" s="29"/>
      <c r="W86" s="98"/>
      <c r="X86" s="29"/>
      <c r="Y86" s="98"/>
      <c r="Z86" s="29"/>
      <c r="AA86" s="98"/>
      <c r="AB86" s="29"/>
      <c r="AC86" s="98"/>
      <c r="AD86" s="29"/>
      <c r="AE86" s="98"/>
      <c r="AF86" s="29"/>
      <c r="AG86" s="105"/>
      <c r="AH86" s="106"/>
      <c r="AI86" s="105"/>
      <c r="AJ86" s="106"/>
      <c r="AK86" s="107"/>
      <c r="AL86" s="108"/>
      <c r="AM86" s="107"/>
      <c r="AN86" s="108"/>
      <c r="AO86" s="109"/>
      <c r="AP86" s="110"/>
      <c r="AQ86" s="2"/>
    </row>
    <row r="87" spans="1:43" ht="18.75" customHeight="1">
      <c r="A87" s="842"/>
      <c r="B87" s="866"/>
      <c r="C87" s="866"/>
      <c r="D87" s="1058" t="s">
        <v>50</v>
      </c>
      <c r="E87" s="98">
        <v>1</v>
      </c>
      <c r="F87" s="29" t="s">
        <v>1181</v>
      </c>
      <c r="G87" s="1037" t="s">
        <v>1284</v>
      </c>
      <c r="H87" s="99" t="s">
        <v>1121</v>
      </c>
      <c r="I87" s="98"/>
      <c r="J87" s="29"/>
      <c r="K87" s="98"/>
      <c r="L87" s="29"/>
      <c r="M87" s="98"/>
      <c r="N87" s="100">
        <v>3900000</v>
      </c>
      <c r="O87" s="101">
        <v>7500000</v>
      </c>
      <c r="P87" s="100"/>
      <c r="Q87" s="630">
        <f>N87+O87+P87</f>
        <v>11400000</v>
      </c>
      <c r="R87" s="103"/>
      <c r="S87" s="104"/>
      <c r="T87" s="103"/>
      <c r="U87" s="104"/>
      <c r="V87" s="29"/>
      <c r="W87" s="98"/>
      <c r="X87" s="29"/>
      <c r="Y87" s="98"/>
      <c r="Z87" s="29"/>
      <c r="AA87" s="98"/>
      <c r="AB87" s="29"/>
      <c r="AC87" s="98"/>
      <c r="AD87" s="29"/>
      <c r="AE87" s="98"/>
      <c r="AF87" s="29"/>
      <c r="AG87" s="105"/>
      <c r="AH87" s="106"/>
      <c r="AI87" s="105"/>
      <c r="AJ87" s="106"/>
      <c r="AK87" s="107"/>
      <c r="AL87" s="108"/>
      <c r="AM87" s="107"/>
      <c r="AN87" s="108"/>
      <c r="AO87" s="109"/>
      <c r="AP87" s="110"/>
      <c r="AQ87" s="2"/>
    </row>
    <row r="88" spans="1:43" ht="51.75" customHeight="1">
      <c r="A88" s="842"/>
      <c r="B88" s="866"/>
      <c r="C88" s="866"/>
      <c r="D88" s="1058" t="s">
        <v>1285</v>
      </c>
      <c r="E88" s="98">
        <v>1</v>
      </c>
      <c r="F88" s="29" t="s">
        <v>1286</v>
      </c>
      <c r="G88" s="1037" t="s">
        <v>1287</v>
      </c>
      <c r="H88" s="99" t="s">
        <v>1244</v>
      </c>
      <c r="I88" s="52"/>
      <c r="J88" s="52"/>
      <c r="K88" s="52"/>
      <c r="L88" s="52"/>
      <c r="M88" s="52"/>
      <c r="N88" s="55"/>
      <c r="O88" s="55"/>
      <c r="P88" s="55"/>
      <c r="Q88" s="630">
        <f t="shared" si="25"/>
        <v>0</v>
      </c>
      <c r="R88" s="57"/>
      <c r="S88" s="57"/>
      <c r="T88" s="57"/>
      <c r="U88" s="57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8"/>
      <c r="AH88" s="58"/>
      <c r="AI88" s="58"/>
      <c r="AJ88" s="58"/>
      <c r="AK88" s="59">
        <f>R88*Y88</f>
        <v>0</v>
      </c>
      <c r="AL88" s="59">
        <f t="shared" ref="AL88:AN90" si="26">S88*Z88</f>
        <v>0</v>
      </c>
      <c r="AM88" s="59">
        <f t="shared" si="26"/>
        <v>0</v>
      </c>
      <c r="AN88" s="59">
        <f t="shared" si="26"/>
        <v>0</v>
      </c>
      <c r="AO88" s="13">
        <f>AK88+AL88+AM88+AN88</f>
        <v>0</v>
      </c>
      <c r="AP88" s="60">
        <f>AO88-Q88</f>
        <v>0</v>
      </c>
      <c r="AQ88" s="1"/>
    </row>
    <row r="89" spans="1:43" ht="48" customHeight="1">
      <c r="A89" s="842"/>
      <c r="B89" s="866"/>
      <c r="C89" s="866"/>
      <c r="D89" s="1058" t="s">
        <v>1288</v>
      </c>
      <c r="E89" s="98">
        <v>1</v>
      </c>
      <c r="F89" s="29" t="s">
        <v>1286</v>
      </c>
      <c r="G89" s="1037" t="s">
        <v>1289</v>
      </c>
      <c r="H89" s="99" t="s">
        <v>1244</v>
      </c>
      <c r="I89" s="52"/>
      <c r="J89" s="52"/>
      <c r="K89" s="52"/>
      <c r="L89" s="52"/>
      <c r="M89" s="52"/>
      <c r="N89" s="55"/>
      <c r="O89" s="55"/>
      <c r="P89" s="55"/>
      <c r="Q89" s="630">
        <f t="shared" si="25"/>
        <v>0</v>
      </c>
      <c r="R89" s="57"/>
      <c r="S89" s="57"/>
      <c r="T89" s="57"/>
      <c r="U89" s="57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8"/>
      <c r="AH89" s="58"/>
      <c r="AI89" s="58"/>
      <c r="AJ89" s="58"/>
      <c r="AK89" s="59">
        <f t="shared" ref="AK89:AK90" si="27">R89*Y89</f>
        <v>0</v>
      </c>
      <c r="AL89" s="59">
        <f t="shared" si="26"/>
        <v>0</v>
      </c>
      <c r="AM89" s="59">
        <f t="shared" si="26"/>
        <v>0</v>
      </c>
      <c r="AN89" s="59">
        <f t="shared" si="26"/>
        <v>0</v>
      </c>
      <c r="AO89" s="13">
        <f t="shared" ref="AO89:AO90" si="28">AK89+AL89+AM89+AN89</f>
        <v>0</v>
      </c>
      <c r="AP89" s="60">
        <f t="shared" ref="AP89:AP90" si="29">AO89-Q89</f>
        <v>0</v>
      </c>
      <c r="AQ89" s="1"/>
    </row>
    <row r="90" spans="1:43" ht="30.75" customHeight="1" thickBot="1">
      <c r="A90" s="843"/>
      <c r="B90" s="955"/>
      <c r="C90" s="955"/>
      <c r="D90" s="1058" t="s">
        <v>131</v>
      </c>
      <c r="E90" s="98">
        <v>1</v>
      </c>
      <c r="F90" s="29" t="s">
        <v>1286</v>
      </c>
      <c r="G90" s="1037" t="s">
        <v>1290</v>
      </c>
      <c r="H90" s="99" t="s">
        <v>1244</v>
      </c>
      <c r="I90" s="112"/>
      <c r="J90" s="112"/>
      <c r="K90" s="112"/>
      <c r="L90" s="112"/>
      <c r="M90" s="112"/>
      <c r="N90" s="113"/>
      <c r="O90" s="113"/>
      <c r="P90" s="113"/>
      <c r="Q90" s="630">
        <f t="shared" si="25"/>
        <v>0</v>
      </c>
      <c r="R90" s="114"/>
      <c r="S90" s="114"/>
      <c r="T90" s="114"/>
      <c r="U90" s="114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5"/>
      <c r="AH90" s="115"/>
      <c r="AI90" s="115"/>
      <c r="AJ90" s="115"/>
      <c r="AK90" s="135">
        <f t="shared" si="27"/>
        <v>0</v>
      </c>
      <c r="AL90" s="135">
        <f t="shared" si="26"/>
        <v>0</v>
      </c>
      <c r="AM90" s="135">
        <f t="shared" si="26"/>
        <v>0</v>
      </c>
      <c r="AN90" s="135">
        <f t="shared" si="26"/>
        <v>0</v>
      </c>
      <c r="AO90" s="72">
        <f t="shared" si="28"/>
        <v>0</v>
      </c>
      <c r="AP90" s="342">
        <f t="shared" si="29"/>
        <v>0</v>
      </c>
      <c r="AQ90" s="1"/>
    </row>
    <row r="91" spans="1:43" ht="45" customHeight="1" thickBot="1">
      <c r="A91" s="136"/>
      <c r="B91" s="137" t="s">
        <v>115</v>
      </c>
      <c r="C91" s="138">
        <f>SUM(C58:C90)</f>
        <v>21</v>
      </c>
      <c r="D91" s="138"/>
      <c r="E91" s="138">
        <f>SUM(E58:E90)</f>
        <v>35</v>
      </c>
      <c r="F91" s="137"/>
      <c r="G91" s="137"/>
      <c r="H91" s="137"/>
      <c r="I91" s="137"/>
      <c r="J91" s="137"/>
      <c r="K91" s="137"/>
      <c r="L91" s="137"/>
      <c r="M91" s="139"/>
      <c r="N91" s="140">
        <f>SUM(N58:N90)</f>
        <v>18038508</v>
      </c>
      <c r="O91" s="141">
        <f>SUM(O58:O90)</f>
        <v>52931514</v>
      </c>
      <c r="P91" s="137">
        <f>SUM(P58:P90)</f>
        <v>0</v>
      </c>
      <c r="Q91" s="137">
        <f>SUM(Q58:Q90)</f>
        <v>70970022</v>
      </c>
      <c r="R91" s="137">
        <f t="shared" ref="R91:AP91" si="30">SUM(R88:R90)</f>
        <v>0</v>
      </c>
      <c r="S91" s="137">
        <f t="shared" si="30"/>
        <v>0</v>
      </c>
      <c r="T91" s="137">
        <f t="shared" si="30"/>
        <v>0</v>
      </c>
      <c r="U91" s="137">
        <f t="shared" si="30"/>
        <v>0</v>
      </c>
      <c r="V91" s="137">
        <f t="shared" si="30"/>
        <v>0</v>
      </c>
      <c r="W91" s="137">
        <f t="shared" si="30"/>
        <v>0</v>
      </c>
      <c r="X91" s="137">
        <f t="shared" si="30"/>
        <v>0</v>
      </c>
      <c r="Y91" s="137">
        <f t="shared" si="30"/>
        <v>0</v>
      </c>
      <c r="Z91" s="137">
        <f t="shared" si="30"/>
        <v>0</v>
      </c>
      <c r="AA91" s="137">
        <f t="shared" si="30"/>
        <v>0</v>
      </c>
      <c r="AB91" s="137">
        <f t="shared" si="30"/>
        <v>0</v>
      </c>
      <c r="AC91" s="137">
        <f t="shared" si="30"/>
        <v>0</v>
      </c>
      <c r="AD91" s="137">
        <f t="shared" si="30"/>
        <v>0</v>
      </c>
      <c r="AE91" s="137">
        <f t="shared" si="30"/>
        <v>0</v>
      </c>
      <c r="AF91" s="137">
        <f t="shared" si="30"/>
        <v>0</v>
      </c>
      <c r="AG91" s="137">
        <f t="shared" si="30"/>
        <v>0</v>
      </c>
      <c r="AH91" s="137">
        <f t="shared" si="30"/>
        <v>0</v>
      </c>
      <c r="AI91" s="137">
        <f t="shared" si="30"/>
        <v>0</v>
      </c>
      <c r="AJ91" s="137">
        <f t="shared" si="30"/>
        <v>0</v>
      </c>
      <c r="AK91" s="137">
        <f t="shared" si="30"/>
        <v>0</v>
      </c>
      <c r="AL91" s="137">
        <f t="shared" si="30"/>
        <v>0</v>
      </c>
      <c r="AM91" s="137">
        <f t="shared" si="30"/>
        <v>0</v>
      </c>
      <c r="AN91" s="137">
        <f t="shared" si="30"/>
        <v>0</v>
      </c>
      <c r="AO91" s="137">
        <f t="shared" si="30"/>
        <v>0</v>
      </c>
      <c r="AP91" s="211">
        <f t="shared" si="30"/>
        <v>0</v>
      </c>
      <c r="AQ91" s="1"/>
    </row>
    <row r="92" spans="1:43" ht="78" customHeight="1">
      <c r="A92" s="540">
        <v>1</v>
      </c>
      <c r="B92" s="52" t="s">
        <v>1291</v>
      </c>
      <c r="C92" s="52">
        <v>9</v>
      </c>
      <c r="D92" s="53" t="s">
        <v>1292</v>
      </c>
      <c r="E92" s="39">
        <v>1</v>
      </c>
      <c r="F92" s="7" t="s">
        <v>1293</v>
      </c>
      <c r="G92" s="53" t="s">
        <v>1294</v>
      </c>
      <c r="H92" s="132" t="s">
        <v>127</v>
      </c>
      <c r="I92" s="52"/>
      <c r="J92" s="52"/>
      <c r="K92" s="52"/>
      <c r="L92" s="52" t="s">
        <v>17</v>
      </c>
      <c r="M92" s="52"/>
      <c r="N92" s="746">
        <v>2105715</v>
      </c>
      <c r="O92" s="746">
        <v>4064664</v>
      </c>
      <c r="P92" s="746">
        <v>1890000</v>
      </c>
      <c r="Q92" s="747">
        <f>N92+O92+P92</f>
        <v>8060379</v>
      </c>
      <c r="R92" s="57"/>
      <c r="S92" s="57"/>
      <c r="T92" s="1068"/>
      <c r="U92" s="1068" t="s">
        <v>1295</v>
      </c>
      <c r="V92" s="52">
        <v>4433</v>
      </c>
      <c r="W92" s="52">
        <v>21</v>
      </c>
      <c r="X92" s="52"/>
      <c r="Y92" s="52" t="s">
        <v>132</v>
      </c>
      <c r="Z92" s="52"/>
      <c r="AA92" s="744"/>
      <c r="AB92" s="231" t="s">
        <v>1296</v>
      </c>
      <c r="AC92" s="744"/>
      <c r="AD92" s="744"/>
      <c r="AE92" s="744"/>
      <c r="AF92" s="744" t="s">
        <v>1297</v>
      </c>
      <c r="AG92" s="748"/>
      <c r="AH92" s="748"/>
      <c r="AI92" s="748"/>
      <c r="AJ92" s="748">
        <v>760900</v>
      </c>
      <c r="AK92" s="749">
        <v>0</v>
      </c>
      <c r="AL92" s="749">
        <v>0</v>
      </c>
      <c r="AM92" s="749">
        <v>0</v>
      </c>
      <c r="AN92" s="749">
        <v>3700550</v>
      </c>
      <c r="AO92" s="749">
        <f>SUM(AJ92+AK92+AL92+AM92+AN92)</f>
        <v>4461450</v>
      </c>
      <c r="AP92" s="1069" t="s">
        <v>1298</v>
      </c>
      <c r="AQ92" s="1"/>
    </row>
    <row r="93" spans="1:43" ht="58.5" customHeight="1">
      <c r="A93" s="540"/>
      <c r="B93" s="52"/>
      <c r="C93" s="52"/>
      <c r="D93" s="53" t="s">
        <v>1299</v>
      </c>
      <c r="E93" s="39">
        <v>1</v>
      </c>
      <c r="F93" s="7" t="s">
        <v>1300</v>
      </c>
      <c r="G93" s="53" t="s">
        <v>1301</v>
      </c>
      <c r="H93" s="132" t="s">
        <v>127</v>
      </c>
      <c r="I93" s="52"/>
      <c r="J93" s="52"/>
      <c r="K93" s="52"/>
      <c r="L93" s="52" t="s">
        <v>17</v>
      </c>
      <c r="M93" s="52"/>
      <c r="N93" s="746">
        <v>1343455</v>
      </c>
      <c r="O93" s="746">
        <v>2760514</v>
      </c>
      <c r="P93" s="746">
        <v>1894262</v>
      </c>
      <c r="Q93" s="747">
        <f>N93+O93+P93</f>
        <v>5998231</v>
      </c>
      <c r="R93" s="57"/>
      <c r="S93" s="57"/>
      <c r="T93" s="10" t="s">
        <v>1302</v>
      </c>
      <c r="U93" s="57"/>
      <c r="V93" s="52"/>
      <c r="W93" s="52">
        <v>8</v>
      </c>
      <c r="X93" s="52"/>
      <c r="Y93" s="52"/>
      <c r="Z93" s="52"/>
      <c r="AA93" s="744" t="s">
        <v>1303</v>
      </c>
      <c r="AB93" s="231"/>
      <c r="AC93" s="744"/>
      <c r="AD93" s="744"/>
      <c r="AE93" s="744"/>
      <c r="AF93" s="744" t="s">
        <v>1304</v>
      </c>
      <c r="AG93" s="748"/>
      <c r="AH93" s="748"/>
      <c r="AI93" s="748"/>
      <c r="AJ93" s="748">
        <v>140500</v>
      </c>
      <c r="AK93" s="749">
        <v>0</v>
      </c>
      <c r="AL93" s="749">
        <v>0</v>
      </c>
      <c r="AM93" s="749">
        <v>0</v>
      </c>
      <c r="AN93" s="749">
        <v>660000</v>
      </c>
      <c r="AO93" s="749">
        <f>SUM(AN93+AM93+AL93+AK93+AJ93)</f>
        <v>800500</v>
      </c>
      <c r="AP93" s="1069" t="s">
        <v>1305</v>
      </c>
      <c r="AQ93" s="1"/>
    </row>
    <row r="94" spans="1:43" ht="58.5" customHeight="1">
      <c r="A94" s="542"/>
      <c r="B94" s="112"/>
      <c r="C94" s="112"/>
      <c r="D94" s="112" t="s">
        <v>1306</v>
      </c>
      <c r="E94" s="65">
        <v>1</v>
      </c>
      <c r="F94" s="66" t="s">
        <v>1307</v>
      </c>
      <c r="G94" s="604" t="s">
        <v>1308</v>
      </c>
      <c r="H94" s="132" t="s">
        <v>127</v>
      </c>
      <c r="I94" s="112"/>
      <c r="J94" s="112"/>
      <c r="K94" s="112"/>
      <c r="L94" s="52" t="s">
        <v>17</v>
      </c>
      <c r="M94" s="112"/>
      <c r="N94" s="754">
        <v>1627616</v>
      </c>
      <c r="O94" s="746">
        <v>645112</v>
      </c>
      <c r="P94" s="754">
        <v>1027250</v>
      </c>
      <c r="Q94" s="747">
        <f>N94+O94+P94</f>
        <v>3299978</v>
      </c>
      <c r="R94" s="114"/>
      <c r="S94" s="114"/>
      <c r="T94" s="114"/>
      <c r="U94" s="1070" t="s">
        <v>1309</v>
      </c>
      <c r="V94" s="112"/>
      <c r="W94" s="112"/>
      <c r="X94" s="112"/>
      <c r="Y94" s="112"/>
      <c r="Z94" s="112"/>
      <c r="AA94" s="752"/>
      <c r="AB94" s="250" t="s">
        <v>1310</v>
      </c>
      <c r="AC94" s="752"/>
      <c r="AD94" s="752"/>
      <c r="AE94" s="752"/>
      <c r="AF94" s="752"/>
      <c r="AG94" s="755"/>
      <c r="AH94" s="755"/>
      <c r="AI94" s="755"/>
      <c r="AJ94" s="755">
        <v>828720</v>
      </c>
      <c r="AK94" s="756">
        <f t="shared" ref="AK94:AM94" si="31">R94*Y94</f>
        <v>0</v>
      </c>
      <c r="AL94" s="756">
        <v>0</v>
      </c>
      <c r="AM94" s="756">
        <f t="shared" si="31"/>
        <v>0</v>
      </c>
      <c r="AN94" s="756">
        <v>0</v>
      </c>
      <c r="AO94" s="257">
        <v>828720</v>
      </c>
      <c r="AP94" s="1071" t="s">
        <v>1311</v>
      </c>
      <c r="AQ94" s="1" t="s">
        <v>1312</v>
      </c>
    </row>
    <row r="95" spans="1:43" ht="60" customHeight="1">
      <c r="A95" s="542"/>
      <c r="B95" s="112"/>
      <c r="C95" s="112"/>
      <c r="D95" s="604" t="s">
        <v>1292</v>
      </c>
      <c r="E95" s="65">
        <v>1</v>
      </c>
      <c r="F95" s="66" t="s">
        <v>1313</v>
      </c>
      <c r="G95" s="112" t="s">
        <v>1039</v>
      </c>
      <c r="H95" s="132"/>
      <c r="I95" s="112"/>
      <c r="J95" s="112"/>
      <c r="K95" s="112"/>
      <c r="L95" s="52"/>
      <c r="M95" s="112"/>
      <c r="N95" s="754">
        <v>2053669</v>
      </c>
      <c r="O95" s="754">
        <v>3338590</v>
      </c>
      <c r="P95" s="754">
        <v>955350</v>
      </c>
      <c r="Q95" s="747">
        <f>N95+O95+P95</f>
        <v>6347609</v>
      </c>
      <c r="R95" s="114"/>
      <c r="S95" s="114"/>
      <c r="T95" s="114"/>
      <c r="U95" s="1068" t="s">
        <v>1295</v>
      </c>
      <c r="V95" s="839"/>
      <c r="W95" s="112">
        <v>22</v>
      </c>
      <c r="X95" s="112"/>
      <c r="Y95" s="112"/>
      <c r="Z95" s="112"/>
      <c r="AA95" s="752"/>
      <c r="AB95" s="250" t="s">
        <v>1314</v>
      </c>
      <c r="AC95" s="752"/>
      <c r="AD95" s="752"/>
      <c r="AE95" s="752"/>
      <c r="AF95" s="752" t="s">
        <v>1315</v>
      </c>
      <c r="AG95" s="755"/>
      <c r="AH95" s="755"/>
      <c r="AI95" s="755"/>
      <c r="AJ95" s="755">
        <v>763500</v>
      </c>
      <c r="AK95" s="756"/>
      <c r="AL95" s="756"/>
      <c r="AM95" s="756"/>
      <c r="AN95" s="756">
        <v>510000</v>
      </c>
      <c r="AO95" s="257">
        <v>1273500</v>
      </c>
      <c r="AP95" s="1071" t="s">
        <v>1316</v>
      </c>
      <c r="AQ95" s="1"/>
    </row>
    <row r="96" spans="1:43" ht="48.75" customHeight="1">
      <c r="A96" s="540"/>
      <c r="B96" s="52"/>
      <c r="C96" s="52"/>
      <c r="D96" s="53" t="s">
        <v>1317</v>
      </c>
      <c r="E96" s="39">
        <v>1</v>
      </c>
      <c r="F96" s="7" t="s">
        <v>1318</v>
      </c>
      <c r="G96" s="53" t="s">
        <v>1317</v>
      </c>
      <c r="H96" s="132" t="s">
        <v>819</v>
      </c>
      <c r="I96" s="52"/>
      <c r="J96" s="52"/>
      <c r="K96" s="52"/>
      <c r="L96" s="52" t="s">
        <v>17</v>
      </c>
      <c r="M96" s="52"/>
      <c r="N96" s="746">
        <v>0</v>
      </c>
      <c r="O96" s="746">
        <v>0</v>
      </c>
      <c r="P96" s="746">
        <v>0</v>
      </c>
      <c r="Q96" s="747">
        <f t="shared" ref="Q96:Q101" si="32">N96+O96+P96</f>
        <v>0</v>
      </c>
      <c r="R96" s="57">
        <v>25000</v>
      </c>
      <c r="S96" s="57"/>
      <c r="T96" s="1068"/>
      <c r="U96" s="1068"/>
      <c r="W96" s="52">
        <v>0</v>
      </c>
      <c r="X96" s="52">
        <v>0</v>
      </c>
      <c r="Y96" s="52">
        <v>0</v>
      </c>
      <c r="Z96" s="52">
        <v>0</v>
      </c>
      <c r="AA96" s="744">
        <v>0</v>
      </c>
      <c r="AB96" s="232">
        <v>0</v>
      </c>
      <c r="AC96" s="744"/>
      <c r="AD96" s="744"/>
      <c r="AE96" s="744"/>
      <c r="AF96" s="744"/>
      <c r="AG96" s="748"/>
      <c r="AH96" s="748"/>
      <c r="AI96" s="748"/>
      <c r="AJ96" s="748"/>
      <c r="AK96" s="749"/>
      <c r="AL96" s="749"/>
      <c r="AM96" s="749"/>
      <c r="AN96" s="749"/>
      <c r="AO96" s="749"/>
      <c r="AP96" s="1069"/>
      <c r="AQ96" s="1"/>
    </row>
    <row r="97" spans="1:43" ht="49.5" customHeight="1">
      <c r="A97" s="540"/>
      <c r="B97" s="52"/>
      <c r="C97" s="52"/>
      <c r="D97" s="53" t="s">
        <v>1319</v>
      </c>
      <c r="E97" s="39">
        <v>1</v>
      </c>
      <c r="F97" s="7" t="s">
        <v>1318</v>
      </c>
      <c r="G97" s="53" t="s">
        <v>1319</v>
      </c>
      <c r="H97" s="132" t="s">
        <v>819</v>
      </c>
      <c r="I97" s="52"/>
      <c r="J97" s="52"/>
      <c r="K97" s="52"/>
      <c r="L97" s="52" t="s">
        <v>17</v>
      </c>
      <c r="M97" s="52"/>
      <c r="N97" s="746">
        <v>0</v>
      </c>
      <c r="O97" s="746">
        <v>0</v>
      </c>
      <c r="P97" s="746">
        <v>0</v>
      </c>
      <c r="Q97" s="747">
        <f t="shared" si="32"/>
        <v>0</v>
      </c>
      <c r="R97" s="57">
        <v>15000</v>
      </c>
      <c r="S97" s="57"/>
      <c r="T97" s="10"/>
      <c r="U97" s="57"/>
      <c r="V97" s="52"/>
      <c r="W97" s="52">
        <v>0</v>
      </c>
      <c r="X97" s="52">
        <v>0</v>
      </c>
      <c r="Y97" s="52"/>
      <c r="Z97" s="52"/>
      <c r="AA97" s="744"/>
      <c r="AB97" s="231">
        <v>0</v>
      </c>
      <c r="AC97" s="744"/>
      <c r="AD97" s="744"/>
      <c r="AE97" s="744"/>
      <c r="AF97" s="744"/>
      <c r="AG97" s="748"/>
      <c r="AH97" s="748"/>
      <c r="AI97" s="748"/>
      <c r="AJ97" s="748">
        <v>0</v>
      </c>
      <c r="AK97" s="749"/>
      <c r="AL97" s="749"/>
      <c r="AM97" s="749"/>
      <c r="AN97" s="749">
        <v>0</v>
      </c>
      <c r="AO97" s="749">
        <v>0</v>
      </c>
      <c r="AP97" s="1069" t="s">
        <v>1320</v>
      </c>
      <c r="AQ97" s="1"/>
    </row>
    <row r="98" spans="1:43" ht="50.25" customHeight="1">
      <c r="A98" s="542"/>
      <c r="B98" s="112"/>
      <c r="C98" s="112"/>
      <c r="D98" s="53" t="s">
        <v>1321</v>
      </c>
      <c r="E98" s="65">
        <v>1</v>
      </c>
      <c r="F98" s="7" t="s">
        <v>1318</v>
      </c>
      <c r="G98" s="604" t="s">
        <v>1321</v>
      </c>
      <c r="H98" s="132" t="s">
        <v>819</v>
      </c>
      <c r="I98" s="112"/>
      <c r="J98" s="112"/>
      <c r="K98" s="112"/>
      <c r="L98" s="52" t="s">
        <v>17</v>
      </c>
      <c r="M98" s="112"/>
      <c r="N98" s="746">
        <v>0</v>
      </c>
      <c r="O98" s="746">
        <v>0</v>
      </c>
      <c r="P98" s="746">
        <v>0</v>
      </c>
      <c r="Q98" s="747">
        <f t="shared" si="32"/>
        <v>0</v>
      </c>
      <c r="R98" s="114">
        <v>60000</v>
      </c>
      <c r="S98" s="114"/>
      <c r="T98" s="493"/>
      <c r="U98" s="114"/>
      <c r="V98" s="112"/>
      <c r="W98" s="112">
        <v>0</v>
      </c>
      <c r="X98" s="112">
        <v>0</v>
      </c>
      <c r="Y98" s="112"/>
      <c r="Z98" s="112"/>
      <c r="AA98" s="752"/>
      <c r="AB98" s="750"/>
      <c r="AC98" s="752"/>
      <c r="AD98" s="752"/>
      <c r="AE98" s="752"/>
      <c r="AF98" s="752"/>
      <c r="AG98" s="755"/>
      <c r="AH98" s="755"/>
      <c r="AI98" s="755"/>
      <c r="AJ98" s="755"/>
      <c r="AK98" s="756"/>
      <c r="AL98" s="756"/>
      <c r="AM98" s="756"/>
      <c r="AN98" s="756"/>
      <c r="AO98" s="756"/>
      <c r="AP98" s="1071"/>
      <c r="AQ98" s="1"/>
    </row>
    <row r="99" spans="1:43" ht="67.5" customHeight="1">
      <c r="A99" s="542"/>
      <c r="B99" s="112"/>
      <c r="C99" s="112"/>
      <c r="D99" s="53" t="s">
        <v>1322</v>
      </c>
      <c r="E99" s="65">
        <v>1</v>
      </c>
      <c r="F99" s="7" t="s">
        <v>1323</v>
      </c>
      <c r="G99" s="53" t="s">
        <v>1322</v>
      </c>
      <c r="H99" s="132" t="s">
        <v>819</v>
      </c>
      <c r="I99" s="112"/>
      <c r="J99" s="112"/>
      <c r="K99" s="112"/>
      <c r="L99" s="52" t="s">
        <v>17</v>
      </c>
      <c r="M99" s="112"/>
      <c r="N99" s="746">
        <v>0</v>
      </c>
      <c r="O99" s="746">
        <v>0</v>
      </c>
      <c r="P99" s="746">
        <v>0</v>
      </c>
      <c r="Q99" s="747">
        <f t="shared" si="32"/>
        <v>0</v>
      </c>
      <c r="R99" s="114">
        <v>15000</v>
      </c>
      <c r="S99" s="114"/>
      <c r="T99" s="493"/>
      <c r="U99" s="114"/>
      <c r="V99" s="112"/>
      <c r="W99" s="112"/>
      <c r="X99" s="112"/>
      <c r="Y99" s="112"/>
      <c r="Z99" s="112"/>
      <c r="AA99" s="752"/>
      <c r="AB99" s="750"/>
      <c r="AC99" s="752"/>
      <c r="AD99" s="752"/>
      <c r="AE99" s="752"/>
      <c r="AF99" s="752"/>
      <c r="AG99" s="755"/>
      <c r="AH99" s="755"/>
      <c r="AI99" s="755"/>
      <c r="AJ99" s="755"/>
      <c r="AK99" s="756"/>
      <c r="AL99" s="756"/>
      <c r="AM99" s="756"/>
      <c r="AN99" s="756"/>
      <c r="AO99" s="756"/>
      <c r="AP99" s="756"/>
      <c r="AQ99" s="1"/>
    </row>
    <row r="100" spans="1:43" ht="58.5" customHeight="1">
      <c r="A100" s="542"/>
      <c r="B100" s="112"/>
      <c r="C100" s="112"/>
      <c r="D100" s="604" t="s">
        <v>1324</v>
      </c>
      <c r="E100" s="65">
        <v>1</v>
      </c>
      <c r="F100" s="66" t="s">
        <v>1323</v>
      </c>
      <c r="G100" s="112" t="s">
        <v>1324</v>
      </c>
      <c r="H100" s="142" t="s">
        <v>819</v>
      </c>
      <c r="I100" s="112"/>
      <c r="J100" s="112"/>
      <c r="K100" s="112"/>
      <c r="L100" s="112" t="s">
        <v>17</v>
      </c>
      <c r="M100" s="112"/>
      <c r="N100" s="754">
        <v>0</v>
      </c>
      <c r="O100" s="754">
        <v>0</v>
      </c>
      <c r="P100" s="746">
        <v>0</v>
      </c>
      <c r="Q100" s="747">
        <f t="shared" si="32"/>
        <v>0</v>
      </c>
      <c r="R100" s="57">
        <v>12000</v>
      </c>
      <c r="S100" s="57"/>
      <c r="T100" s="57"/>
      <c r="U100" s="1068"/>
      <c r="V100" s="52"/>
      <c r="W100" s="52">
        <v>0</v>
      </c>
      <c r="X100" s="52">
        <v>0</v>
      </c>
      <c r="Y100" s="52"/>
      <c r="Z100" s="52"/>
      <c r="AA100" s="744"/>
      <c r="AB100" s="232">
        <v>0</v>
      </c>
      <c r="AC100" s="744"/>
      <c r="AD100" s="744"/>
      <c r="AE100" s="744"/>
      <c r="AF100" s="744"/>
      <c r="AG100" s="748"/>
      <c r="AH100" s="748"/>
      <c r="AI100" s="748"/>
      <c r="AJ100" s="748">
        <v>30700</v>
      </c>
      <c r="AK100" s="749">
        <f t="shared" ref="AK100:AM100" si="33">R100*Y100</f>
        <v>0</v>
      </c>
      <c r="AL100" s="749">
        <f t="shared" si="33"/>
        <v>0</v>
      </c>
      <c r="AM100" s="749">
        <f t="shared" si="33"/>
        <v>0</v>
      </c>
      <c r="AN100" s="749"/>
      <c r="AO100" s="749">
        <v>30700</v>
      </c>
      <c r="AP100" s="749">
        <v>30700</v>
      </c>
      <c r="AQ100" s="1"/>
    </row>
    <row r="101" spans="1:43" ht="44.25" customHeight="1" thickBot="1">
      <c r="A101" s="1072"/>
      <c r="B101" s="1073"/>
      <c r="C101" s="1073"/>
      <c r="D101" s="53" t="s">
        <v>1325</v>
      </c>
      <c r="E101" s="39">
        <v>1</v>
      </c>
      <c r="F101" s="7" t="s">
        <v>1326</v>
      </c>
      <c r="G101" s="53" t="s">
        <v>1325</v>
      </c>
      <c r="H101" s="132" t="s">
        <v>819</v>
      </c>
      <c r="I101" s="52"/>
      <c r="J101" s="52"/>
      <c r="K101" s="52"/>
      <c r="L101" s="52" t="s">
        <v>17</v>
      </c>
      <c r="M101" s="52"/>
      <c r="N101" s="746">
        <v>402600</v>
      </c>
      <c r="O101" s="746">
        <v>145500</v>
      </c>
      <c r="P101" s="746">
        <v>104000</v>
      </c>
      <c r="Q101" s="747">
        <f t="shared" si="32"/>
        <v>652100</v>
      </c>
      <c r="R101" s="1074">
        <v>35000</v>
      </c>
      <c r="S101" s="1074"/>
      <c r="T101" s="1074"/>
      <c r="U101" s="1075"/>
      <c r="V101" s="1073"/>
      <c r="W101" s="1073">
        <v>3</v>
      </c>
      <c r="X101" s="1073"/>
      <c r="Y101" s="1073"/>
      <c r="Z101" s="1073"/>
      <c r="AA101" s="1076"/>
      <c r="AB101" s="367"/>
      <c r="AC101" s="1076"/>
      <c r="AD101" s="1076"/>
      <c r="AE101" s="1076"/>
      <c r="AF101" s="1076"/>
      <c r="AG101" s="1077"/>
      <c r="AH101" s="1077"/>
      <c r="AI101" s="1077"/>
      <c r="AJ101" s="1077">
        <v>371000</v>
      </c>
      <c r="AK101" s="1078"/>
      <c r="AL101" s="1078"/>
      <c r="AM101" s="1078"/>
      <c r="AN101" s="1078"/>
      <c r="AO101" s="1078">
        <v>371000</v>
      </c>
      <c r="AP101" s="1078">
        <v>-281100</v>
      </c>
      <c r="AQ101" s="1"/>
    </row>
    <row r="102" spans="1:43" ht="27.75" customHeight="1" thickBot="1">
      <c r="A102" s="136"/>
      <c r="B102" s="137" t="s">
        <v>115</v>
      </c>
      <c r="C102" s="137">
        <f>SUM(C92:C94)</f>
        <v>9</v>
      </c>
      <c r="D102" s="194"/>
      <c r="E102" s="195">
        <v>9</v>
      </c>
      <c r="F102" s="195"/>
      <c r="G102" s="194"/>
      <c r="H102" s="195"/>
      <c r="I102" s="194"/>
      <c r="J102" s="194"/>
      <c r="K102" s="194"/>
      <c r="L102" s="194"/>
      <c r="M102" s="196"/>
      <c r="N102" s="1079">
        <f>SUM(N92:N101)</f>
        <v>7533055</v>
      </c>
      <c r="O102" s="1079">
        <f t="shared" ref="O102:Q102" si="34">SUM(O92:O101)</f>
        <v>10954380</v>
      </c>
      <c r="P102" s="1079">
        <f t="shared" si="34"/>
        <v>5870862</v>
      </c>
      <c r="Q102" s="1079">
        <f t="shared" si="34"/>
        <v>24358297</v>
      </c>
      <c r="R102" s="137"/>
      <c r="S102" s="137">
        <f>SUM(S92:S94)</f>
        <v>0</v>
      </c>
      <c r="T102" s="137">
        <v>700</v>
      </c>
      <c r="U102" s="137">
        <f>SUM(U92:U94)</f>
        <v>0</v>
      </c>
      <c r="V102" s="137">
        <f>SUM(V92:V100)</f>
        <v>4433</v>
      </c>
      <c r="W102" s="137">
        <f t="shared" ref="W102:AM102" si="35">SUM(W92:W100)</f>
        <v>51</v>
      </c>
      <c r="X102" s="137">
        <f t="shared" si="35"/>
        <v>0</v>
      </c>
      <c r="Y102" s="137">
        <f t="shared" si="35"/>
        <v>0</v>
      </c>
      <c r="Z102" s="137">
        <f t="shared" si="35"/>
        <v>0</v>
      </c>
      <c r="AA102" s="137">
        <f t="shared" si="35"/>
        <v>0</v>
      </c>
      <c r="AB102" s="138">
        <f t="shared" si="35"/>
        <v>0</v>
      </c>
      <c r="AC102" s="137">
        <f t="shared" si="35"/>
        <v>0</v>
      </c>
      <c r="AD102" s="137">
        <f t="shared" si="35"/>
        <v>0</v>
      </c>
      <c r="AE102" s="137">
        <f>SUM(AE92:AE100)</f>
        <v>0</v>
      </c>
      <c r="AF102" s="137">
        <f t="shared" si="35"/>
        <v>0</v>
      </c>
      <c r="AG102" s="137">
        <f t="shared" si="35"/>
        <v>0</v>
      </c>
      <c r="AH102" s="137">
        <f t="shared" si="35"/>
        <v>0</v>
      </c>
      <c r="AI102" s="137">
        <f t="shared" si="35"/>
        <v>0</v>
      </c>
      <c r="AJ102" s="137">
        <f t="shared" si="35"/>
        <v>2524320</v>
      </c>
      <c r="AK102" s="137">
        <f t="shared" si="35"/>
        <v>0</v>
      </c>
      <c r="AL102" s="137">
        <f>SUM(AL92:AL100)</f>
        <v>0</v>
      </c>
      <c r="AM102" s="137">
        <f t="shared" si="35"/>
        <v>0</v>
      </c>
      <c r="AN102" s="137">
        <f>SUM(AN92:AN101)</f>
        <v>4870550</v>
      </c>
      <c r="AO102" s="137">
        <f>SUM(AO92:AO101)</f>
        <v>7765870</v>
      </c>
      <c r="AP102" s="1080">
        <f>AP92+AP93+AP94+AP95+AP99+AP100</f>
        <v>-16311328</v>
      </c>
      <c r="AQ102" s="1" t="s">
        <v>1327</v>
      </c>
    </row>
    <row r="103" spans="1:43" ht="64.5" customHeight="1" thickBot="1">
      <c r="A103" s="540">
        <v>1</v>
      </c>
      <c r="B103" s="52" t="s">
        <v>1328</v>
      </c>
      <c r="C103" s="52">
        <v>2</v>
      </c>
      <c r="D103" s="53" t="s">
        <v>881</v>
      </c>
      <c r="E103" s="52">
        <v>1</v>
      </c>
      <c r="F103" s="52" t="s">
        <v>1329</v>
      </c>
      <c r="G103" s="7" t="s">
        <v>1330</v>
      </c>
      <c r="H103" s="54" t="s">
        <v>60</v>
      </c>
      <c r="I103" s="52"/>
      <c r="J103" s="52"/>
      <c r="K103" s="52"/>
      <c r="L103" s="52" t="s">
        <v>1331</v>
      </c>
      <c r="M103" s="52"/>
      <c r="N103" s="55">
        <v>1193760</v>
      </c>
      <c r="O103" s="55">
        <v>1354000</v>
      </c>
      <c r="P103" s="55">
        <v>465740</v>
      </c>
      <c r="Q103" s="56">
        <v>2983410</v>
      </c>
      <c r="R103" s="57"/>
      <c r="S103" s="57">
        <v>7000</v>
      </c>
      <c r="T103" s="57">
        <v>14000</v>
      </c>
      <c r="U103" s="57"/>
      <c r="V103" s="52">
        <v>1150</v>
      </c>
      <c r="W103" s="52">
        <v>39</v>
      </c>
      <c r="X103" s="52">
        <v>3.3000000000000002E-2</v>
      </c>
      <c r="Y103" s="52"/>
      <c r="Z103" s="52"/>
      <c r="AA103" s="52"/>
      <c r="AB103" s="52"/>
      <c r="AC103" s="52"/>
      <c r="AD103" s="52">
        <v>915</v>
      </c>
      <c r="AE103" s="52">
        <v>11.2</v>
      </c>
      <c r="AF103" s="52"/>
      <c r="AG103" s="58"/>
      <c r="AH103" s="58">
        <v>2053050</v>
      </c>
      <c r="AI103" s="58">
        <v>2214920</v>
      </c>
      <c r="AJ103" s="58">
        <v>938100</v>
      </c>
      <c r="AK103" s="59">
        <f>R103*Y103</f>
        <v>0</v>
      </c>
      <c r="AL103" s="59">
        <v>2053050</v>
      </c>
      <c r="AM103" s="59">
        <v>2214920</v>
      </c>
      <c r="AN103" s="59">
        <v>938100</v>
      </c>
      <c r="AO103" s="13">
        <f>AK103+AL103+AM103+AN103</f>
        <v>5206070</v>
      </c>
      <c r="AP103" s="60">
        <f>AO103-Q103</f>
        <v>2222660</v>
      </c>
      <c r="AQ103" s="1"/>
    </row>
    <row r="104" spans="1:43" ht="64.5" customHeight="1" thickBot="1">
      <c r="A104" s="136"/>
      <c r="B104" s="137" t="s">
        <v>115</v>
      </c>
      <c r="C104" s="137">
        <f>SUM(C103:C103)</f>
        <v>2</v>
      </c>
      <c r="D104" s="137"/>
      <c r="E104" s="137">
        <f>SUM(E103:E103)</f>
        <v>1</v>
      </c>
      <c r="F104" s="137"/>
      <c r="G104" s="137"/>
      <c r="H104" s="137"/>
      <c r="I104" s="137"/>
      <c r="J104" s="137"/>
      <c r="K104" s="137"/>
      <c r="L104" s="137"/>
      <c r="M104" s="139"/>
      <c r="N104" s="140">
        <f t="shared" ref="N104:AP104" si="36">SUM(N103:N103)</f>
        <v>1193760</v>
      </c>
      <c r="O104" s="141">
        <f t="shared" si="36"/>
        <v>1354000</v>
      </c>
      <c r="P104" s="137">
        <f t="shared" si="36"/>
        <v>465740</v>
      </c>
      <c r="Q104" s="137">
        <f t="shared" si="36"/>
        <v>2983410</v>
      </c>
      <c r="R104" s="137">
        <f t="shared" si="36"/>
        <v>0</v>
      </c>
      <c r="S104" s="137">
        <f t="shared" si="36"/>
        <v>7000</v>
      </c>
      <c r="T104" s="137">
        <f t="shared" si="36"/>
        <v>14000</v>
      </c>
      <c r="U104" s="137">
        <f t="shared" si="36"/>
        <v>0</v>
      </c>
      <c r="V104" s="137">
        <f t="shared" si="36"/>
        <v>1150</v>
      </c>
      <c r="W104" s="137">
        <f t="shared" si="36"/>
        <v>39</v>
      </c>
      <c r="X104" s="137">
        <f t="shared" si="36"/>
        <v>3.3000000000000002E-2</v>
      </c>
      <c r="Y104" s="137">
        <f t="shared" si="36"/>
        <v>0</v>
      </c>
      <c r="Z104" s="137">
        <f t="shared" si="36"/>
        <v>0</v>
      </c>
      <c r="AA104" s="137">
        <f t="shared" si="36"/>
        <v>0</v>
      </c>
      <c r="AB104" s="137">
        <f t="shared" si="36"/>
        <v>0</v>
      </c>
      <c r="AC104" s="137">
        <f t="shared" si="36"/>
        <v>0</v>
      </c>
      <c r="AD104" s="137">
        <f t="shared" si="36"/>
        <v>915</v>
      </c>
      <c r="AE104" s="137">
        <f t="shared" si="36"/>
        <v>11.2</v>
      </c>
      <c r="AF104" s="137">
        <f t="shared" si="36"/>
        <v>0</v>
      </c>
      <c r="AG104" s="137">
        <f t="shared" si="36"/>
        <v>0</v>
      </c>
      <c r="AH104" s="137">
        <f t="shared" si="36"/>
        <v>2053050</v>
      </c>
      <c r="AI104" s="137">
        <f t="shared" si="36"/>
        <v>2214920</v>
      </c>
      <c r="AJ104" s="137">
        <f t="shared" si="36"/>
        <v>938100</v>
      </c>
      <c r="AK104" s="137">
        <f t="shared" si="36"/>
        <v>0</v>
      </c>
      <c r="AL104" s="137">
        <f t="shared" si="36"/>
        <v>2053050</v>
      </c>
      <c r="AM104" s="137">
        <f t="shared" si="36"/>
        <v>2214920</v>
      </c>
      <c r="AN104" s="137">
        <f t="shared" si="36"/>
        <v>938100</v>
      </c>
      <c r="AO104" s="137">
        <f t="shared" si="36"/>
        <v>5206070</v>
      </c>
      <c r="AP104" s="211">
        <f t="shared" si="36"/>
        <v>2222660</v>
      </c>
      <c r="AQ104" s="1"/>
    </row>
    <row r="105" spans="1:43" ht="103.5" customHeight="1">
      <c r="A105" s="540">
        <v>1</v>
      </c>
      <c r="B105" s="1081" t="s">
        <v>1332</v>
      </c>
      <c r="C105" s="1081">
        <v>2</v>
      </c>
      <c r="D105" s="585" t="s">
        <v>48</v>
      </c>
      <c r="E105" s="1082">
        <v>1</v>
      </c>
      <c r="F105" s="1082" t="s">
        <v>1333</v>
      </c>
      <c r="G105" s="1082" t="s">
        <v>1334</v>
      </c>
      <c r="H105" s="1083" t="s">
        <v>127</v>
      </c>
      <c r="I105" s="1081"/>
      <c r="J105" s="1081"/>
      <c r="K105" s="1081"/>
      <c r="L105" s="1084" t="s">
        <v>1335</v>
      </c>
      <c r="M105" s="1081"/>
      <c r="N105" s="1085">
        <f>284600+381800</f>
        <v>666400</v>
      </c>
      <c r="O105" s="1086">
        <v>583800</v>
      </c>
      <c r="P105" s="1086">
        <f>320000+172000+160000</f>
        <v>652000</v>
      </c>
      <c r="Q105" s="1086">
        <f>N105+O105+P105</f>
        <v>1902200</v>
      </c>
      <c r="R105" s="1087"/>
      <c r="S105" s="1087"/>
      <c r="T105" s="1087"/>
      <c r="U105" s="1087">
        <v>15000</v>
      </c>
      <c r="V105" s="1081">
        <v>5739</v>
      </c>
      <c r="W105" s="1081">
        <v>59</v>
      </c>
      <c r="X105" s="1088">
        <f>+W105/V105*100</f>
        <v>1.0280536678863912</v>
      </c>
      <c r="Y105" s="1081"/>
      <c r="Z105" s="1081"/>
      <c r="AA105" s="1081"/>
      <c r="AB105" s="1089">
        <v>177.7</v>
      </c>
      <c r="AC105" s="1081"/>
      <c r="AD105" s="1081"/>
      <c r="AE105" s="1081"/>
      <c r="AF105" s="1089">
        <f>+AB105</f>
        <v>177.7</v>
      </c>
      <c r="AG105" s="1090"/>
      <c r="AH105" s="1090"/>
      <c r="AI105" s="1090"/>
      <c r="AJ105" s="1090">
        <v>2665400</v>
      </c>
      <c r="AK105" s="1091">
        <f>+AG105</f>
        <v>0</v>
      </c>
      <c r="AL105" s="1091">
        <f t="shared" ref="AL105:AM108" si="37">S105*Z105</f>
        <v>0</v>
      </c>
      <c r="AM105" s="1091">
        <f t="shared" si="37"/>
        <v>0</v>
      </c>
      <c r="AN105" s="1092">
        <f>U105*AB105</f>
        <v>2665500</v>
      </c>
      <c r="AO105" s="1093">
        <f>AK105+AL105+AM105+AN105</f>
        <v>2665500</v>
      </c>
      <c r="AP105" s="1094">
        <f>AO105-Q105</f>
        <v>763300</v>
      </c>
      <c r="AQ105" s="1"/>
    </row>
    <row r="106" spans="1:43" ht="68.25" customHeight="1">
      <c r="A106" s="540">
        <v>2</v>
      </c>
      <c r="B106" s="1081" t="s">
        <v>1332</v>
      </c>
      <c r="C106" s="1081">
        <v>2</v>
      </c>
      <c r="D106" s="1095" t="s">
        <v>236</v>
      </c>
      <c r="E106" s="1082">
        <v>2</v>
      </c>
      <c r="F106" s="1082" t="s">
        <v>1336</v>
      </c>
      <c r="G106" s="1082" t="s">
        <v>1337</v>
      </c>
      <c r="H106" s="1083" t="s">
        <v>127</v>
      </c>
      <c r="I106" s="1081"/>
      <c r="J106" s="1081"/>
      <c r="K106" s="1081"/>
      <c r="L106" s="1084" t="s">
        <v>1338</v>
      </c>
      <c r="M106" s="1081"/>
      <c r="N106" s="1085">
        <f>538000+1429400</f>
        <v>1967400</v>
      </c>
      <c r="O106" s="1086">
        <v>2392667</v>
      </c>
      <c r="P106" s="1086">
        <f>420000+148000+140000</f>
        <v>708000</v>
      </c>
      <c r="Q106" s="1086">
        <f t="shared" ref="Q106" si="38">N106+O106+P106</f>
        <v>5068067</v>
      </c>
      <c r="R106" s="1087"/>
      <c r="S106" s="1087"/>
      <c r="T106" s="1087"/>
      <c r="U106" s="1087">
        <v>35000</v>
      </c>
      <c r="V106" s="1081">
        <v>5739</v>
      </c>
      <c r="W106" s="1081">
        <v>102</v>
      </c>
      <c r="X106" s="1088">
        <f t="shared" ref="X106:X108" si="39">+W106/V106*100</f>
        <v>1.7773131207527444</v>
      </c>
      <c r="Y106" s="1081"/>
      <c r="Z106" s="1081"/>
      <c r="AA106" s="1081"/>
      <c r="AB106" s="1081">
        <f>1+70.6+81.3+34.58+74.73</f>
        <v>262.20999999999998</v>
      </c>
      <c r="AC106" s="1081"/>
      <c r="AD106" s="1081"/>
      <c r="AE106" s="1081"/>
      <c r="AF106" s="1081">
        <f>+AB106</f>
        <v>262.20999999999998</v>
      </c>
      <c r="AG106" s="1090"/>
      <c r="AH106" s="1090"/>
      <c r="AI106" s="1090"/>
      <c r="AJ106" s="1090">
        <f>4590000+1037500+2242000</f>
        <v>7869500</v>
      </c>
      <c r="AK106" s="1091">
        <f t="shared" ref="AK106:AK109" si="40">+AG106</f>
        <v>0</v>
      </c>
      <c r="AL106" s="1091">
        <f t="shared" si="37"/>
        <v>0</v>
      </c>
      <c r="AM106" s="1091">
        <f t="shared" si="37"/>
        <v>0</v>
      </c>
      <c r="AN106" s="1092">
        <f>+AJ106</f>
        <v>7869500</v>
      </c>
      <c r="AO106" s="1096">
        <f t="shared" ref="AO106" si="41">AK106+AL106+AM106+AN106</f>
        <v>7869500</v>
      </c>
      <c r="AP106" s="1097">
        <f t="shared" ref="AP106:AP108" si="42">AO106-Q106</f>
        <v>2801433</v>
      </c>
      <c r="AQ106" s="1"/>
    </row>
    <row r="107" spans="1:43" ht="83.25" customHeight="1" thickBot="1">
      <c r="A107" s="542">
        <v>3</v>
      </c>
      <c r="B107" s="1098" t="s">
        <v>1332</v>
      </c>
      <c r="C107" s="1098">
        <v>2</v>
      </c>
      <c r="D107" s="1098" t="s">
        <v>297</v>
      </c>
      <c r="E107" s="1099">
        <v>2</v>
      </c>
      <c r="F107" s="1099" t="s">
        <v>210</v>
      </c>
      <c r="G107" s="1100" t="s">
        <v>1339</v>
      </c>
      <c r="H107" s="1101" t="s">
        <v>819</v>
      </c>
      <c r="I107" s="1098"/>
      <c r="J107" s="1098"/>
      <c r="K107" s="1098"/>
      <c r="L107" s="1102" t="s">
        <v>1340</v>
      </c>
      <c r="M107" s="1098"/>
      <c r="N107" s="1103">
        <v>1156275</v>
      </c>
      <c r="O107" s="1104">
        <f>767266+275940+173740</f>
        <v>1216946</v>
      </c>
      <c r="P107" s="1104">
        <f>16000+27000+24000+92000+120000</f>
        <v>279000</v>
      </c>
      <c r="Q107" s="1104">
        <f>N107+O107+P107</f>
        <v>2652221</v>
      </c>
      <c r="R107" s="1105">
        <v>35000</v>
      </c>
      <c r="S107" s="1105"/>
      <c r="T107" s="1105"/>
      <c r="U107" s="1105">
        <v>18000</v>
      </c>
      <c r="V107" s="1081">
        <v>5739</v>
      </c>
      <c r="W107" s="1098">
        <v>89</v>
      </c>
      <c r="X107" s="1088">
        <f t="shared" si="39"/>
        <v>1.5507928210489632</v>
      </c>
      <c r="Y107" s="1098">
        <f>4.16+70.91+2</f>
        <v>77.069999999999993</v>
      </c>
      <c r="Z107" s="1098"/>
      <c r="AA107" s="1098"/>
      <c r="AB107" s="1098">
        <f>101+7+34</f>
        <v>142</v>
      </c>
      <c r="AC107" s="1098">
        <f>+Y107</f>
        <v>77.069999999999993</v>
      </c>
      <c r="AD107" s="1098"/>
      <c r="AE107" s="1098"/>
      <c r="AF107" s="1081">
        <f>+AB107</f>
        <v>142</v>
      </c>
      <c r="AG107" s="1106">
        <f>145500+2482000+90000</f>
        <v>2717500</v>
      </c>
      <c r="AH107" s="1106"/>
      <c r="AI107" s="1106"/>
      <c r="AJ107" s="1106">
        <f>1212000+84000+612000</f>
        <v>1908000</v>
      </c>
      <c r="AK107" s="1091">
        <f t="shared" si="40"/>
        <v>2717500</v>
      </c>
      <c r="AL107" s="1091">
        <f t="shared" si="37"/>
        <v>0</v>
      </c>
      <c r="AM107" s="1091">
        <f t="shared" si="37"/>
        <v>0</v>
      </c>
      <c r="AN107" s="1092">
        <f t="shared" ref="AN107:AN109" si="43">+AJ107</f>
        <v>1908000</v>
      </c>
      <c r="AO107" s="1096">
        <f>AK107+AL107+AM107+AN107</f>
        <v>4625500</v>
      </c>
      <c r="AP107" s="1097">
        <f t="shared" si="42"/>
        <v>1973279</v>
      </c>
      <c r="AQ107" s="1"/>
    </row>
    <row r="108" spans="1:43" ht="82.5" customHeight="1" thickBot="1">
      <c r="A108" s="1072">
        <v>4</v>
      </c>
      <c r="B108" s="1098" t="s">
        <v>1332</v>
      </c>
      <c r="C108" s="1098">
        <v>3</v>
      </c>
      <c r="D108" s="1098" t="s">
        <v>297</v>
      </c>
      <c r="E108" s="1100">
        <v>2</v>
      </c>
      <c r="F108" s="1107" t="s">
        <v>1341</v>
      </c>
      <c r="G108" s="1100" t="s">
        <v>1342</v>
      </c>
      <c r="H108" s="1108" t="s">
        <v>819</v>
      </c>
      <c r="I108" s="1107"/>
      <c r="J108" s="1107"/>
      <c r="K108" s="1107"/>
      <c r="L108" s="1102" t="s">
        <v>1340</v>
      </c>
      <c r="M108" s="1109"/>
      <c r="N108" s="1110">
        <v>816800</v>
      </c>
      <c r="O108" s="1111">
        <f>79387+409464+217905+56950+158788</f>
        <v>922494</v>
      </c>
      <c r="P108" s="1112">
        <f>20000+16000+18000+18000+92000+60000</f>
        <v>224000</v>
      </c>
      <c r="Q108" s="1104">
        <f>N108+O108+P108</f>
        <v>1963294</v>
      </c>
      <c r="R108" s="1113">
        <v>28000</v>
      </c>
      <c r="S108" s="1113"/>
      <c r="T108" s="1113"/>
      <c r="U108" s="1113">
        <v>12000</v>
      </c>
      <c r="V108" s="1081">
        <v>5739</v>
      </c>
      <c r="W108" s="1098">
        <v>59</v>
      </c>
      <c r="X108" s="1088">
        <f t="shared" si="39"/>
        <v>1.0280536678863912</v>
      </c>
      <c r="Y108" s="1107">
        <f>7.25+19.914</f>
        <v>27.164000000000001</v>
      </c>
      <c r="Z108" s="1107"/>
      <c r="AA108" s="1107"/>
      <c r="AB108" s="1098">
        <f>80.13+22.29+31.07</f>
        <v>133.48999999999998</v>
      </c>
      <c r="AC108" s="1107">
        <f>+Y108</f>
        <v>27.164000000000001</v>
      </c>
      <c r="AD108" s="1107"/>
      <c r="AE108" s="1107"/>
      <c r="AF108" s="1107">
        <f>+AB108</f>
        <v>133.48999999999998</v>
      </c>
      <c r="AG108" s="1114">
        <f>253500+697600</f>
        <v>951100</v>
      </c>
      <c r="AH108" s="1114"/>
      <c r="AI108" s="1114"/>
      <c r="AJ108" s="1114">
        <f>1489300+826800</f>
        <v>2316100</v>
      </c>
      <c r="AK108" s="1091">
        <f t="shared" si="40"/>
        <v>951100</v>
      </c>
      <c r="AL108" s="1091">
        <f t="shared" si="37"/>
        <v>0</v>
      </c>
      <c r="AM108" s="1091">
        <f t="shared" si="37"/>
        <v>0</v>
      </c>
      <c r="AN108" s="1092">
        <f t="shared" si="43"/>
        <v>2316100</v>
      </c>
      <c r="AO108" s="1096">
        <f>AK108+AL108+AM108+AN108</f>
        <v>3267200</v>
      </c>
      <c r="AP108" s="1097">
        <f t="shared" si="42"/>
        <v>1303906</v>
      </c>
      <c r="AQ108" s="1"/>
    </row>
    <row r="109" spans="1:43" ht="60" customHeight="1" thickBot="1">
      <c r="A109" s="136"/>
      <c r="B109" s="1115" t="s">
        <v>115</v>
      </c>
      <c r="C109" s="1116">
        <f>SUM(C105:C108)</f>
        <v>9</v>
      </c>
      <c r="D109" s="1115"/>
      <c r="E109" s="1117">
        <f>SUM(E105:E107)</f>
        <v>5</v>
      </c>
      <c r="F109" s="1115"/>
      <c r="G109" s="1115"/>
      <c r="H109" s="1115"/>
      <c r="I109" s="1115"/>
      <c r="J109" s="1115"/>
      <c r="K109" s="1115"/>
      <c r="L109" s="1115"/>
      <c r="M109" s="1118"/>
      <c r="N109" s="1119">
        <f>SUM(N105:N108)</f>
        <v>4606875</v>
      </c>
      <c r="O109" s="1120">
        <f>SUM(O105:O108)</f>
        <v>5115907</v>
      </c>
      <c r="P109" s="1115">
        <f>SUM(P105:P108)</f>
        <v>1863000</v>
      </c>
      <c r="Q109" s="1115">
        <f>SUM(Q105:Q108)</f>
        <v>11585782</v>
      </c>
      <c r="R109" s="1115">
        <f>SUM(R105:R108)</f>
        <v>63000</v>
      </c>
      <c r="S109" s="1115">
        <f>SUM(S105:S107)</f>
        <v>0</v>
      </c>
      <c r="T109" s="1115">
        <f>SUM(T105:T107)</f>
        <v>0</v>
      </c>
      <c r="U109" s="1115">
        <f>SUM(U105:U108)</f>
        <v>80000</v>
      </c>
      <c r="V109" s="1121">
        <v>5739</v>
      </c>
      <c r="W109" s="1122">
        <f>SUM(W105:W108)</f>
        <v>309</v>
      </c>
      <c r="X109" s="1123">
        <f>SUM(X105:X108)</f>
        <v>5.3842132775744904</v>
      </c>
      <c r="Y109" s="1115">
        <f t="shared" ref="Y109:AM109" si="44">SUM(Y105:Y107)</f>
        <v>77.069999999999993</v>
      </c>
      <c r="Z109" s="1115">
        <f t="shared" si="44"/>
        <v>0</v>
      </c>
      <c r="AA109" s="1115">
        <f t="shared" si="44"/>
        <v>0</v>
      </c>
      <c r="AB109" s="1124">
        <f>SUM(AB105:AB108)</f>
        <v>715.4</v>
      </c>
      <c r="AC109" s="1115">
        <f t="shared" si="44"/>
        <v>77.069999999999993</v>
      </c>
      <c r="AD109" s="1115">
        <f t="shared" si="44"/>
        <v>0</v>
      </c>
      <c r="AE109" s="1115">
        <f t="shared" si="44"/>
        <v>0</v>
      </c>
      <c r="AF109" s="1115">
        <f>SUM(AF105:AF108)</f>
        <v>715.4</v>
      </c>
      <c r="AG109" s="1115">
        <f>SUM(AG105:AG108)</f>
        <v>3668600</v>
      </c>
      <c r="AH109" s="1115">
        <f t="shared" si="44"/>
        <v>0</v>
      </c>
      <c r="AI109" s="1115">
        <f t="shared" si="44"/>
        <v>0</v>
      </c>
      <c r="AJ109" s="1115">
        <f>SUM(AJ105:AJ108)</f>
        <v>14759000</v>
      </c>
      <c r="AK109" s="1121">
        <f t="shared" si="40"/>
        <v>3668600</v>
      </c>
      <c r="AL109" s="1115">
        <f t="shared" si="44"/>
        <v>0</v>
      </c>
      <c r="AM109" s="1115">
        <f t="shared" si="44"/>
        <v>0</v>
      </c>
      <c r="AN109" s="1125">
        <f t="shared" si="43"/>
        <v>14759000</v>
      </c>
      <c r="AO109" s="1126">
        <f>SUM(AO105:AO108)</f>
        <v>18427700</v>
      </c>
      <c r="AP109" s="1127">
        <f>SUM(AP105:AP108)</f>
        <v>6841918</v>
      </c>
      <c r="AQ109" s="1"/>
    </row>
    <row r="110" spans="1:43" ht="42" customHeight="1">
      <c r="A110" s="97">
        <v>1</v>
      </c>
      <c r="B110" s="52" t="s">
        <v>1343</v>
      </c>
      <c r="C110" s="98">
        <v>15</v>
      </c>
      <c r="D110" s="53" t="s">
        <v>616</v>
      </c>
      <c r="E110" s="98">
        <v>1</v>
      </c>
      <c r="F110" s="75">
        <v>44327</v>
      </c>
      <c r="G110" s="7" t="s">
        <v>1344</v>
      </c>
      <c r="H110" s="54" t="s">
        <v>60</v>
      </c>
      <c r="I110" s="98"/>
      <c r="J110" s="29"/>
      <c r="K110" s="98"/>
      <c r="L110" s="29"/>
      <c r="M110" s="98"/>
      <c r="N110" s="100">
        <v>1977881</v>
      </c>
      <c r="O110" s="101">
        <v>1232900</v>
      </c>
      <c r="P110" s="100">
        <v>153000</v>
      </c>
      <c r="Q110" s="102">
        <f>SUM(N110:P110)</f>
        <v>3363781</v>
      </c>
      <c r="R110" s="103"/>
      <c r="S110" s="104"/>
      <c r="T110" s="103"/>
      <c r="U110" s="104">
        <v>12000</v>
      </c>
      <c r="V110" s="29"/>
      <c r="W110" s="98"/>
      <c r="X110" s="29"/>
      <c r="Y110" s="98"/>
      <c r="Z110" s="29"/>
      <c r="AA110" s="98"/>
      <c r="AB110" s="29">
        <v>206</v>
      </c>
      <c r="AC110" s="98"/>
      <c r="AD110" s="29"/>
      <c r="AE110" s="98"/>
      <c r="AF110" s="29"/>
      <c r="AG110" s="105"/>
      <c r="AH110" s="106"/>
      <c r="AI110" s="105"/>
      <c r="AJ110" s="106"/>
      <c r="AK110" s="107"/>
      <c r="AL110" s="108"/>
      <c r="AM110" s="107"/>
      <c r="AN110" s="108">
        <v>0</v>
      </c>
      <c r="AO110" s="13">
        <f>AK110+AL110+AM110+AN110</f>
        <v>0</v>
      </c>
      <c r="AP110" s="60">
        <f>AO110-Q110</f>
        <v>-3363781</v>
      </c>
      <c r="AQ110" s="2"/>
    </row>
    <row r="111" spans="1:43" ht="99" customHeight="1">
      <c r="A111" s="540"/>
      <c r="B111" s="52"/>
      <c r="C111" s="52"/>
      <c r="D111" s="53" t="s">
        <v>48</v>
      </c>
      <c r="E111" s="39">
        <v>1</v>
      </c>
      <c r="F111" s="52" t="s">
        <v>1345</v>
      </c>
      <c r="G111" s="1128" t="s">
        <v>1346</v>
      </c>
      <c r="H111" s="54" t="s">
        <v>60</v>
      </c>
      <c r="I111" s="52"/>
      <c r="J111" s="52"/>
      <c r="K111" s="52"/>
      <c r="L111" s="52"/>
      <c r="M111" s="52"/>
      <c r="N111" s="55">
        <v>2453137</v>
      </c>
      <c r="O111" s="55">
        <v>2420340</v>
      </c>
      <c r="P111" s="55">
        <v>606350</v>
      </c>
      <c r="Q111" s="56">
        <f>SUM(N111:P111)</f>
        <v>5479827</v>
      </c>
      <c r="R111" s="57"/>
      <c r="S111" s="57"/>
      <c r="T111" s="57"/>
      <c r="U111" s="1068">
        <v>15000</v>
      </c>
      <c r="V111" s="52">
        <v>13710</v>
      </c>
      <c r="W111" s="52">
        <v>4</v>
      </c>
      <c r="X111" s="52">
        <v>0.03</v>
      </c>
      <c r="Y111" s="52"/>
      <c r="Z111" s="52"/>
      <c r="AA111" s="52"/>
      <c r="AB111" s="52">
        <v>294</v>
      </c>
      <c r="AC111" s="52"/>
      <c r="AD111" s="52"/>
      <c r="AE111" s="52"/>
      <c r="AF111" s="52">
        <v>4.3333300000000001</v>
      </c>
      <c r="AG111" s="58"/>
      <c r="AH111" s="58"/>
      <c r="AI111" s="58"/>
      <c r="AJ111" s="58">
        <v>65000</v>
      </c>
      <c r="AK111" s="59">
        <f>R111*Y111</f>
        <v>0</v>
      </c>
      <c r="AL111" s="59">
        <f>S111*Z111</f>
        <v>0</v>
      </c>
      <c r="AM111" s="59">
        <f t="shared" ref="AL111:AN114" si="45">T111*AA111</f>
        <v>0</v>
      </c>
      <c r="AN111" s="59">
        <v>65000</v>
      </c>
      <c r="AO111" s="13">
        <f>AK111+AL111+AM111+AN111</f>
        <v>65000</v>
      </c>
      <c r="AP111" s="60">
        <f>AO111-Q111</f>
        <v>-5414827</v>
      </c>
      <c r="AQ111" s="1"/>
    </row>
    <row r="112" spans="1:43" ht="95.25" customHeight="1">
      <c r="A112" s="540"/>
      <c r="B112" s="52"/>
      <c r="C112" s="52"/>
      <c r="D112" s="53" t="s">
        <v>684</v>
      </c>
      <c r="E112" s="39">
        <v>1</v>
      </c>
      <c r="F112" s="52" t="s">
        <v>1347</v>
      </c>
      <c r="G112" s="52" t="s">
        <v>924</v>
      </c>
      <c r="H112" s="54" t="s">
        <v>60</v>
      </c>
      <c r="I112" s="52"/>
      <c r="J112" s="52"/>
      <c r="K112" s="52"/>
      <c r="L112" s="52"/>
      <c r="M112" s="52"/>
      <c r="N112" s="55">
        <v>1947639</v>
      </c>
      <c r="O112" s="55">
        <v>1654060</v>
      </c>
      <c r="P112" s="55">
        <v>240500</v>
      </c>
      <c r="Q112" s="56">
        <f>SUM(N112:P112)</f>
        <v>3842199</v>
      </c>
      <c r="R112" s="57"/>
      <c r="S112" s="57"/>
      <c r="T112" s="57"/>
      <c r="U112" s="57"/>
      <c r="V112" s="52"/>
      <c r="W112" s="52"/>
      <c r="X112" s="52"/>
      <c r="Y112" s="52"/>
      <c r="Z112" s="52"/>
      <c r="AA112" s="52"/>
      <c r="AB112" s="52">
        <v>4849</v>
      </c>
      <c r="AC112" s="52"/>
      <c r="AD112" s="52"/>
      <c r="AE112" s="52"/>
      <c r="AF112" s="52"/>
      <c r="AG112" s="58"/>
      <c r="AH112" s="58"/>
      <c r="AI112" s="58"/>
      <c r="AJ112" s="58"/>
      <c r="AK112" s="59">
        <f t="shared" ref="AK112:AK114" si="46">R112*Y112</f>
        <v>0</v>
      </c>
      <c r="AL112" s="59">
        <f t="shared" si="45"/>
        <v>0</v>
      </c>
      <c r="AM112" s="59">
        <f t="shared" si="45"/>
        <v>0</v>
      </c>
      <c r="AN112" s="59">
        <f t="shared" si="45"/>
        <v>0</v>
      </c>
      <c r="AO112" s="13">
        <f>AK112+AL112+AM112+AN112</f>
        <v>0</v>
      </c>
      <c r="AP112" s="60">
        <f t="shared" ref="AP112:AP114" si="47">AO112-Q112</f>
        <v>-3842199</v>
      </c>
      <c r="AQ112" s="1"/>
    </row>
    <row r="113" spans="1:43" ht="95.25" customHeight="1">
      <c r="A113" s="542"/>
      <c r="B113" s="112"/>
      <c r="C113" s="112"/>
      <c r="D113" s="112" t="s">
        <v>1119</v>
      </c>
      <c r="E113" s="65">
        <v>1</v>
      </c>
      <c r="F113" s="112" t="s">
        <v>1348</v>
      </c>
      <c r="G113" s="604" t="s">
        <v>1349</v>
      </c>
      <c r="H113" s="54" t="s">
        <v>60</v>
      </c>
      <c r="I113" s="112"/>
      <c r="J113" s="112"/>
      <c r="K113" s="112"/>
      <c r="L113" s="112"/>
      <c r="M113" s="112"/>
      <c r="N113" s="113">
        <v>2063723</v>
      </c>
      <c r="O113" s="113">
        <v>2153200</v>
      </c>
      <c r="P113" s="113">
        <v>0</v>
      </c>
      <c r="Q113" s="113">
        <f>SUM(N113:P113)</f>
        <v>4216923</v>
      </c>
      <c r="R113" s="114"/>
      <c r="S113" s="114"/>
      <c r="T113" s="114"/>
      <c r="U113" s="114">
        <v>100</v>
      </c>
      <c r="V113" s="112"/>
      <c r="W113" s="112"/>
      <c r="X113" s="112"/>
      <c r="Y113" s="112"/>
      <c r="Z113" s="112"/>
      <c r="AA113" s="112"/>
      <c r="AB113" s="112">
        <v>10218</v>
      </c>
      <c r="AC113" s="112"/>
      <c r="AD113" s="112"/>
      <c r="AE113" s="112"/>
      <c r="AF113" s="112"/>
      <c r="AG113" s="115"/>
      <c r="AH113" s="115"/>
      <c r="AI113" s="115"/>
      <c r="AJ113" s="115">
        <v>1243824</v>
      </c>
      <c r="AK113" s="135"/>
      <c r="AL113" s="135"/>
      <c r="AM113" s="135"/>
      <c r="AN113" s="135">
        <v>1243824</v>
      </c>
      <c r="AO113" s="13">
        <f>AK113+AL113+AM113+AN113</f>
        <v>1243824</v>
      </c>
      <c r="AP113" s="60">
        <f t="shared" si="47"/>
        <v>-2973099</v>
      </c>
      <c r="AQ113" s="1"/>
    </row>
    <row r="114" spans="1:43" ht="88.5" customHeight="1" thickBot="1">
      <c r="A114" s="542"/>
      <c r="B114" s="112"/>
      <c r="C114" s="112"/>
      <c r="D114" s="112" t="s">
        <v>1119</v>
      </c>
      <c r="E114" s="65">
        <v>1</v>
      </c>
      <c r="F114" s="112" t="s">
        <v>1350</v>
      </c>
      <c r="G114" s="604" t="s">
        <v>1351</v>
      </c>
      <c r="H114" s="54" t="s">
        <v>60</v>
      </c>
      <c r="I114" s="112"/>
      <c r="J114" s="112"/>
      <c r="K114" s="112"/>
      <c r="L114" s="112"/>
      <c r="M114" s="112"/>
      <c r="N114" s="113">
        <v>390000</v>
      </c>
      <c r="O114" s="113">
        <v>386400</v>
      </c>
      <c r="P114" s="113">
        <v>0</v>
      </c>
      <c r="Q114" s="630">
        <v>0</v>
      </c>
      <c r="R114" s="114"/>
      <c r="S114" s="114"/>
      <c r="T114" s="114"/>
      <c r="U114" s="114"/>
      <c r="V114" s="112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5"/>
      <c r="AH114" s="115"/>
      <c r="AI114" s="115"/>
      <c r="AJ114" s="115"/>
      <c r="AK114" s="135">
        <f t="shared" si="46"/>
        <v>0</v>
      </c>
      <c r="AL114" s="135">
        <f t="shared" si="45"/>
        <v>0</v>
      </c>
      <c r="AM114" s="135">
        <f t="shared" si="45"/>
        <v>0</v>
      </c>
      <c r="AN114" s="135">
        <f t="shared" si="45"/>
        <v>0</v>
      </c>
      <c r="AO114" s="72">
        <f t="shared" ref="AO114" si="48">AK114+AL114+AM114+AN114</f>
        <v>0</v>
      </c>
      <c r="AP114" s="342">
        <f t="shared" si="47"/>
        <v>0</v>
      </c>
      <c r="AQ114" s="1"/>
    </row>
    <row r="115" spans="1:43" ht="45" customHeight="1" thickBot="1">
      <c r="A115" s="136"/>
      <c r="B115" s="137" t="s">
        <v>115</v>
      </c>
      <c r="C115" s="137">
        <f>SUM(C110:C114)</f>
        <v>15</v>
      </c>
      <c r="D115" s="137"/>
      <c r="E115" s="137">
        <v>5</v>
      </c>
      <c r="F115" s="137"/>
      <c r="G115" s="137"/>
      <c r="H115" s="137"/>
      <c r="I115" s="137"/>
      <c r="J115" s="137"/>
      <c r="K115" s="137"/>
      <c r="L115" s="137"/>
      <c r="M115" s="139"/>
      <c r="N115" s="140">
        <f>SUM(N110:N114)</f>
        <v>8832380</v>
      </c>
      <c r="O115" s="141">
        <f>SUM(O110:O114)</f>
        <v>7846900</v>
      </c>
      <c r="P115" s="137">
        <f>SUM(P110:P114)</f>
        <v>999850</v>
      </c>
      <c r="Q115" s="137">
        <f>SUM(Q110:Q114)</f>
        <v>16902730</v>
      </c>
      <c r="R115" s="137">
        <f t="shared" ref="R115:AP115" si="49">SUM(R111:R114)</f>
        <v>0</v>
      </c>
      <c r="S115" s="137">
        <f t="shared" si="49"/>
        <v>0</v>
      </c>
      <c r="T115" s="137">
        <f t="shared" si="49"/>
        <v>0</v>
      </c>
      <c r="U115" s="137">
        <f t="shared" si="49"/>
        <v>15100</v>
      </c>
      <c r="V115" s="137">
        <f t="shared" si="49"/>
        <v>13710</v>
      </c>
      <c r="W115" s="137">
        <f t="shared" si="49"/>
        <v>4</v>
      </c>
      <c r="X115" s="137">
        <f t="shared" si="49"/>
        <v>0.03</v>
      </c>
      <c r="Y115" s="137">
        <f t="shared" si="49"/>
        <v>0</v>
      </c>
      <c r="Z115" s="137">
        <f t="shared" si="49"/>
        <v>0</v>
      </c>
      <c r="AA115" s="137">
        <f t="shared" si="49"/>
        <v>0</v>
      </c>
      <c r="AB115" s="137">
        <f t="shared" si="49"/>
        <v>15361</v>
      </c>
      <c r="AC115" s="137">
        <f t="shared" si="49"/>
        <v>0</v>
      </c>
      <c r="AD115" s="137">
        <f t="shared" si="49"/>
        <v>0</v>
      </c>
      <c r="AE115" s="137">
        <f t="shared" si="49"/>
        <v>0</v>
      </c>
      <c r="AF115" s="137">
        <f t="shared" si="49"/>
        <v>4.3333300000000001</v>
      </c>
      <c r="AG115" s="137">
        <f t="shared" si="49"/>
        <v>0</v>
      </c>
      <c r="AH115" s="137">
        <f t="shared" si="49"/>
        <v>0</v>
      </c>
      <c r="AI115" s="137">
        <f t="shared" si="49"/>
        <v>0</v>
      </c>
      <c r="AJ115" s="137">
        <f t="shared" si="49"/>
        <v>1308824</v>
      </c>
      <c r="AK115" s="137">
        <f t="shared" si="49"/>
        <v>0</v>
      </c>
      <c r="AL115" s="137">
        <f t="shared" si="49"/>
        <v>0</v>
      </c>
      <c r="AM115" s="137">
        <f t="shared" si="49"/>
        <v>0</v>
      </c>
      <c r="AN115" s="137">
        <f t="shared" si="49"/>
        <v>1308824</v>
      </c>
      <c r="AO115" s="137">
        <f t="shared" si="49"/>
        <v>1308824</v>
      </c>
      <c r="AP115" s="211">
        <f t="shared" si="49"/>
        <v>-12230125</v>
      </c>
      <c r="AQ115" s="1"/>
    </row>
    <row r="116" spans="1:43" s="5" customFormat="1" ht="53.25" customHeight="1">
      <c r="A116" s="1129">
        <v>1</v>
      </c>
      <c r="B116" s="1037" t="s">
        <v>1352</v>
      </c>
      <c r="C116" s="1037">
        <v>7</v>
      </c>
      <c r="D116" s="1037" t="s">
        <v>1353</v>
      </c>
      <c r="E116" s="1037">
        <v>1</v>
      </c>
      <c r="F116" s="1037" t="s">
        <v>1354</v>
      </c>
      <c r="G116" s="1037" t="s">
        <v>1355</v>
      </c>
      <c r="H116" s="417" t="s">
        <v>60</v>
      </c>
      <c r="I116" s="1037"/>
      <c r="J116" s="1037"/>
      <c r="K116" s="1037"/>
      <c r="L116" s="1037" t="s">
        <v>128</v>
      </c>
      <c r="M116" s="1037"/>
      <c r="N116" s="1130">
        <v>2571799</v>
      </c>
      <c r="O116" s="1131">
        <v>1077106</v>
      </c>
      <c r="P116" s="1131">
        <v>359000</v>
      </c>
      <c r="Q116" s="1132">
        <f>N116+O116+P116</f>
        <v>4007905</v>
      </c>
      <c r="R116" s="1133"/>
      <c r="S116" s="1133"/>
      <c r="T116" s="1133"/>
      <c r="U116" s="1133">
        <v>50</v>
      </c>
      <c r="V116" s="1037">
        <v>8988</v>
      </c>
      <c r="W116" s="1037">
        <v>0</v>
      </c>
      <c r="X116" s="1037">
        <v>0</v>
      </c>
      <c r="Y116" s="1037">
        <v>0</v>
      </c>
      <c r="Z116" s="1037">
        <v>0</v>
      </c>
      <c r="AA116" s="1037">
        <v>0</v>
      </c>
      <c r="AB116" s="1037">
        <v>18889.97</v>
      </c>
      <c r="AC116" s="1037">
        <v>0</v>
      </c>
      <c r="AD116" s="1037">
        <v>0</v>
      </c>
      <c r="AE116" s="1037">
        <v>0</v>
      </c>
      <c r="AF116" s="1037">
        <v>0</v>
      </c>
      <c r="AG116" s="1134">
        <v>0</v>
      </c>
      <c r="AH116" s="1134">
        <v>0</v>
      </c>
      <c r="AI116" s="1134">
        <v>0</v>
      </c>
      <c r="AJ116" s="1134">
        <v>1888997</v>
      </c>
      <c r="AK116" s="1135">
        <f>R116*Y116</f>
        <v>0</v>
      </c>
      <c r="AL116" s="1135">
        <f t="shared" ref="AL116:AM119" si="50">S116*Z116</f>
        <v>0</v>
      </c>
      <c r="AM116" s="1135">
        <f t="shared" si="50"/>
        <v>0</v>
      </c>
      <c r="AN116" s="1135">
        <v>1888997</v>
      </c>
      <c r="AO116" s="1136">
        <f>AK116+AL116+AM116+AN116</f>
        <v>1888997</v>
      </c>
      <c r="AP116" s="1137">
        <f>AO116-Q116</f>
        <v>-2118908</v>
      </c>
      <c r="AQ116" s="1037" t="s">
        <v>1356</v>
      </c>
    </row>
    <row r="117" spans="1:43" s="5" customFormat="1" ht="53.25" customHeight="1">
      <c r="A117" s="1129"/>
      <c r="B117" s="1037"/>
      <c r="C117" s="1037"/>
      <c r="D117" s="1037" t="s">
        <v>1357</v>
      </c>
      <c r="E117" s="1037">
        <v>1</v>
      </c>
      <c r="F117" s="1037" t="s">
        <v>1358</v>
      </c>
      <c r="G117" s="1037" t="s">
        <v>1359</v>
      </c>
      <c r="H117" s="417" t="s">
        <v>60</v>
      </c>
      <c r="I117" s="1037"/>
      <c r="J117" s="1037"/>
      <c r="K117" s="1037"/>
      <c r="L117" s="1037" t="s">
        <v>128</v>
      </c>
      <c r="M117" s="1037"/>
      <c r="N117" s="1130">
        <v>90696</v>
      </c>
      <c r="O117" s="1131">
        <v>134006</v>
      </c>
      <c r="P117" s="1131">
        <v>25000</v>
      </c>
      <c r="Q117" s="1132">
        <f>N117+O117+P117</f>
        <v>249702</v>
      </c>
      <c r="R117" s="1133"/>
      <c r="S117" s="1133"/>
      <c r="T117" s="1133"/>
      <c r="U117" s="1133">
        <v>16000</v>
      </c>
      <c r="V117" s="1037">
        <v>8988</v>
      </c>
      <c r="W117" s="1037">
        <v>0</v>
      </c>
      <c r="X117" s="1037">
        <v>0</v>
      </c>
      <c r="Y117" s="1037">
        <v>0</v>
      </c>
      <c r="Z117" s="1037">
        <v>0</v>
      </c>
      <c r="AA117" s="1037">
        <v>0</v>
      </c>
      <c r="AB117" s="1037">
        <v>104</v>
      </c>
      <c r="AC117" s="1037">
        <v>0</v>
      </c>
      <c r="AD117" s="1037">
        <v>0</v>
      </c>
      <c r="AE117" s="1037">
        <v>0</v>
      </c>
      <c r="AF117" s="1037">
        <v>0</v>
      </c>
      <c r="AG117" s="1134">
        <v>0</v>
      </c>
      <c r="AH117" s="1134">
        <v>0</v>
      </c>
      <c r="AI117" s="1134">
        <v>0</v>
      </c>
      <c r="AJ117" s="1134">
        <v>0</v>
      </c>
      <c r="AK117" s="1135">
        <f>R117*Y117</f>
        <v>0</v>
      </c>
      <c r="AL117" s="1135">
        <f t="shared" si="50"/>
        <v>0</v>
      </c>
      <c r="AM117" s="1135">
        <f t="shared" si="50"/>
        <v>0</v>
      </c>
      <c r="AN117" s="1135">
        <v>1560000</v>
      </c>
      <c r="AO117" s="1136">
        <f>AK117+AL117+AM117+AN117</f>
        <v>1560000</v>
      </c>
      <c r="AP117" s="1137">
        <f>AO117-Q117</f>
        <v>1310298</v>
      </c>
      <c r="AQ117" s="1037" t="s">
        <v>1360</v>
      </c>
    </row>
    <row r="118" spans="1:43" s="5" customFormat="1" ht="53.25" customHeight="1">
      <c r="A118" s="1138"/>
      <c r="B118" s="4"/>
      <c r="C118" s="4"/>
      <c r="D118" s="4" t="s">
        <v>1361</v>
      </c>
      <c r="E118" s="4">
        <v>1</v>
      </c>
      <c r="F118" s="4" t="s">
        <v>1362</v>
      </c>
      <c r="G118" s="4" t="s">
        <v>1363</v>
      </c>
      <c r="H118" s="417" t="s">
        <v>60</v>
      </c>
      <c r="I118" s="4"/>
      <c r="J118" s="4"/>
      <c r="K118" s="4"/>
      <c r="L118" s="1037" t="s">
        <v>128</v>
      </c>
      <c r="M118" s="4"/>
      <c r="N118" s="1139">
        <v>967200</v>
      </c>
      <c r="O118" s="160">
        <v>1710952</v>
      </c>
      <c r="P118" s="160">
        <v>180500</v>
      </c>
      <c r="Q118" s="1132">
        <f>N118+O118+P118</f>
        <v>2858652</v>
      </c>
      <c r="R118" s="163"/>
      <c r="S118" s="163"/>
      <c r="T118" s="163"/>
      <c r="U118" s="163">
        <v>14000</v>
      </c>
      <c r="V118" s="1037">
        <v>8988</v>
      </c>
      <c r="W118" s="4">
        <v>22</v>
      </c>
      <c r="X118" s="4">
        <v>0.24</v>
      </c>
      <c r="Y118" s="4">
        <v>0</v>
      </c>
      <c r="Z118" s="4">
        <v>0</v>
      </c>
      <c r="AA118" s="4">
        <v>0</v>
      </c>
      <c r="AB118" s="4">
        <v>868</v>
      </c>
      <c r="AC118" s="4">
        <v>0</v>
      </c>
      <c r="AD118" s="4">
        <v>0</v>
      </c>
      <c r="AE118" s="4">
        <v>0</v>
      </c>
      <c r="AF118" s="4">
        <v>58.7</v>
      </c>
      <c r="AG118" s="166">
        <v>0</v>
      </c>
      <c r="AH118" s="166">
        <v>0</v>
      </c>
      <c r="AI118" s="166">
        <v>0</v>
      </c>
      <c r="AJ118" s="166">
        <v>802400</v>
      </c>
      <c r="AK118" s="1135">
        <f>R118*Y118</f>
        <v>0</v>
      </c>
      <c r="AL118" s="1135">
        <f>S118*Z118</f>
        <v>0</v>
      </c>
      <c r="AM118" s="1135">
        <f>T118*AA118</f>
        <v>0</v>
      </c>
      <c r="AN118" s="1135">
        <v>11323300</v>
      </c>
      <c r="AO118" s="1136">
        <f>AK118+AL118+AM118+AN118</f>
        <v>11323300</v>
      </c>
      <c r="AP118" s="1137">
        <f>AO118-Q118</f>
        <v>8464648</v>
      </c>
      <c r="AQ118" s="1037" t="s">
        <v>1364</v>
      </c>
    </row>
    <row r="119" spans="1:43" s="5" customFormat="1" ht="53.25" customHeight="1" thickBot="1">
      <c r="A119" s="1138"/>
      <c r="B119" s="4"/>
      <c r="C119" s="4"/>
      <c r="D119" s="4" t="s">
        <v>1365</v>
      </c>
      <c r="E119" s="4">
        <v>1</v>
      </c>
      <c r="F119" s="4" t="s">
        <v>1366</v>
      </c>
      <c r="G119" s="4" t="s">
        <v>1367</v>
      </c>
      <c r="H119" s="417" t="s">
        <v>60</v>
      </c>
      <c r="I119" s="4"/>
      <c r="J119" s="4"/>
      <c r="K119" s="4"/>
      <c r="L119" s="4"/>
      <c r="M119" s="4"/>
      <c r="N119" s="160">
        <v>390000</v>
      </c>
      <c r="O119" s="160">
        <v>353848</v>
      </c>
      <c r="P119" s="1139">
        <v>39000</v>
      </c>
      <c r="Q119" s="1140">
        <f>N119+O119+P119</f>
        <v>782848</v>
      </c>
      <c r="R119" s="163"/>
      <c r="S119" s="163"/>
      <c r="T119" s="163"/>
      <c r="U119" s="163">
        <v>850</v>
      </c>
      <c r="V119" s="1037">
        <v>8988</v>
      </c>
      <c r="W119" s="4">
        <v>3</v>
      </c>
      <c r="X119" s="4">
        <v>0.03</v>
      </c>
      <c r="Y119" s="4">
        <v>0</v>
      </c>
      <c r="Z119" s="4">
        <v>0</v>
      </c>
      <c r="AA119" s="4">
        <v>0</v>
      </c>
      <c r="AB119" s="4">
        <v>1625</v>
      </c>
      <c r="AC119" s="4">
        <v>0</v>
      </c>
      <c r="AD119" s="4">
        <v>0</v>
      </c>
      <c r="AE119" s="4">
        <v>0</v>
      </c>
      <c r="AF119" s="4">
        <v>70.284999999999997</v>
      </c>
      <c r="AG119" s="166">
        <v>0</v>
      </c>
      <c r="AH119" s="166">
        <v>0</v>
      </c>
      <c r="AI119" s="166">
        <v>0</v>
      </c>
      <c r="AJ119" s="166">
        <v>49200</v>
      </c>
      <c r="AK119" s="168">
        <f>R119*Y119</f>
        <v>0</v>
      </c>
      <c r="AL119" s="168">
        <f t="shared" si="50"/>
        <v>0</v>
      </c>
      <c r="AM119" s="168">
        <f t="shared" si="50"/>
        <v>0</v>
      </c>
      <c r="AN119" s="168">
        <v>1137500</v>
      </c>
      <c r="AO119" s="1141">
        <f>AK119+AL119+AM119+AN119</f>
        <v>1137500</v>
      </c>
      <c r="AP119" s="1142">
        <f>AO119-Q119</f>
        <v>354652</v>
      </c>
      <c r="AQ119" s="1037" t="s">
        <v>1368</v>
      </c>
    </row>
    <row r="120" spans="1:43" s="5" customFormat="1" ht="14.25" thickBot="1">
      <c r="A120" s="1143"/>
      <c r="B120" s="1144" t="s">
        <v>115</v>
      </c>
      <c r="C120" s="1144">
        <f>SUM(C116:C119)</f>
        <v>7</v>
      </c>
      <c r="D120" s="1144"/>
      <c r="E120" s="1144">
        <f>SUM(E116:E119)</f>
        <v>4</v>
      </c>
      <c r="F120" s="1144"/>
      <c r="G120" s="1144"/>
      <c r="H120" s="1144"/>
      <c r="I120" s="1144"/>
      <c r="J120" s="1144"/>
      <c r="K120" s="1144"/>
      <c r="L120" s="1144"/>
      <c r="M120" s="1145"/>
      <c r="N120" s="1146">
        <f t="shared" ref="N120:AO120" si="51">SUM(N116:N119)</f>
        <v>4019695</v>
      </c>
      <c r="O120" s="1147">
        <f t="shared" si="51"/>
        <v>3275912</v>
      </c>
      <c r="P120" s="1144">
        <f t="shared" si="51"/>
        <v>603500</v>
      </c>
      <c r="Q120" s="1144">
        <f t="shared" si="51"/>
        <v>7899107</v>
      </c>
      <c r="R120" s="1144">
        <f t="shared" si="51"/>
        <v>0</v>
      </c>
      <c r="S120" s="1144">
        <f t="shared" si="51"/>
        <v>0</v>
      </c>
      <c r="T120" s="1144">
        <f t="shared" si="51"/>
        <v>0</v>
      </c>
      <c r="U120" s="1144">
        <f t="shared" si="51"/>
        <v>30900</v>
      </c>
      <c r="V120" s="1144">
        <f t="shared" si="51"/>
        <v>35952</v>
      </c>
      <c r="W120" s="1144">
        <f t="shared" si="51"/>
        <v>25</v>
      </c>
      <c r="X120" s="1144">
        <f t="shared" si="51"/>
        <v>0.27</v>
      </c>
      <c r="Y120" s="1144">
        <f t="shared" si="51"/>
        <v>0</v>
      </c>
      <c r="Z120" s="1144">
        <f t="shared" si="51"/>
        <v>0</v>
      </c>
      <c r="AA120" s="1144">
        <f t="shared" si="51"/>
        <v>0</v>
      </c>
      <c r="AB120" s="1144">
        <f t="shared" si="51"/>
        <v>21486.97</v>
      </c>
      <c r="AC120" s="1144">
        <f t="shared" si="51"/>
        <v>0</v>
      </c>
      <c r="AD120" s="1144">
        <f t="shared" si="51"/>
        <v>0</v>
      </c>
      <c r="AE120" s="1144">
        <f t="shared" si="51"/>
        <v>0</v>
      </c>
      <c r="AF120" s="1144">
        <f t="shared" si="51"/>
        <v>128.98500000000001</v>
      </c>
      <c r="AG120" s="1144">
        <f t="shared" si="51"/>
        <v>0</v>
      </c>
      <c r="AH120" s="1144">
        <f t="shared" si="51"/>
        <v>0</v>
      </c>
      <c r="AI120" s="1144">
        <f t="shared" si="51"/>
        <v>0</v>
      </c>
      <c r="AJ120" s="1144">
        <f t="shared" si="51"/>
        <v>2740597</v>
      </c>
      <c r="AK120" s="1144">
        <f t="shared" si="51"/>
        <v>0</v>
      </c>
      <c r="AL120" s="1144">
        <f t="shared" si="51"/>
        <v>0</v>
      </c>
      <c r="AM120" s="1144">
        <f t="shared" si="51"/>
        <v>0</v>
      </c>
      <c r="AN120" s="1144">
        <f t="shared" si="51"/>
        <v>15909797</v>
      </c>
      <c r="AO120" s="1144">
        <f t="shared" si="51"/>
        <v>15909797</v>
      </c>
      <c r="AP120" s="1145">
        <f>SUM(AP116:AP119)</f>
        <v>8010690</v>
      </c>
      <c r="AQ120" s="1037"/>
    </row>
    <row r="121" spans="1:43" s="5" customFormat="1" ht="14.25" thickBot="1">
      <c r="B121" s="1148"/>
      <c r="C121" s="1148"/>
      <c r="D121" s="1148"/>
      <c r="E121" s="1148"/>
      <c r="F121" s="1148"/>
      <c r="G121" s="1148"/>
      <c r="H121" s="1148"/>
      <c r="I121" s="1148"/>
      <c r="J121" s="1148"/>
      <c r="K121" s="1148"/>
      <c r="L121" s="1148"/>
      <c r="M121" s="1148"/>
      <c r="N121" s="1148"/>
      <c r="O121" s="1148"/>
      <c r="P121" s="1148"/>
      <c r="Q121" s="1148"/>
      <c r="R121" s="1148"/>
      <c r="S121" s="1148"/>
      <c r="T121" s="1148"/>
      <c r="U121" s="1148"/>
      <c r="V121" s="1148"/>
      <c r="W121" s="1148"/>
      <c r="X121" s="1148"/>
      <c r="Y121" s="1148"/>
      <c r="Z121" s="1148"/>
      <c r="AA121" s="1148"/>
      <c r="AB121" s="1148"/>
      <c r="AC121" s="1148"/>
      <c r="AD121" s="1148"/>
      <c r="AE121" s="1148"/>
      <c r="AF121" s="1148"/>
    </row>
    <row r="122" spans="1:43" s="5" customFormat="1" ht="14.25" thickBot="1">
      <c r="A122" s="1143"/>
      <c r="B122" s="1144" t="s">
        <v>115</v>
      </c>
      <c r="C122" s="1144">
        <f>C120+C115+C109+C104+C102+C91+C57+C44+C39+C13</f>
        <v>123</v>
      </c>
      <c r="D122" s="1144"/>
      <c r="E122" s="1144">
        <f t="shared" ref="E122:AP122" si="52">E120+E115+E109+E104+E102+E91+E57+E44+E39+E13</f>
        <v>171</v>
      </c>
      <c r="F122" s="1144"/>
      <c r="G122" s="1144"/>
      <c r="H122" s="1144"/>
      <c r="I122" s="1144"/>
      <c r="J122" s="1144"/>
      <c r="K122" s="1144"/>
      <c r="L122" s="1144"/>
      <c r="M122" s="1144"/>
      <c r="N122" s="1144">
        <f t="shared" si="52"/>
        <v>108068877.75</v>
      </c>
      <c r="O122" s="1144">
        <f t="shared" si="52"/>
        <v>152516582.5</v>
      </c>
      <c r="P122" s="1144">
        <f t="shared" si="52"/>
        <v>22940372</v>
      </c>
      <c r="Q122" s="1144">
        <f t="shared" si="52"/>
        <v>282719342.25</v>
      </c>
      <c r="R122" s="1144">
        <f t="shared" si="52"/>
        <v>63000</v>
      </c>
      <c r="S122" s="1144">
        <f t="shared" si="52"/>
        <v>7000</v>
      </c>
      <c r="T122" s="1144">
        <f t="shared" si="52"/>
        <v>14700</v>
      </c>
      <c r="U122" s="1144">
        <f t="shared" si="52"/>
        <v>261200</v>
      </c>
      <c r="V122" s="1144">
        <f t="shared" si="52"/>
        <v>368495</v>
      </c>
      <c r="W122" s="1144">
        <f t="shared" si="52"/>
        <v>249636</v>
      </c>
      <c r="X122" s="1144">
        <f t="shared" si="52"/>
        <v>5.7172132775744906</v>
      </c>
      <c r="Y122" s="1144">
        <f t="shared" si="52"/>
        <v>152.94999999999999</v>
      </c>
      <c r="Z122" s="1144">
        <f t="shared" si="52"/>
        <v>11.65</v>
      </c>
      <c r="AA122" s="1144">
        <f t="shared" si="52"/>
        <v>19045.2</v>
      </c>
      <c r="AB122" s="1144">
        <f t="shared" si="52"/>
        <v>37603.370000000003</v>
      </c>
      <c r="AC122" s="1144">
        <f t="shared" si="52"/>
        <v>260328.87</v>
      </c>
      <c r="AD122" s="1144">
        <f t="shared" si="52"/>
        <v>915</v>
      </c>
      <c r="AE122" s="1144">
        <f t="shared" si="52"/>
        <v>11.2</v>
      </c>
      <c r="AF122" s="1144">
        <f t="shared" si="52"/>
        <v>848.71832999999992</v>
      </c>
      <c r="AG122" s="1144">
        <f t="shared" si="52"/>
        <v>3668600</v>
      </c>
      <c r="AH122" s="1144">
        <f t="shared" si="52"/>
        <v>2053050</v>
      </c>
      <c r="AI122" s="1144">
        <f t="shared" si="52"/>
        <v>2214920</v>
      </c>
      <c r="AJ122" s="1144">
        <f t="shared" si="52"/>
        <v>35297809</v>
      </c>
      <c r="AK122" s="1144">
        <f t="shared" si="52"/>
        <v>3668600</v>
      </c>
      <c r="AL122" s="1144">
        <f t="shared" si="52"/>
        <v>2053050</v>
      </c>
      <c r="AM122" s="1144">
        <f t="shared" si="52"/>
        <v>2590920</v>
      </c>
      <c r="AN122" s="1144">
        <f t="shared" si="52"/>
        <v>95334071</v>
      </c>
      <c r="AO122" s="1144">
        <f t="shared" si="52"/>
        <v>110916337</v>
      </c>
      <c r="AP122" s="1144">
        <f t="shared" si="52"/>
        <v>-96876853.25</v>
      </c>
      <c r="AQ122" s="1037"/>
    </row>
    <row r="123" spans="1:43" ht="45" customHeight="1">
      <c r="B123" s="895" t="s">
        <v>116</v>
      </c>
      <c r="C123" s="895"/>
      <c r="D123" s="895"/>
      <c r="E123" s="895"/>
      <c r="F123" s="895"/>
      <c r="G123" s="895"/>
      <c r="H123" s="895"/>
      <c r="I123" s="895"/>
      <c r="J123" s="895"/>
      <c r="K123" s="895"/>
      <c r="L123" s="895"/>
      <c r="M123" s="895"/>
      <c r="N123" s="895"/>
      <c r="O123" s="895"/>
      <c r="P123" s="895"/>
      <c r="Q123" s="895"/>
      <c r="R123" s="895"/>
      <c r="S123" s="895"/>
      <c r="T123" s="895"/>
      <c r="U123" s="895"/>
      <c r="V123" s="895"/>
      <c r="W123" s="895"/>
      <c r="X123" s="895"/>
      <c r="Y123" s="895"/>
      <c r="Z123" s="895"/>
      <c r="AA123" s="895"/>
      <c r="AB123" s="895"/>
      <c r="AC123" s="895"/>
      <c r="AD123" s="895"/>
      <c r="AE123" s="895"/>
      <c r="AF123" s="895"/>
      <c r="AG123" s="348"/>
      <c r="AH123" s="348"/>
      <c r="AI123" s="348"/>
      <c r="AJ123" s="348"/>
      <c r="AK123" s="348"/>
      <c r="AL123" s="348"/>
      <c r="AM123" s="348"/>
      <c r="AN123" s="348"/>
    </row>
    <row r="124" spans="1:43" ht="14.25">
      <c r="B124" s="116"/>
      <c r="C124" s="116"/>
      <c r="D124" s="116"/>
      <c r="AG124" s="50"/>
      <c r="AH124" s="50"/>
      <c r="AI124" s="50"/>
      <c r="AJ124" s="50"/>
    </row>
    <row r="125" spans="1:43" ht="15" customHeight="1">
      <c r="B125" s="111"/>
      <c r="C125" s="111"/>
      <c r="D125" s="111"/>
      <c r="AG125" s="50"/>
      <c r="AH125" s="50"/>
      <c r="AI125" s="50"/>
      <c r="AJ125" s="50"/>
    </row>
    <row r="126" spans="1:43">
      <c r="AG126" s="50"/>
      <c r="AH126" s="50"/>
      <c r="AI126" s="50"/>
      <c r="AJ126" s="50"/>
    </row>
    <row r="127" spans="1:43">
      <c r="AG127" s="50"/>
      <c r="AH127" s="50"/>
      <c r="AI127" s="50"/>
      <c r="AJ127" s="50"/>
    </row>
    <row r="128" spans="1:43">
      <c r="AG128" s="50"/>
      <c r="AH128" s="50"/>
      <c r="AI128" s="50"/>
      <c r="AJ128" s="50"/>
    </row>
    <row r="129" s="50" customFormat="1"/>
    <row r="130" s="50" customFormat="1"/>
    <row r="131" s="50" customFormat="1"/>
    <row r="132" s="50" customFormat="1"/>
    <row r="133" s="50" customFormat="1"/>
    <row r="134" s="50" customFormat="1"/>
    <row r="135" s="50" customFormat="1"/>
    <row r="136" s="50" customFormat="1"/>
    <row r="137" s="50" customFormat="1"/>
    <row r="138" s="50" customFormat="1"/>
    <row r="139" s="50" customFormat="1"/>
    <row r="140" s="50" customFormat="1"/>
    <row r="141" s="50" customFormat="1"/>
    <row r="142" s="50" customFormat="1"/>
    <row r="143" s="50" customFormat="1"/>
    <row r="144" s="50" customFormat="1"/>
    <row r="145" s="50" customFormat="1"/>
    <row r="146" s="50" customFormat="1"/>
    <row r="147" s="50" customFormat="1"/>
    <row r="148" s="50" customFormat="1"/>
    <row r="149" s="50" customFormat="1"/>
    <row r="150" s="50" customFormat="1"/>
    <row r="151" s="50" customFormat="1"/>
    <row r="152" s="50" customFormat="1"/>
    <row r="153" s="50" customFormat="1"/>
    <row r="154" s="50" customFormat="1"/>
    <row r="155" s="50" customFormat="1"/>
    <row r="156" s="50" customFormat="1"/>
    <row r="157" s="50" customFormat="1"/>
    <row r="158" s="50" customFormat="1"/>
    <row r="159" s="50" customFormat="1"/>
    <row r="160" s="50" customFormat="1"/>
    <row r="161" s="50" customFormat="1"/>
    <row r="162" s="50" customFormat="1"/>
    <row r="163" s="50" customFormat="1"/>
    <row r="164" s="50" customFormat="1"/>
    <row r="165" s="50" customFormat="1"/>
    <row r="166" s="50" customFormat="1"/>
    <row r="167" s="50" customFormat="1"/>
    <row r="168" s="50" customFormat="1"/>
    <row r="169" s="50" customFormat="1"/>
    <row r="170" s="50" customFormat="1"/>
    <row r="171" s="50" customFormat="1"/>
    <row r="172" s="50" customFormat="1"/>
    <row r="173" s="50" customFormat="1"/>
    <row r="174" s="50" customFormat="1"/>
    <row r="175" s="50" customFormat="1"/>
    <row r="176" s="50" customFormat="1"/>
    <row r="177" s="50" customFormat="1"/>
    <row r="178" s="50" customFormat="1"/>
    <row r="179" s="50" customFormat="1"/>
    <row r="180" s="50" customFormat="1"/>
    <row r="181" s="50" customFormat="1"/>
    <row r="182" s="50" customFormat="1"/>
    <row r="183" s="50" customFormat="1"/>
    <row r="184" s="50" customFormat="1"/>
    <row r="185" s="50" customFormat="1"/>
    <row r="186" s="50" customFormat="1"/>
    <row r="187" s="50" customFormat="1"/>
    <row r="188" s="50" customFormat="1"/>
    <row r="189" s="50" customFormat="1"/>
    <row r="190" s="50" customFormat="1"/>
    <row r="191" s="50" customFormat="1"/>
    <row r="192" s="50" customFormat="1"/>
    <row r="193" s="50" customFormat="1"/>
    <row r="194" s="50" customFormat="1"/>
    <row r="195" s="50" customFormat="1"/>
    <row r="196" s="50" customFormat="1"/>
    <row r="197" s="50" customFormat="1"/>
    <row r="198" s="50" customFormat="1"/>
    <row r="199" s="50" customFormat="1"/>
    <row r="200" s="50" customFormat="1"/>
    <row r="201" s="50" customFormat="1"/>
    <row r="202" s="50" customFormat="1"/>
    <row r="203" s="50" customFormat="1"/>
    <row r="204" s="50" customFormat="1"/>
    <row r="205" s="50" customFormat="1"/>
    <row r="206" s="50" customFormat="1"/>
    <row r="207" s="50" customFormat="1"/>
    <row r="208" s="50" customFormat="1"/>
    <row r="209" s="50" customFormat="1"/>
    <row r="210" s="50" customFormat="1"/>
    <row r="211" s="50" customFormat="1"/>
    <row r="212" s="50" customFormat="1"/>
    <row r="213" s="50" customFormat="1"/>
    <row r="214" s="50" customFormat="1"/>
    <row r="215" s="50" customFormat="1"/>
    <row r="216" s="50" customFormat="1"/>
    <row r="217" s="50" customFormat="1"/>
    <row r="218" s="50" customFormat="1"/>
    <row r="219" s="50" customFormat="1"/>
    <row r="220" s="50" customFormat="1"/>
    <row r="221" s="50" customFormat="1"/>
    <row r="222" s="50" customFormat="1"/>
    <row r="223" s="50" customFormat="1"/>
    <row r="224" s="50" customFormat="1"/>
    <row r="225" s="50" customFormat="1"/>
    <row r="226" s="50" customFormat="1"/>
    <row r="227" s="50" customFormat="1"/>
    <row r="228" s="50" customFormat="1"/>
    <row r="229" s="50" customFormat="1"/>
    <row r="230" s="50" customFormat="1"/>
    <row r="231" s="50" customFormat="1"/>
    <row r="232" s="50" customFormat="1"/>
    <row r="233" s="50" customFormat="1"/>
    <row r="234" s="50" customFormat="1"/>
    <row r="235" s="50" customFormat="1"/>
    <row r="236" s="50" customFormat="1"/>
    <row r="237" s="50" customFormat="1"/>
    <row r="238" s="50" customFormat="1"/>
    <row r="239" s="50" customFormat="1"/>
    <row r="240" s="50" customFormat="1"/>
    <row r="241" s="50" customFormat="1"/>
    <row r="242" s="50" customFormat="1"/>
    <row r="243" s="50" customFormat="1"/>
    <row r="244" s="50" customFormat="1"/>
    <row r="245" s="50" customFormat="1"/>
    <row r="246" s="50" customFormat="1"/>
    <row r="247" s="50" customFormat="1"/>
    <row r="248" s="50" customFormat="1"/>
    <row r="249" s="50" customFormat="1"/>
    <row r="250" s="50" customFormat="1"/>
    <row r="251" s="50" customFormat="1"/>
    <row r="252" s="50" customFormat="1"/>
  </sheetData>
  <mergeCells count="43">
    <mergeCell ref="A58:A90"/>
    <mergeCell ref="B58:B90"/>
    <mergeCell ref="C58:C90"/>
    <mergeCell ref="B123:AF123"/>
    <mergeCell ref="B7:B12"/>
    <mergeCell ref="C7:C12"/>
    <mergeCell ref="B14:B38"/>
    <mergeCell ref="B40:B43"/>
    <mergeCell ref="C40:C43"/>
    <mergeCell ref="B45:B56"/>
    <mergeCell ref="C45:C56"/>
    <mergeCell ref="Y3:AB3"/>
    <mergeCell ref="AC3:AF3"/>
    <mergeCell ref="AG3:AJ3"/>
    <mergeCell ref="AK3:AN3"/>
    <mergeCell ref="AO3:AO4"/>
    <mergeCell ref="AP3:AP4"/>
    <mergeCell ref="M3:M4"/>
    <mergeCell ref="N3:N4"/>
    <mergeCell ref="O3:O4"/>
    <mergeCell ref="P3:P4"/>
    <mergeCell ref="Q3:Q4"/>
    <mergeCell ref="V3:X3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E1376-8816-4759-971F-27D5342E51CF}">
  <sheetPr filterMode="1"/>
  <dimension ref="A1:AZ325"/>
  <sheetViews>
    <sheetView topLeftCell="H26" zoomScale="88" zoomScaleNormal="88" workbookViewId="0">
      <selection activeCell="AO36" sqref="AO36"/>
    </sheetView>
  </sheetViews>
  <sheetFormatPr defaultRowHeight="13.5"/>
  <cols>
    <col min="1" max="1" width="3.85546875" style="3" customWidth="1"/>
    <col min="2" max="2" width="16.140625" style="50" customWidth="1"/>
    <col min="3" max="3" width="6.42578125" style="50" customWidth="1"/>
    <col min="4" max="4" width="25.5703125" style="50" customWidth="1"/>
    <col min="5" max="5" width="5.7109375" style="50" customWidth="1"/>
    <col min="6" max="6" width="7.5703125" style="50" customWidth="1"/>
    <col min="7" max="7" width="20.28515625" style="50" customWidth="1"/>
    <col min="8" max="12" width="5.85546875" style="50" customWidth="1"/>
    <col min="13" max="13" width="4.85546875" style="50" customWidth="1"/>
    <col min="14" max="14" width="11.140625" style="50" customWidth="1"/>
    <col min="15" max="15" width="12.140625" style="50" customWidth="1"/>
    <col min="16" max="16" width="9.85546875" style="50" customWidth="1"/>
    <col min="17" max="17" width="15.28515625" style="50" customWidth="1"/>
    <col min="18" max="18" width="5.28515625" style="50" customWidth="1"/>
    <col min="19" max="19" width="4.42578125" style="50" customWidth="1"/>
    <col min="20" max="20" width="4.5703125" style="50" customWidth="1"/>
    <col min="21" max="21" width="4.7109375" style="50" customWidth="1"/>
    <col min="22" max="22" width="9.140625" style="50" customWidth="1"/>
    <col min="23" max="23" width="6.85546875" style="50" customWidth="1"/>
    <col min="24" max="24" width="5.140625" style="50" customWidth="1"/>
    <col min="25" max="25" width="4.5703125" style="50" customWidth="1"/>
    <col min="26" max="26" width="5.42578125" style="50" customWidth="1"/>
    <col min="27" max="27" width="8.28515625" style="50" customWidth="1"/>
    <col min="28" max="28" width="8" style="50" customWidth="1"/>
    <col min="29" max="29" width="4.85546875" style="50" customWidth="1"/>
    <col min="30" max="31" width="5.42578125" style="50" customWidth="1"/>
    <col min="32" max="32" width="4.42578125" style="50" customWidth="1"/>
    <col min="33" max="34" width="4.85546875" style="117" customWidth="1"/>
    <col min="35" max="35" width="5.5703125" style="117" customWidth="1"/>
    <col min="36" max="36" width="3.5703125" style="117" customWidth="1"/>
    <col min="37" max="37" width="6.140625" style="50" customWidth="1"/>
    <col min="38" max="38" width="5.7109375" style="50" customWidth="1"/>
    <col min="39" max="39" width="6.28515625" style="50" customWidth="1"/>
    <col min="40" max="40" width="4.42578125" style="50" customWidth="1"/>
    <col min="41" max="41" width="8.5703125" style="50" bestFit="1" customWidth="1"/>
    <col min="42" max="42" width="17" style="50" customWidth="1"/>
    <col min="43" max="43" width="8.85546875" style="50" customWidth="1"/>
    <col min="44" max="44" width="9.28515625" style="50" customWidth="1"/>
    <col min="45" max="45" width="4.140625" style="50" customWidth="1"/>
    <col min="46" max="46" width="6.5703125" style="50" customWidth="1"/>
    <col min="47" max="47" width="5.42578125" style="50" customWidth="1"/>
    <col min="48" max="48" width="5" style="50" customWidth="1"/>
    <col min="49" max="49" width="8" style="50" customWidth="1"/>
    <col min="50" max="50" width="5" style="50" customWidth="1"/>
    <col min="51" max="51" width="6.140625" style="50" customWidth="1"/>
    <col min="52" max="52" width="4.28515625" style="50" customWidth="1"/>
    <col min="53" max="53" width="36.7109375" style="50" customWidth="1"/>
    <col min="54" max="16384" width="9.140625" style="50"/>
  </cols>
  <sheetData>
    <row r="1" spans="1:52" ht="33" customHeight="1" thickBot="1">
      <c r="A1" s="886" t="s">
        <v>907</v>
      </c>
      <c r="B1" s="886"/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86"/>
      <c r="O1" s="886"/>
      <c r="P1" s="886"/>
      <c r="Q1" s="886"/>
      <c r="R1" s="886"/>
      <c r="S1" s="886"/>
      <c r="T1" s="886"/>
      <c r="U1" s="886"/>
      <c r="V1" s="886"/>
      <c r="W1" s="886"/>
      <c r="X1" s="886"/>
      <c r="Y1" s="886"/>
      <c r="Z1" s="886"/>
      <c r="AA1" s="886"/>
      <c r="AB1" s="886"/>
      <c r="AC1" s="886"/>
      <c r="AD1" s="886"/>
      <c r="AE1" s="886"/>
      <c r="AF1" s="886"/>
      <c r="AG1" s="886"/>
      <c r="AH1" s="886"/>
      <c r="AI1" s="886"/>
      <c r="AJ1" s="886"/>
      <c r="AK1" s="886"/>
      <c r="AL1" s="886"/>
      <c r="AM1" s="886"/>
      <c r="AN1" s="886"/>
      <c r="AO1" s="886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</row>
    <row r="2" spans="1:52" ht="60.75" customHeight="1">
      <c r="A2" s="887" t="s">
        <v>0</v>
      </c>
      <c r="B2" s="880" t="s">
        <v>147</v>
      </c>
      <c r="C2" s="976" t="s">
        <v>2</v>
      </c>
      <c r="D2" s="880" t="s">
        <v>3</v>
      </c>
      <c r="E2" s="880"/>
      <c r="F2" s="880"/>
      <c r="G2" s="880"/>
      <c r="H2" s="880"/>
      <c r="I2" s="880" t="s">
        <v>4</v>
      </c>
      <c r="J2" s="880"/>
      <c r="K2" s="880"/>
      <c r="L2" s="880"/>
      <c r="M2" s="880"/>
      <c r="N2" s="980" t="s">
        <v>5</v>
      </c>
      <c r="O2" s="981"/>
      <c r="P2" s="981"/>
      <c r="Q2" s="982"/>
      <c r="R2" s="893" t="s">
        <v>6</v>
      </c>
      <c r="S2" s="893"/>
      <c r="T2" s="893"/>
      <c r="U2" s="893"/>
      <c r="V2" s="880" t="s">
        <v>7</v>
      </c>
      <c r="W2" s="880"/>
      <c r="X2" s="880"/>
      <c r="Y2" s="880" t="s">
        <v>8</v>
      </c>
      <c r="Z2" s="880"/>
      <c r="AA2" s="880"/>
      <c r="AB2" s="880"/>
      <c r="AC2" s="880"/>
      <c r="AD2" s="880"/>
      <c r="AE2" s="880"/>
      <c r="AF2" s="880"/>
      <c r="AG2" s="973" t="s">
        <v>9</v>
      </c>
      <c r="AH2" s="974"/>
      <c r="AI2" s="974"/>
      <c r="AJ2" s="974"/>
      <c r="AK2" s="974"/>
      <c r="AL2" s="974"/>
      <c r="AM2" s="974"/>
      <c r="AN2" s="974"/>
      <c r="AO2" s="974"/>
      <c r="AP2" s="975"/>
      <c r="AQ2" s="74"/>
      <c r="AR2" s="74"/>
      <c r="AS2" s="74"/>
      <c r="AT2" s="74"/>
      <c r="AU2" s="74"/>
      <c r="AV2" s="74"/>
    </row>
    <row r="3" spans="1:52" ht="141" customHeight="1">
      <c r="A3" s="888"/>
      <c r="B3" s="873"/>
      <c r="C3" s="977"/>
      <c r="D3" s="976" t="s">
        <v>10</v>
      </c>
      <c r="E3" s="873" t="s">
        <v>148</v>
      </c>
      <c r="F3" s="884" t="s">
        <v>12</v>
      </c>
      <c r="G3" s="882" t="s">
        <v>13</v>
      </c>
      <c r="H3" s="979" t="s">
        <v>123</v>
      </c>
      <c r="I3" s="882" t="s">
        <v>14</v>
      </c>
      <c r="J3" s="882" t="s">
        <v>15</v>
      </c>
      <c r="K3" s="882" t="s">
        <v>16</v>
      </c>
      <c r="L3" s="882" t="s">
        <v>17</v>
      </c>
      <c r="M3" s="873" t="s">
        <v>18</v>
      </c>
      <c r="N3" s="878" t="s">
        <v>19</v>
      </c>
      <c r="O3" s="878" t="s">
        <v>20</v>
      </c>
      <c r="P3" s="878" t="s">
        <v>21</v>
      </c>
      <c r="Q3" s="971" t="s">
        <v>22</v>
      </c>
      <c r="R3" s="894"/>
      <c r="S3" s="894"/>
      <c r="T3" s="894"/>
      <c r="U3" s="894"/>
      <c r="V3" s="873" t="s">
        <v>23</v>
      </c>
      <c r="W3" s="873"/>
      <c r="X3" s="873"/>
      <c r="Y3" s="873" t="s">
        <v>118</v>
      </c>
      <c r="Z3" s="873"/>
      <c r="AA3" s="873"/>
      <c r="AB3" s="873"/>
      <c r="AC3" s="873" t="s">
        <v>24</v>
      </c>
      <c r="AD3" s="873"/>
      <c r="AE3" s="873"/>
      <c r="AF3" s="873"/>
      <c r="AG3" s="874" t="s">
        <v>25</v>
      </c>
      <c r="AH3" s="874"/>
      <c r="AI3" s="874"/>
      <c r="AJ3" s="874"/>
      <c r="AK3" s="875" t="s">
        <v>26</v>
      </c>
      <c r="AL3" s="875"/>
      <c r="AM3" s="875"/>
      <c r="AN3" s="875"/>
      <c r="AO3" s="876" t="s">
        <v>22</v>
      </c>
      <c r="AP3" s="969" t="s">
        <v>27</v>
      </c>
      <c r="AQ3" s="81"/>
      <c r="AR3" s="81"/>
      <c r="AS3" s="81"/>
      <c r="AT3" s="81"/>
      <c r="AU3" s="81"/>
      <c r="AV3" s="81"/>
    </row>
    <row r="4" spans="1:52" ht="93" customHeight="1">
      <c r="A4" s="888"/>
      <c r="B4" s="873"/>
      <c r="C4" s="978"/>
      <c r="D4" s="977"/>
      <c r="E4" s="873"/>
      <c r="F4" s="884"/>
      <c r="G4" s="882"/>
      <c r="H4" s="979"/>
      <c r="I4" s="882"/>
      <c r="J4" s="882"/>
      <c r="K4" s="882"/>
      <c r="L4" s="882"/>
      <c r="M4" s="873"/>
      <c r="N4" s="878"/>
      <c r="O4" s="878"/>
      <c r="P4" s="878"/>
      <c r="Q4" s="972"/>
      <c r="R4" s="118" t="s">
        <v>28</v>
      </c>
      <c r="S4" s="118" t="s">
        <v>29</v>
      </c>
      <c r="T4" s="118" t="s">
        <v>30</v>
      </c>
      <c r="U4" s="118" t="s">
        <v>31</v>
      </c>
      <c r="V4" s="8" t="s">
        <v>119</v>
      </c>
      <c r="W4" s="8" t="s">
        <v>33</v>
      </c>
      <c r="X4" s="7" t="s">
        <v>34</v>
      </c>
      <c r="Y4" s="119" t="s">
        <v>35</v>
      </c>
      <c r="Z4" s="119" t="s">
        <v>36</v>
      </c>
      <c r="AA4" s="119" t="s">
        <v>37</v>
      </c>
      <c r="AB4" s="119" t="s">
        <v>18</v>
      </c>
      <c r="AC4" s="119" t="s">
        <v>35</v>
      </c>
      <c r="AD4" s="119" t="s">
        <v>36</v>
      </c>
      <c r="AE4" s="119" t="s">
        <v>37</v>
      </c>
      <c r="AF4" s="119" t="s">
        <v>18</v>
      </c>
      <c r="AG4" s="120" t="s">
        <v>35</v>
      </c>
      <c r="AH4" s="120" t="s">
        <v>36</v>
      </c>
      <c r="AI4" s="120" t="s">
        <v>37</v>
      </c>
      <c r="AJ4" s="121" t="s">
        <v>31</v>
      </c>
      <c r="AK4" s="122" t="s">
        <v>35</v>
      </c>
      <c r="AL4" s="122" t="s">
        <v>36</v>
      </c>
      <c r="AM4" s="122" t="s">
        <v>37</v>
      </c>
      <c r="AN4" s="123" t="s">
        <v>31</v>
      </c>
      <c r="AO4" s="876"/>
      <c r="AP4" s="970"/>
      <c r="AQ4" s="88"/>
      <c r="AR4" s="88"/>
      <c r="AS4" s="81"/>
      <c r="AT4" s="88"/>
      <c r="AU4" s="88"/>
      <c r="AV4" s="88"/>
    </row>
    <row r="5" spans="1:52" ht="30.75" customHeight="1">
      <c r="A5" s="888"/>
      <c r="B5" s="873"/>
      <c r="C5" s="30" t="s">
        <v>38</v>
      </c>
      <c r="D5" s="978"/>
      <c r="E5" s="53" t="s">
        <v>38</v>
      </c>
      <c r="F5" s="153"/>
      <c r="G5" s="153"/>
      <c r="H5" s="148"/>
      <c r="I5" s="7"/>
      <c r="J5" s="7"/>
      <c r="K5" s="8"/>
      <c r="L5" s="7"/>
      <c r="M5" s="7"/>
      <c r="N5" s="129" t="s">
        <v>39</v>
      </c>
      <c r="O5" s="129" t="s">
        <v>39</v>
      </c>
      <c r="P5" s="129" t="s">
        <v>39</v>
      </c>
      <c r="Q5" s="130" t="s">
        <v>39</v>
      </c>
      <c r="R5" s="154" t="s">
        <v>40</v>
      </c>
      <c r="S5" s="154" t="s">
        <v>40</v>
      </c>
      <c r="T5" s="154" t="s">
        <v>40</v>
      </c>
      <c r="U5" s="154" t="s">
        <v>40</v>
      </c>
      <c r="V5" s="7" t="s">
        <v>41</v>
      </c>
      <c r="W5" s="7" t="s">
        <v>38</v>
      </c>
      <c r="X5" s="7" t="s">
        <v>34</v>
      </c>
      <c r="Y5" s="155" t="s">
        <v>42</v>
      </c>
      <c r="Z5" s="155" t="s">
        <v>43</v>
      </c>
      <c r="AA5" s="155" t="s">
        <v>44</v>
      </c>
      <c r="AB5" s="155"/>
      <c r="AC5" s="155" t="s">
        <v>42</v>
      </c>
      <c r="AD5" s="155" t="s">
        <v>43</v>
      </c>
      <c r="AE5" s="155" t="s">
        <v>44</v>
      </c>
      <c r="AF5" s="155"/>
      <c r="AG5" s="156" t="s">
        <v>40</v>
      </c>
      <c r="AH5" s="156" t="s">
        <v>40</v>
      </c>
      <c r="AI5" s="156" t="s">
        <v>40</v>
      </c>
      <c r="AJ5" s="156" t="s">
        <v>40</v>
      </c>
      <c r="AK5" s="157" t="s">
        <v>40</v>
      </c>
      <c r="AL5" s="157" t="s">
        <v>40</v>
      </c>
      <c r="AM5" s="157" t="s">
        <v>40</v>
      </c>
      <c r="AN5" s="12" t="s">
        <v>39</v>
      </c>
      <c r="AO5" s="13" t="s">
        <v>39</v>
      </c>
      <c r="AP5" s="60" t="s">
        <v>39</v>
      </c>
      <c r="AQ5" s="1"/>
      <c r="AR5" s="1"/>
      <c r="AS5" s="1"/>
      <c r="AT5" s="1"/>
      <c r="AU5" s="1"/>
      <c r="AV5" s="1"/>
    </row>
    <row r="6" spans="1:52" ht="19.5" customHeight="1" thickBot="1">
      <c r="A6" s="158">
        <v>1</v>
      </c>
      <c r="B6" s="4">
        <v>2</v>
      </c>
      <c r="C6" s="144">
        <v>3</v>
      </c>
      <c r="D6" s="4">
        <v>4</v>
      </c>
      <c r="E6" s="144">
        <v>5</v>
      </c>
      <c r="F6" s="4">
        <v>6</v>
      </c>
      <c r="G6" s="144">
        <v>7</v>
      </c>
      <c r="H6" s="159">
        <v>8</v>
      </c>
      <c r="I6" s="144">
        <v>9</v>
      </c>
      <c r="J6" s="4">
        <v>10</v>
      </c>
      <c r="K6" s="144">
        <v>11</v>
      </c>
      <c r="L6" s="4">
        <v>12</v>
      </c>
      <c r="M6" s="144">
        <v>13</v>
      </c>
      <c r="N6" s="160">
        <v>14</v>
      </c>
      <c r="O6" s="161">
        <v>15</v>
      </c>
      <c r="P6" s="160">
        <v>16</v>
      </c>
      <c r="Q6" s="162">
        <v>17</v>
      </c>
      <c r="R6" s="163">
        <v>18</v>
      </c>
      <c r="S6" s="164">
        <v>19</v>
      </c>
      <c r="T6" s="163">
        <v>20</v>
      </c>
      <c r="U6" s="164">
        <v>21</v>
      </c>
      <c r="V6" s="4">
        <v>22</v>
      </c>
      <c r="W6" s="144">
        <v>23</v>
      </c>
      <c r="X6" s="4">
        <v>24</v>
      </c>
      <c r="Y6" s="144">
        <v>25</v>
      </c>
      <c r="Z6" s="4">
        <v>26</v>
      </c>
      <c r="AA6" s="144">
        <v>27</v>
      </c>
      <c r="AB6" s="4">
        <v>28</v>
      </c>
      <c r="AC6" s="144">
        <v>29</v>
      </c>
      <c r="AD6" s="4">
        <v>30</v>
      </c>
      <c r="AE6" s="144">
        <v>31</v>
      </c>
      <c r="AF6" s="4">
        <v>32</v>
      </c>
      <c r="AG6" s="165">
        <v>33</v>
      </c>
      <c r="AH6" s="166">
        <v>34</v>
      </c>
      <c r="AI6" s="165">
        <v>35</v>
      </c>
      <c r="AJ6" s="166">
        <v>36</v>
      </c>
      <c r="AK6" s="167">
        <v>37</v>
      </c>
      <c r="AL6" s="168">
        <v>38</v>
      </c>
      <c r="AM6" s="167">
        <v>39</v>
      </c>
      <c r="AN6" s="168">
        <v>40</v>
      </c>
      <c r="AO6" s="169">
        <v>41</v>
      </c>
      <c r="AP6" s="170">
        <v>42</v>
      </c>
      <c r="AQ6" s="2"/>
      <c r="AR6" s="5"/>
      <c r="AS6" s="2"/>
      <c r="AT6" s="5"/>
      <c r="AU6" s="2"/>
      <c r="AV6" s="111"/>
    </row>
    <row r="7" spans="1:52" ht="106.5" customHeight="1" thickBot="1">
      <c r="A7" s="171">
        <v>1</v>
      </c>
      <c r="B7" s="172" t="s">
        <v>149</v>
      </c>
      <c r="C7" s="865">
        <v>5</v>
      </c>
      <c r="D7" s="174" t="s">
        <v>150</v>
      </c>
      <c r="E7" s="173">
        <v>1</v>
      </c>
      <c r="F7" s="173" t="s">
        <v>151</v>
      </c>
      <c r="G7" s="174" t="s">
        <v>150</v>
      </c>
      <c r="H7" s="175" t="s">
        <v>127</v>
      </c>
      <c r="I7" s="173"/>
      <c r="K7" s="173"/>
      <c r="L7" s="173" t="s">
        <v>17</v>
      </c>
      <c r="M7" s="173"/>
      <c r="N7" s="176">
        <v>0</v>
      </c>
      <c r="O7" s="176">
        <v>4552580</v>
      </c>
      <c r="P7" s="176">
        <v>1244900</v>
      </c>
      <c r="Q7" s="177">
        <f>N7+O7+P7</f>
        <v>5797480</v>
      </c>
      <c r="R7" s="178">
        <v>0</v>
      </c>
      <c r="S7" s="178">
        <v>0</v>
      </c>
      <c r="T7" s="178">
        <v>0</v>
      </c>
      <c r="U7" s="178">
        <v>0</v>
      </c>
      <c r="V7" s="173">
        <v>66415</v>
      </c>
      <c r="W7" s="173">
        <v>66415</v>
      </c>
      <c r="X7" s="173">
        <v>100</v>
      </c>
      <c r="Y7" s="173">
        <v>0</v>
      </c>
      <c r="Z7" s="173">
        <v>0</v>
      </c>
      <c r="AA7" s="173">
        <v>8</v>
      </c>
      <c r="AB7" s="173">
        <v>0</v>
      </c>
      <c r="AC7" s="173">
        <v>0</v>
      </c>
      <c r="AD7" s="173">
        <v>0</v>
      </c>
      <c r="AE7" s="173">
        <v>8</v>
      </c>
      <c r="AF7" s="173">
        <v>0</v>
      </c>
      <c r="AG7" s="179">
        <v>0</v>
      </c>
      <c r="AH7" s="179">
        <v>0</v>
      </c>
      <c r="AI7" s="179">
        <v>0</v>
      </c>
      <c r="AJ7" s="179">
        <v>0</v>
      </c>
      <c r="AK7" s="180">
        <f>R7*Y7</f>
        <v>0</v>
      </c>
      <c r="AL7" s="180">
        <f t="shared" ref="AL7:AN10" si="0">S7*Z7</f>
        <v>0</v>
      </c>
      <c r="AM7" s="180">
        <f t="shared" si="0"/>
        <v>0</v>
      </c>
      <c r="AN7" s="180">
        <f t="shared" si="0"/>
        <v>0</v>
      </c>
      <c r="AO7" s="181">
        <f>AK7+AL7+AM7+AN7</f>
        <v>0</v>
      </c>
      <c r="AP7" s="182">
        <f>AO7-Q7</f>
        <v>-5797480</v>
      </c>
      <c r="AQ7" s="1"/>
      <c r="AR7" s="1"/>
      <c r="AS7" s="1"/>
      <c r="AT7" s="1"/>
      <c r="AU7" s="1"/>
      <c r="AV7" s="1"/>
    </row>
    <row r="8" spans="1:52" ht="97.5" customHeight="1" thickBot="1">
      <c r="A8" s="183"/>
      <c r="B8" s="172"/>
      <c r="C8" s="866"/>
      <c r="D8" s="185" t="s">
        <v>152</v>
      </c>
      <c r="E8" s="184">
        <v>1</v>
      </c>
      <c r="F8" s="184" t="s">
        <v>151</v>
      </c>
      <c r="G8" s="185" t="s">
        <v>152</v>
      </c>
      <c r="H8" s="186" t="s">
        <v>127</v>
      </c>
      <c r="I8" s="173"/>
      <c r="J8" s="184"/>
      <c r="K8" s="184"/>
      <c r="L8" s="184" t="s">
        <v>17</v>
      </c>
      <c r="M8" s="184"/>
      <c r="N8" s="187">
        <v>0</v>
      </c>
      <c r="O8" s="187">
        <v>767400</v>
      </c>
      <c r="P8" s="187">
        <v>0</v>
      </c>
      <c r="Q8" s="188">
        <f t="shared" ref="Q8:Q10" si="1">N8+O8+P8</f>
        <v>767400</v>
      </c>
      <c r="R8" s="189">
        <v>0</v>
      </c>
      <c r="S8" s="189">
        <v>0</v>
      </c>
      <c r="T8" s="189">
        <v>0</v>
      </c>
      <c r="U8" s="189">
        <v>0</v>
      </c>
      <c r="V8" s="184">
        <v>66415</v>
      </c>
      <c r="W8" s="184">
        <v>66415</v>
      </c>
      <c r="X8" s="184">
        <v>100</v>
      </c>
      <c r="Y8" s="184">
        <v>0</v>
      </c>
      <c r="Z8" s="184">
        <v>0</v>
      </c>
      <c r="AA8" s="184">
        <v>12</v>
      </c>
      <c r="AB8" s="184">
        <v>0</v>
      </c>
      <c r="AC8" s="184">
        <v>0</v>
      </c>
      <c r="AD8" s="184">
        <v>0</v>
      </c>
      <c r="AE8" s="184">
        <v>12</v>
      </c>
      <c r="AF8" s="184">
        <v>0</v>
      </c>
      <c r="AG8" s="190">
        <v>0</v>
      </c>
      <c r="AH8" s="190">
        <v>0</v>
      </c>
      <c r="AI8" s="190">
        <v>0</v>
      </c>
      <c r="AJ8" s="190">
        <v>0</v>
      </c>
      <c r="AK8" s="191">
        <f t="shared" ref="AK8:AK10" si="2">R8*Y8</f>
        <v>0</v>
      </c>
      <c r="AL8" s="191">
        <f t="shared" si="0"/>
        <v>0</v>
      </c>
      <c r="AM8" s="191">
        <f t="shared" si="0"/>
        <v>0</v>
      </c>
      <c r="AN8" s="191">
        <f t="shared" si="0"/>
        <v>0</v>
      </c>
      <c r="AO8" s="192">
        <f t="shared" ref="AO8:AO10" si="3">AK8+AL8+AM8+AN8</f>
        <v>0</v>
      </c>
      <c r="AP8" s="193">
        <f t="shared" ref="AP8:AP10" si="4">AO8-Q8</f>
        <v>-767400</v>
      </c>
      <c r="AQ8" s="1"/>
      <c r="AR8" s="1"/>
      <c r="AS8" s="1"/>
      <c r="AT8" s="1"/>
      <c r="AU8" s="1"/>
      <c r="AV8" s="1"/>
    </row>
    <row r="9" spans="1:52" ht="86.25" customHeight="1" thickBot="1">
      <c r="A9" s="171"/>
      <c r="B9" s="172"/>
      <c r="C9" s="866"/>
      <c r="D9" s="174" t="s">
        <v>153</v>
      </c>
      <c r="E9" s="173">
        <v>1</v>
      </c>
      <c r="F9" s="173" t="s">
        <v>151</v>
      </c>
      <c r="G9" s="174" t="s">
        <v>153</v>
      </c>
      <c r="H9" s="175" t="s">
        <v>127</v>
      </c>
      <c r="I9" s="173"/>
      <c r="J9" s="173"/>
      <c r="K9" s="173"/>
      <c r="L9" s="173" t="s">
        <v>17</v>
      </c>
      <c r="M9" s="173"/>
      <c r="N9" s="176">
        <v>0</v>
      </c>
      <c r="O9" s="176">
        <v>3848340</v>
      </c>
      <c r="P9" s="176">
        <v>1994050</v>
      </c>
      <c r="Q9" s="177">
        <f t="shared" si="1"/>
        <v>5842390</v>
      </c>
      <c r="R9" s="178">
        <v>0</v>
      </c>
      <c r="S9" s="178">
        <v>0</v>
      </c>
      <c r="T9" s="178">
        <v>0</v>
      </c>
      <c r="U9" s="178">
        <v>0</v>
      </c>
      <c r="V9" s="173">
        <v>66415</v>
      </c>
      <c r="W9" s="173">
        <v>66415</v>
      </c>
      <c r="X9" s="173">
        <v>100</v>
      </c>
      <c r="Y9" s="173">
        <v>0</v>
      </c>
      <c r="Z9" s="173">
        <v>1</v>
      </c>
      <c r="AA9" s="173">
        <v>0</v>
      </c>
      <c r="AB9" s="173">
        <v>0</v>
      </c>
      <c r="AC9" s="173">
        <v>0</v>
      </c>
      <c r="AD9" s="173">
        <v>1</v>
      </c>
      <c r="AE9" s="173">
        <v>0</v>
      </c>
      <c r="AF9" s="173">
        <v>0</v>
      </c>
      <c r="AG9" s="179">
        <v>0</v>
      </c>
      <c r="AH9" s="179">
        <v>0</v>
      </c>
      <c r="AI9" s="179">
        <v>0</v>
      </c>
      <c r="AJ9" s="179">
        <v>0</v>
      </c>
      <c r="AK9" s="180">
        <f t="shared" si="2"/>
        <v>0</v>
      </c>
      <c r="AL9" s="180">
        <f t="shared" si="0"/>
        <v>0</v>
      </c>
      <c r="AM9" s="180">
        <f t="shared" si="0"/>
        <v>0</v>
      </c>
      <c r="AN9" s="180">
        <f t="shared" si="0"/>
        <v>0</v>
      </c>
      <c r="AO9" s="181">
        <f t="shared" si="3"/>
        <v>0</v>
      </c>
      <c r="AP9" s="182">
        <f t="shared" si="4"/>
        <v>-5842390</v>
      </c>
      <c r="AQ9" s="1"/>
      <c r="AR9" s="1"/>
      <c r="AS9" s="1"/>
      <c r="AT9" s="1"/>
      <c r="AU9" s="1"/>
      <c r="AV9" s="1"/>
    </row>
    <row r="10" spans="1:52" ht="101.25" customHeight="1" thickBot="1">
      <c r="A10" s="171"/>
      <c r="B10" s="172"/>
      <c r="C10" s="955"/>
      <c r="D10" s="174" t="s">
        <v>154</v>
      </c>
      <c r="E10" s="173">
        <v>1</v>
      </c>
      <c r="F10" s="173" t="s">
        <v>151</v>
      </c>
      <c r="G10" s="174" t="s">
        <v>154</v>
      </c>
      <c r="H10" s="175" t="s">
        <v>127</v>
      </c>
      <c r="I10" s="173"/>
      <c r="J10" s="173"/>
      <c r="K10" s="173"/>
      <c r="L10" s="173" t="s">
        <v>17</v>
      </c>
      <c r="M10" s="173"/>
      <c r="N10" s="176">
        <v>0</v>
      </c>
      <c r="O10" s="176">
        <v>927200</v>
      </c>
      <c r="P10" s="176">
        <v>1025000</v>
      </c>
      <c r="Q10" s="177">
        <f t="shared" si="1"/>
        <v>1952200</v>
      </c>
      <c r="R10" s="178">
        <v>0</v>
      </c>
      <c r="S10" s="178">
        <v>0</v>
      </c>
      <c r="T10" s="178">
        <v>0</v>
      </c>
      <c r="U10" s="178">
        <v>0</v>
      </c>
      <c r="V10" s="173">
        <v>66415</v>
      </c>
      <c r="W10" s="173">
        <v>66415</v>
      </c>
      <c r="X10" s="173">
        <v>100</v>
      </c>
      <c r="Y10" s="173">
        <v>0</v>
      </c>
      <c r="Z10" s="173">
        <v>0</v>
      </c>
      <c r="AA10" s="173">
        <v>0</v>
      </c>
      <c r="AB10" s="173">
        <v>0</v>
      </c>
      <c r="AC10" s="173">
        <v>0</v>
      </c>
      <c r="AD10" s="173">
        <v>0</v>
      </c>
      <c r="AE10" s="173">
        <v>0</v>
      </c>
      <c r="AF10" s="173">
        <v>0</v>
      </c>
      <c r="AG10" s="179">
        <v>0</v>
      </c>
      <c r="AH10" s="179">
        <v>0</v>
      </c>
      <c r="AI10" s="179"/>
      <c r="AJ10" s="179">
        <v>0</v>
      </c>
      <c r="AK10" s="180">
        <f t="shared" si="2"/>
        <v>0</v>
      </c>
      <c r="AL10" s="180">
        <f t="shared" si="0"/>
        <v>0</v>
      </c>
      <c r="AM10" s="180">
        <f t="shared" si="0"/>
        <v>0</v>
      </c>
      <c r="AN10" s="180">
        <f t="shared" si="0"/>
        <v>0</v>
      </c>
      <c r="AO10" s="181">
        <f t="shared" si="3"/>
        <v>0</v>
      </c>
      <c r="AP10" s="182">
        <f t="shared" si="4"/>
        <v>-1952200</v>
      </c>
      <c r="AQ10" s="1"/>
      <c r="AR10" s="1"/>
      <c r="AS10" s="1"/>
      <c r="AT10" s="1"/>
      <c r="AU10" s="1"/>
      <c r="AV10" s="1"/>
    </row>
    <row r="11" spans="1:52" ht="21" thickBot="1">
      <c r="A11" s="171">
        <v>8</v>
      </c>
      <c r="B11" s="623" t="s">
        <v>115</v>
      </c>
      <c r="C11" s="623">
        <f>SUM(C7:C10)</f>
        <v>5</v>
      </c>
      <c r="D11" s="623">
        <f t="shared" ref="D11:AP11" si="5">SUM(D7:D10)</f>
        <v>0</v>
      </c>
      <c r="E11" s="623">
        <f t="shared" si="5"/>
        <v>4</v>
      </c>
      <c r="F11" s="623">
        <f t="shared" si="5"/>
        <v>0</v>
      </c>
      <c r="G11" s="623">
        <f t="shared" si="5"/>
        <v>0</v>
      </c>
      <c r="H11" s="623">
        <f t="shared" si="5"/>
        <v>0</v>
      </c>
      <c r="I11" s="623">
        <f t="shared" si="5"/>
        <v>0</v>
      </c>
      <c r="J11" s="623">
        <f t="shared" si="5"/>
        <v>0</v>
      </c>
      <c r="K11" s="623">
        <f t="shared" si="5"/>
        <v>0</v>
      </c>
      <c r="L11" s="623">
        <f t="shared" si="5"/>
        <v>0</v>
      </c>
      <c r="M11" s="623">
        <f t="shared" si="5"/>
        <v>0</v>
      </c>
      <c r="N11" s="623">
        <f t="shared" si="5"/>
        <v>0</v>
      </c>
      <c r="O11" s="623">
        <f t="shared" si="5"/>
        <v>10095520</v>
      </c>
      <c r="P11" s="623">
        <f t="shared" si="5"/>
        <v>4263950</v>
      </c>
      <c r="Q11" s="623">
        <f t="shared" si="5"/>
        <v>14359470</v>
      </c>
      <c r="R11" s="623">
        <f t="shared" si="5"/>
        <v>0</v>
      </c>
      <c r="S11" s="623">
        <f t="shared" si="5"/>
        <v>0</v>
      </c>
      <c r="T11" s="623">
        <f t="shared" si="5"/>
        <v>0</v>
      </c>
      <c r="U11" s="623">
        <f t="shared" si="5"/>
        <v>0</v>
      </c>
      <c r="V11" s="623">
        <f t="shared" si="5"/>
        <v>265660</v>
      </c>
      <c r="W11" s="623">
        <f t="shared" si="5"/>
        <v>265660</v>
      </c>
      <c r="X11" s="623">
        <f t="shared" si="5"/>
        <v>400</v>
      </c>
      <c r="Y11" s="623">
        <f t="shared" si="5"/>
        <v>0</v>
      </c>
      <c r="Z11" s="623">
        <f t="shared" si="5"/>
        <v>1</v>
      </c>
      <c r="AA11" s="623">
        <f t="shared" si="5"/>
        <v>20</v>
      </c>
      <c r="AB11" s="623">
        <f t="shared" si="5"/>
        <v>0</v>
      </c>
      <c r="AC11" s="623">
        <f t="shared" si="5"/>
        <v>0</v>
      </c>
      <c r="AD11" s="623">
        <f t="shared" si="5"/>
        <v>1</v>
      </c>
      <c r="AE11" s="623">
        <f t="shared" si="5"/>
        <v>20</v>
      </c>
      <c r="AF11" s="623">
        <f t="shared" si="5"/>
        <v>0</v>
      </c>
      <c r="AG11" s="623">
        <f t="shared" si="5"/>
        <v>0</v>
      </c>
      <c r="AH11" s="623">
        <f t="shared" si="5"/>
        <v>0</v>
      </c>
      <c r="AI11" s="623">
        <f t="shared" si="5"/>
        <v>0</v>
      </c>
      <c r="AJ11" s="623">
        <f t="shared" si="5"/>
        <v>0</v>
      </c>
      <c r="AK11" s="623">
        <f t="shared" si="5"/>
        <v>0</v>
      </c>
      <c r="AL11" s="623">
        <f t="shared" si="5"/>
        <v>0</v>
      </c>
      <c r="AM11" s="623">
        <f t="shared" si="5"/>
        <v>0</v>
      </c>
      <c r="AN11" s="623">
        <f t="shared" si="5"/>
        <v>0</v>
      </c>
      <c r="AO11" s="623">
        <f t="shared" si="5"/>
        <v>0</v>
      </c>
      <c r="AP11" s="623">
        <f t="shared" si="5"/>
        <v>-14359470</v>
      </c>
      <c r="AQ11" s="1"/>
      <c r="AR11" s="1"/>
      <c r="AS11" s="1"/>
      <c r="AT11" s="1"/>
      <c r="AU11" s="1"/>
      <c r="AV11" s="1"/>
    </row>
    <row r="12" spans="1:52" ht="21" thickBot="1">
      <c r="A12" s="171">
        <v>2</v>
      </c>
      <c r="B12" s="609" t="s">
        <v>908</v>
      </c>
      <c r="C12" s="609">
        <v>8</v>
      </c>
      <c r="D12" s="610" t="s">
        <v>155</v>
      </c>
      <c r="E12" s="611">
        <v>1</v>
      </c>
      <c r="F12" s="609" t="s">
        <v>156</v>
      </c>
      <c r="G12" s="609" t="s">
        <v>157</v>
      </c>
      <c r="H12" s="612" t="s">
        <v>60</v>
      </c>
      <c r="I12" s="609"/>
      <c r="J12" s="609"/>
      <c r="K12" s="609"/>
      <c r="L12" s="609"/>
      <c r="M12" s="609"/>
      <c r="N12" s="613">
        <v>722425</v>
      </c>
      <c r="O12" s="613">
        <v>4224200</v>
      </c>
      <c r="P12" s="614"/>
      <c r="Q12" s="615">
        <f>SUM(N12+O12)</f>
        <v>4946625</v>
      </c>
      <c r="R12" s="616"/>
      <c r="S12" s="616"/>
      <c r="T12" s="616"/>
      <c r="U12" s="616"/>
      <c r="V12" s="611">
        <v>43020</v>
      </c>
      <c r="W12" s="611">
        <v>0</v>
      </c>
      <c r="X12" s="611">
        <v>0</v>
      </c>
      <c r="Y12" s="611">
        <v>0</v>
      </c>
      <c r="Z12" s="611">
        <v>0</v>
      </c>
      <c r="AA12" s="609">
        <v>0</v>
      </c>
      <c r="AB12" s="609"/>
      <c r="AC12" s="609"/>
      <c r="AD12" s="609"/>
      <c r="AE12" s="609"/>
      <c r="AF12" s="609"/>
      <c r="AG12" s="617">
        <v>0</v>
      </c>
      <c r="AH12" s="617">
        <v>0</v>
      </c>
      <c r="AI12" s="618">
        <v>0</v>
      </c>
      <c r="AJ12" s="618"/>
      <c r="AK12" s="619">
        <v>0</v>
      </c>
      <c r="AL12" s="619">
        <v>0</v>
      </c>
      <c r="AM12" s="619">
        <v>0</v>
      </c>
      <c r="AN12" s="619"/>
      <c r="AO12" s="620">
        <v>0</v>
      </c>
      <c r="AP12" s="621">
        <v>0</v>
      </c>
      <c r="AQ12" s="1"/>
      <c r="AR12" s="1"/>
      <c r="AS12" s="1"/>
      <c r="AT12" s="1"/>
      <c r="AU12" s="1"/>
      <c r="AV12" s="1"/>
    </row>
    <row r="13" spans="1:52" ht="21" thickBot="1">
      <c r="A13" s="183">
        <v>7</v>
      </c>
      <c r="B13" s="609"/>
      <c r="C13" s="609"/>
      <c r="D13" s="610" t="s">
        <v>158</v>
      </c>
      <c r="E13" s="611">
        <v>2</v>
      </c>
      <c r="F13" s="609" t="s">
        <v>159</v>
      </c>
      <c r="G13" s="609" t="s">
        <v>160</v>
      </c>
      <c r="H13" s="612" t="s">
        <v>60</v>
      </c>
      <c r="I13" s="609">
        <v>0</v>
      </c>
      <c r="J13" s="609">
        <v>0</v>
      </c>
      <c r="K13" s="609"/>
      <c r="L13" s="609">
        <v>0</v>
      </c>
      <c r="M13" s="609"/>
      <c r="N13" s="613">
        <v>568500</v>
      </c>
      <c r="O13" s="613">
        <v>439000</v>
      </c>
      <c r="P13" s="613"/>
      <c r="Q13" s="615">
        <f>SUM(N13+O13)</f>
        <v>1007500</v>
      </c>
      <c r="R13" s="616"/>
      <c r="S13" s="616"/>
      <c r="T13" s="616"/>
      <c r="U13" s="616"/>
      <c r="V13" s="611"/>
      <c r="W13" s="611">
        <v>0</v>
      </c>
      <c r="X13" s="611">
        <v>0</v>
      </c>
      <c r="Y13" s="611">
        <v>0</v>
      </c>
      <c r="Z13" s="611">
        <v>0</v>
      </c>
      <c r="AA13" s="611">
        <v>75</v>
      </c>
      <c r="AB13" s="611"/>
      <c r="AC13" s="611"/>
      <c r="AD13" s="609"/>
      <c r="AE13" s="609"/>
      <c r="AF13" s="609"/>
      <c r="AG13" s="622">
        <v>0</v>
      </c>
      <c r="AH13" s="617">
        <v>0</v>
      </c>
      <c r="AI13" s="618">
        <v>0</v>
      </c>
      <c r="AJ13" s="618"/>
      <c r="AK13" s="619">
        <v>0</v>
      </c>
      <c r="AL13" s="619">
        <v>0</v>
      </c>
      <c r="AM13" s="619">
        <v>0</v>
      </c>
      <c r="AN13" s="619"/>
      <c r="AO13" s="620">
        <v>0</v>
      </c>
      <c r="AP13" s="621">
        <v>0</v>
      </c>
      <c r="AQ13" s="1"/>
      <c r="AR13" s="1"/>
      <c r="AS13" s="1"/>
      <c r="AT13" s="1"/>
      <c r="AU13" s="1"/>
      <c r="AV13" s="1"/>
    </row>
    <row r="14" spans="1:52" ht="21" thickBot="1">
      <c r="A14" s="171">
        <v>8</v>
      </c>
      <c r="B14" s="623" t="s">
        <v>115</v>
      </c>
      <c r="C14" s="623">
        <f>SUM(C12:C13)</f>
        <v>8</v>
      </c>
      <c r="D14" s="623"/>
      <c r="E14" s="624">
        <f>SUM(E12:E13)</f>
        <v>3</v>
      </c>
      <c r="F14" s="623"/>
      <c r="G14" s="623"/>
      <c r="H14" s="623"/>
      <c r="I14" s="623"/>
      <c r="J14" s="623"/>
      <c r="K14" s="623"/>
      <c r="L14" s="623"/>
      <c r="M14" s="625"/>
      <c r="N14" s="626">
        <f>SUM(N12:N13)</f>
        <v>1290925</v>
      </c>
      <c r="O14" s="627">
        <f>SUM(O12:O13)</f>
        <v>4663200</v>
      </c>
      <c r="P14" s="623">
        <f t="shared" ref="P14:AP14" si="6">SUM(P12:P13)</f>
        <v>0</v>
      </c>
      <c r="Q14" s="623">
        <f>SUM(N14+O14)</f>
        <v>5954125</v>
      </c>
      <c r="R14" s="623">
        <f t="shared" si="6"/>
        <v>0</v>
      </c>
      <c r="S14" s="623">
        <f t="shared" si="6"/>
        <v>0</v>
      </c>
      <c r="T14" s="623">
        <f t="shared" si="6"/>
        <v>0</v>
      </c>
      <c r="U14" s="623">
        <f t="shared" si="6"/>
        <v>0</v>
      </c>
      <c r="V14" s="624">
        <v>43020</v>
      </c>
      <c r="W14" s="623">
        <f t="shared" si="6"/>
        <v>0</v>
      </c>
      <c r="X14" s="623">
        <f t="shared" si="6"/>
        <v>0</v>
      </c>
      <c r="Y14" s="623">
        <f t="shared" si="6"/>
        <v>0</v>
      </c>
      <c r="Z14" s="623">
        <f t="shared" si="6"/>
        <v>0</v>
      </c>
      <c r="AA14" s="628">
        <f t="shared" si="6"/>
        <v>75</v>
      </c>
      <c r="AB14" s="623">
        <f t="shared" si="6"/>
        <v>0</v>
      </c>
      <c r="AC14" s="623">
        <f t="shared" si="6"/>
        <v>0</v>
      </c>
      <c r="AD14" s="623">
        <f t="shared" si="6"/>
        <v>0</v>
      </c>
      <c r="AE14" s="623">
        <f t="shared" si="6"/>
        <v>0</v>
      </c>
      <c r="AF14" s="623">
        <f t="shared" si="6"/>
        <v>0</v>
      </c>
      <c r="AG14" s="623">
        <f t="shared" si="6"/>
        <v>0</v>
      </c>
      <c r="AH14" s="623">
        <f t="shared" si="6"/>
        <v>0</v>
      </c>
      <c r="AI14" s="623">
        <f t="shared" si="6"/>
        <v>0</v>
      </c>
      <c r="AJ14" s="623">
        <f t="shared" si="6"/>
        <v>0</v>
      </c>
      <c r="AK14" s="623">
        <f t="shared" si="6"/>
        <v>0</v>
      </c>
      <c r="AL14" s="623">
        <f t="shared" si="6"/>
        <v>0</v>
      </c>
      <c r="AM14" s="623">
        <f t="shared" si="6"/>
        <v>0</v>
      </c>
      <c r="AN14" s="623">
        <f t="shared" si="6"/>
        <v>0</v>
      </c>
      <c r="AO14" s="623">
        <f t="shared" si="6"/>
        <v>0</v>
      </c>
      <c r="AP14" s="629">
        <f t="shared" si="6"/>
        <v>0</v>
      </c>
      <c r="AQ14" s="1"/>
      <c r="AR14" s="1"/>
      <c r="AS14" s="1"/>
      <c r="AT14" s="1"/>
      <c r="AU14" s="1"/>
      <c r="AV14" s="1"/>
    </row>
    <row r="15" spans="1:52" ht="45.75" customHeight="1" thickBot="1">
      <c r="A15" s="540">
        <v>3</v>
      </c>
      <c r="B15" s="961" t="s">
        <v>200</v>
      </c>
      <c r="C15" s="859">
        <v>3</v>
      </c>
      <c r="D15" s="215" t="s">
        <v>204</v>
      </c>
      <c r="E15" s="39">
        <v>1</v>
      </c>
      <c r="F15" s="212" t="s">
        <v>201</v>
      </c>
      <c r="G15" s="52" t="s">
        <v>763</v>
      </c>
      <c r="H15" s="175" t="s">
        <v>136</v>
      </c>
      <c r="I15" s="52"/>
      <c r="J15" s="9" t="s">
        <v>203</v>
      </c>
      <c r="K15" s="52"/>
      <c r="L15" s="9" t="s">
        <v>203</v>
      </c>
      <c r="M15" s="52"/>
      <c r="N15" s="55">
        <v>4153866</v>
      </c>
      <c r="O15" s="55">
        <v>1817440</v>
      </c>
      <c r="P15" s="55">
        <v>172600</v>
      </c>
      <c r="Q15" s="56">
        <f>N15+O15+P15</f>
        <v>6143906</v>
      </c>
      <c r="R15" s="57"/>
      <c r="S15" s="57"/>
      <c r="T15" s="57"/>
      <c r="U15" s="57"/>
      <c r="V15" s="865">
        <v>11684</v>
      </c>
      <c r="W15" s="865">
        <v>11684</v>
      </c>
      <c r="X15" s="964">
        <v>1</v>
      </c>
      <c r="Y15" s="52"/>
      <c r="Z15" s="52"/>
      <c r="AA15" s="52"/>
      <c r="AB15" s="52"/>
      <c r="AC15" s="52"/>
      <c r="AD15" s="52"/>
      <c r="AE15" s="52"/>
      <c r="AF15" s="52"/>
      <c r="AG15" s="58"/>
      <c r="AH15" s="58"/>
      <c r="AI15" s="58"/>
      <c r="AJ15" s="58"/>
      <c r="AK15" s="59">
        <f>R15*Y15</f>
        <v>0</v>
      </c>
      <c r="AL15" s="59">
        <f t="shared" ref="AL15:AN18" si="7">S15*Z15</f>
        <v>0</v>
      </c>
      <c r="AM15" s="59">
        <f t="shared" si="7"/>
        <v>0</v>
      </c>
      <c r="AN15" s="59">
        <f t="shared" si="7"/>
        <v>0</v>
      </c>
      <c r="AO15" s="13">
        <f>AK15+AL15+AM15+AN15</f>
        <v>0</v>
      </c>
      <c r="AP15" s="60">
        <f>AO15-Q15</f>
        <v>-6143906</v>
      </c>
    </row>
    <row r="16" spans="1:52" ht="45.75" customHeight="1" thickBot="1">
      <c r="A16" s="540"/>
      <c r="B16" s="962"/>
      <c r="C16" s="866"/>
      <c r="D16" s="7" t="s">
        <v>204</v>
      </c>
      <c r="E16" s="39">
        <v>1</v>
      </c>
      <c r="F16" s="212" t="s">
        <v>201</v>
      </c>
      <c r="G16" s="52" t="s">
        <v>763</v>
      </c>
      <c r="H16" s="175" t="s">
        <v>136</v>
      </c>
      <c r="I16" s="52"/>
      <c r="J16" s="9" t="s">
        <v>203</v>
      </c>
      <c r="K16" s="52"/>
      <c r="L16" s="9" t="s">
        <v>203</v>
      </c>
      <c r="M16" s="52"/>
      <c r="N16" s="55">
        <v>3954354</v>
      </c>
      <c r="O16" s="55">
        <v>1655268</v>
      </c>
      <c r="P16" s="55">
        <v>44600</v>
      </c>
      <c r="Q16" s="56">
        <f t="shared" ref="Q16" si="8">N16+O16+P16</f>
        <v>5654222</v>
      </c>
      <c r="R16" s="57"/>
      <c r="S16" s="57"/>
      <c r="T16" s="57"/>
      <c r="U16" s="57"/>
      <c r="V16" s="866"/>
      <c r="W16" s="866"/>
      <c r="X16" s="965"/>
      <c r="Y16" s="52"/>
      <c r="Z16" s="52"/>
      <c r="AA16" s="52"/>
      <c r="AB16" s="52"/>
      <c r="AC16" s="52"/>
      <c r="AD16" s="52"/>
      <c r="AE16" s="52"/>
      <c r="AF16" s="52"/>
      <c r="AG16" s="58"/>
      <c r="AH16" s="58"/>
      <c r="AI16" s="58"/>
      <c r="AJ16" s="58"/>
      <c r="AK16" s="59">
        <f t="shared" ref="AK16:AK18" si="9">R16*Y16</f>
        <v>0</v>
      </c>
      <c r="AL16" s="59">
        <f t="shared" si="7"/>
        <v>0</v>
      </c>
      <c r="AM16" s="59">
        <f t="shared" si="7"/>
        <v>0</v>
      </c>
      <c r="AN16" s="59">
        <f t="shared" si="7"/>
        <v>0</v>
      </c>
      <c r="AO16" s="13">
        <f t="shared" ref="AO16:AO18" si="10">AK16+AL16+AM16+AN16</f>
        <v>0</v>
      </c>
      <c r="AP16" s="60">
        <f t="shared" ref="AP16:AP18" si="11">AO16-Q16</f>
        <v>-5654222</v>
      </c>
    </row>
    <row r="17" spans="1:42" ht="45.75" customHeight="1" thickBot="1">
      <c r="A17" s="542"/>
      <c r="B17" s="962"/>
      <c r="C17" s="866"/>
      <c r="D17" s="215" t="s">
        <v>204</v>
      </c>
      <c r="E17" s="65">
        <v>1</v>
      </c>
      <c r="F17" s="212" t="s">
        <v>201</v>
      </c>
      <c r="G17" s="52" t="s">
        <v>763</v>
      </c>
      <c r="H17" s="175" t="s">
        <v>136</v>
      </c>
      <c r="I17" s="112"/>
      <c r="J17" s="9" t="s">
        <v>203</v>
      </c>
      <c r="K17" s="112"/>
      <c r="L17" s="9" t="s">
        <v>203</v>
      </c>
      <c r="M17" s="112"/>
      <c r="N17" s="113">
        <v>0</v>
      </c>
      <c r="O17" s="113">
        <v>0</v>
      </c>
      <c r="P17" s="113">
        <v>0</v>
      </c>
      <c r="Q17" s="630">
        <v>0</v>
      </c>
      <c r="R17" s="114"/>
      <c r="S17" s="114"/>
      <c r="T17" s="114"/>
      <c r="U17" s="114"/>
      <c r="V17" s="866"/>
      <c r="W17" s="866"/>
      <c r="X17" s="965"/>
      <c r="Y17" s="112"/>
      <c r="Z17" s="112"/>
      <c r="AA17" s="112"/>
      <c r="AB17" s="112"/>
      <c r="AC17" s="112"/>
      <c r="AD17" s="112"/>
      <c r="AE17" s="112"/>
      <c r="AF17" s="112"/>
      <c r="AG17" s="115"/>
      <c r="AH17" s="115"/>
      <c r="AI17" s="115"/>
      <c r="AJ17" s="115"/>
      <c r="AK17" s="135"/>
      <c r="AL17" s="135"/>
      <c r="AM17" s="135"/>
      <c r="AN17" s="135"/>
      <c r="AO17" s="72"/>
      <c r="AP17" s="342"/>
    </row>
    <row r="18" spans="1:42" ht="45.75" customHeight="1" thickBot="1">
      <c r="A18" s="542"/>
      <c r="B18" s="963"/>
      <c r="C18" s="955"/>
      <c r="D18" s="7" t="s">
        <v>202</v>
      </c>
      <c r="E18" s="65">
        <v>1</v>
      </c>
      <c r="F18" s="212" t="s">
        <v>201</v>
      </c>
      <c r="G18" s="52" t="s">
        <v>764</v>
      </c>
      <c r="H18" s="175" t="s">
        <v>136</v>
      </c>
      <c r="I18" s="112"/>
      <c r="J18" s="9" t="s">
        <v>203</v>
      </c>
      <c r="K18" s="112"/>
      <c r="L18" s="9" t="s">
        <v>203</v>
      </c>
      <c r="M18" s="112"/>
      <c r="N18" s="113">
        <v>1968242</v>
      </c>
      <c r="O18" s="113">
        <v>365506</v>
      </c>
      <c r="P18" s="113">
        <v>72500</v>
      </c>
      <c r="Q18" s="630">
        <f>N18+O18+P18</f>
        <v>2406248</v>
      </c>
      <c r="R18" s="114"/>
      <c r="S18" s="114"/>
      <c r="T18" s="114"/>
      <c r="U18" s="114"/>
      <c r="V18" s="955"/>
      <c r="W18" s="955"/>
      <c r="X18" s="966"/>
      <c r="Y18" s="112"/>
      <c r="Z18" s="112">
        <v>20</v>
      </c>
      <c r="AA18" s="112">
        <v>8</v>
      </c>
      <c r="AB18" s="112">
        <v>13</v>
      </c>
      <c r="AC18" s="112"/>
      <c r="AD18" s="112"/>
      <c r="AE18" s="112"/>
      <c r="AF18" s="112"/>
      <c r="AG18" s="115"/>
      <c r="AH18" s="115"/>
      <c r="AI18" s="115"/>
      <c r="AJ18" s="115"/>
      <c r="AK18" s="135">
        <f t="shared" si="9"/>
        <v>0</v>
      </c>
      <c r="AL18" s="135">
        <f t="shared" si="7"/>
        <v>0</v>
      </c>
      <c r="AM18" s="135">
        <f t="shared" si="7"/>
        <v>0</v>
      </c>
      <c r="AN18" s="135">
        <f t="shared" si="7"/>
        <v>0</v>
      </c>
      <c r="AO18" s="72">
        <f t="shared" si="10"/>
        <v>0</v>
      </c>
      <c r="AP18" s="342">
        <f t="shared" si="11"/>
        <v>-2406248</v>
      </c>
    </row>
    <row r="19" spans="1:42" ht="15" thickBot="1">
      <c r="A19" s="136"/>
      <c r="B19" s="137" t="s">
        <v>115</v>
      </c>
      <c r="C19" s="137">
        <f>SUM(C15:C18)</f>
        <v>3</v>
      </c>
      <c r="D19" s="137"/>
      <c r="E19" s="137">
        <f t="shared" ref="E19:AP19" si="12">SUM(E15:E18)</f>
        <v>4</v>
      </c>
      <c r="F19" s="137"/>
      <c r="G19" s="137"/>
      <c r="H19" s="137"/>
      <c r="I19" s="137"/>
      <c r="J19" s="137"/>
      <c r="K19" s="137"/>
      <c r="L19" s="137"/>
      <c r="M19" s="139"/>
      <c r="N19" s="140">
        <f t="shared" si="12"/>
        <v>10076462</v>
      </c>
      <c r="O19" s="141">
        <f>SUM(O15:O18)</f>
        <v>3838214</v>
      </c>
      <c r="P19" s="137">
        <f t="shared" si="12"/>
        <v>289700</v>
      </c>
      <c r="Q19" s="137">
        <f t="shared" si="12"/>
        <v>14204376</v>
      </c>
      <c r="R19" s="137">
        <f t="shared" si="12"/>
        <v>0</v>
      </c>
      <c r="S19" s="137">
        <f t="shared" si="12"/>
        <v>0</v>
      </c>
      <c r="T19" s="137">
        <f t="shared" si="12"/>
        <v>0</v>
      </c>
      <c r="U19" s="137">
        <f t="shared" si="12"/>
        <v>0</v>
      </c>
      <c r="V19" s="137">
        <f t="shared" si="12"/>
        <v>11684</v>
      </c>
      <c r="W19" s="137">
        <f t="shared" si="12"/>
        <v>11684</v>
      </c>
      <c r="X19" s="137">
        <f t="shared" si="12"/>
        <v>1</v>
      </c>
      <c r="Y19" s="137">
        <f t="shared" si="12"/>
        <v>0</v>
      </c>
      <c r="Z19" s="137">
        <f t="shared" si="12"/>
        <v>20</v>
      </c>
      <c r="AA19" s="137">
        <f t="shared" si="12"/>
        <v>8</v>
      </c>
      <c r="AB19" s="137">
        <f t="shared" si="12"/>
        <v>13</v>
      </c>
      <c r="AC19" s="137">
        <f t="shared" si="12"/>
        <v>0</v>
      </c>
      <c r="AD19" s="137">
        <f t="shared" si="12"/>
        <v>0</v>
      </c>
      <c r="AE19" s="137">
        <f t="shared" si="12"/>
        <v>0</v>
      </c>
      <c r="AF19" s="137">
        <f t="shared" si="12"/>
        <v>0</v>
      </c>
      <c r="AG19" s="137">
        <f t="shared" si="12"/>
        <v>0</v>
      </c>
      <c r="AH19" s="137">
        <f t="shared" si="12"/>
        <v>0</v>
      </c>
      <c r="AI19" s="137">
        <f t="shared" si="12"/>
        <v>0</v>
      </c>
      <c r="AJ19" s="137">
        <f t="shared" si="12"/>
        <v>0</v>
      </c>
      <c r="AK19" s="137">
        <f t="shared" si="12"/>
        <v>0</v>
      </c>
      <c r="AL19" s="137">
        <f t="shared" si="12"/>
        <v>0</v>
      </c>
      <c r="AM19" s="137">
        <f t="shared" si="12"/>
        <v>0</v>
      </c>
      <c r="AN19" s="137">
        <f t="shared" si="12"/>
        <v>0</v>
      </c>
      <c r="AO19" s="137">
        <f t="shared" si="12"/>
        <v>0</v>
      </c>
      <c r="AP19" s="211">
        <f t="shared" si="12"/>
        <v>-14204376</v>
      </c>
    </row>
    <row r="20" spans="1:42" ht="142.5">
      <c r="A20" s="540">
        <v>4</v>
      </c>
      <c r="B20" s="967" t="s">
        <v>188</v>
      </c>
      <c r="C20" s="967">
        <v>6</v>
      </c>
      <c r="D20" s="202" t="s">
        <v>189</v>
      </c>
      <c r="E20" s="149">
        <v>1</v>
      </c>
      <c r="F20" s="203">
        <v>45188</v>
      </c>
      <c r="G20" s="204" t="s">
        <v>190</v>
      </c>
      <c r="H20" s="205" t="s">
        <v>127</v>
      </c>
      <c r="I20" s="206" t="s">
        <v>191</v>
      </c>
      <c r="J20" s="207" t="s">
        <v>192</v>
      </c>
      <c r="K20" s="204" t="s">
        <v>193</v>
      </c>
      <c r="L20" s="204" t="s">
        <v>193</v>
      </c>
      <c r="M20" s="48" t="s">
        <v>194</v>
      </c>
      <c r="N20" s="149">
        <v>1046200</v>
      </c>
      <c r="O20" s="149">
        <v>422500</v>
      </c>
      <c r="P20" s="149">
        <v>0</v>
      </c>
      <c r="Q20" s="149">
        <v>1468700</v>
      </c>
      <c r="R20" s="208" t="s">
        <v>909</v>
      </c>
      <c r="S20" s="208" t="s">
        <v>909</v>
      </c>
      <c r="T20" s="208" t="s">
        <v>909</v>
      </c>
      <c r="U20" s="149" t="s">
        <v>193</v>
      </c>
      <c r="V20" s="862">
        <v>13933</v>
      </c>
      <c r="W20" s="149">
        <v>6500</v>
      </c>
      <c r="X20" s="149"/>
      <c r="Y20" s="149"/>
      <c r="Z20" s="149"/>
      <c r="AA20" s="149">
        <v>350</v>
      </c>
      <c r="AB20" s="149">
        <v>180</v>
      </c>
      <c r="AC20" s="149"/>
      <c r="AD20" s="149"/>
      <c r="AE20" s="149">
        <v>350</v>
      </c>
      <c r="AF20" s="149">
        <v>180</v>
      </c>
      <c r="AG20" s="149"/>
      <c r="AH20" s="149"/>
      <c r="AI20" s="149"/>
      <c r="AJ20" s="149"/>
      <c r="AK20" s="149"/>
      <c r="AL20" s="149"/>
      <c r="AM20" s="149"/>
      <c r="AN20" s="149"/>
      <c r="AO20" s="48"/>
      <c r="AP20" s="48"/>
    </row>
    <row r="21" spans="1:42" ht="142.5">
      <c r="A21" s="540"/>
      <c r="B21" s="968"/>
      <c r="C21" s="968"/>
      <c r="D21" s="202" t="s">
        <v>195</v>
      </c>
      <c r="E21" s="149">
        <v>1</v>
      </c>
      <c r="F21" s="203">
        <v>45169</v>
      </c>
      <c r="G21" s="204" t="s">
        <v>196</v>
      </c>
      <c r="H21" s="205" t="s">
        <v>127</v>
      </c>
      <c r="I21" s="209" t="s">
        <v>191</v>
      </c>
      <c r="J21" s="207" t="s">
        <v>197</v>
      </c>
      <c r="K21" s="204" t="s">
        <v>193</v>
      </c>
      <c r="L21" s="204" t="s">
        <v>193</v>
      </c>
      <c r="M21" s="48" t="s">
        <v>194</v>
      </c>
      <c r="N21" s="149">
        <v>1046200</v>
      </c>
      <c r="O21" s="149">
        <v>845000</v>
      </c>
      <c r="P21" s="149">
        <v>197550</v>
      </c>
      <c r="Q21" s="149">
        <v>2088750</v>
      </c>
      <c r="R21" s="208" t="s">
        <v>909</v>
      </c>
      <c r="S21" s="208" t="s">
        <v>909</v>
      </c>
      <c r="T21" s="208" t="s">
        <v>909</v>
      </c>
      <c r="U21" s="149" t="s">
        <v>193</v>
      </c>
      <c r="V21" s="864"/>
      <c r="W21" s="149">
        <v>6500</v>
      </c>
      <c r="X21" s="149"/>
      <c r="Y21" s="149"/>
      <c r="Z21" s="149">
        <v>90</v>
      </c>
      <c r="AA21" s="149"/>
      <c r="AB21" s="149">
        <v>105</v>
      </c>
      <c r="AC21" s="149"/>
      <c r="AD21" s="149">
        <v>90</v>
      </c>
      <c r="AE21" s="149"/>
      <c r="AF21" s="149">
        <v>105</v>
      </c>
      <c r="AG21" s="149"/>
      <c r="AH21" s="149"/>
      <c r="AI21" s="149"/>
      <c r="AJ21" s="149"/>
      <c r="AK21" s="149"/>
      <c r="AL21" s="149"/>
      <c r="AM21" s="149"/>
      <c r="AN21" s="149"/>
      <c r="AO21" s="48"/>
      <c r="AP21" s="48"/>
    </row>
    <row r="22" spans="1:42" ht="143.25" thickBot="1">
      <c r="A22" s="542"/>
      <c r="B22" s="857"/>
      <c r="C22" s="857"/>
      <c r="D22" s="202" t="s">
        <v>198</v>
      </c>
      <c r="E22" s="149">
        <v>1</v>
      </c>
      <c r="F22" s="203">
        <v>45366</v>
      </c>
      <c r="G22" s="204" t="s">
        <v>199</v>
      </c>
      <c r="H22" s="205" t="s">
        <v>127</v>
      </c>
      <c r="I22" s="209" t="s">
        <v>191</v>
      </c>
      <c r="J22" s="207" t="s">
        <v>197</v>
      </c>
      <c r="K22" s="149" t="s">
        <v>193</v>
      </c>
      <c r="L22" s="149" t="s">
        <v>193</v>
      </c>
      <c r="M22" s="48" t="s">
        <v>194</v>
      </c>
      <c r="N22" s="149">
        <v>0</v>
      </c>
      <c r="O22" s="149">
        <v>646800</v>
      </c>
      <c r="P22" s="149">
        <v>60000</v>
      </c>
      <c r="Q22" s="149">
        <v>706800</v>
      </c>
      <c r="R22" s="208" t="s">
        <v>909</v>
      </c>
      <c r="S22" s="208" t="s">
        <v>909</v>
      </c>
      <c r="T22" s="208" t="s">
        <v>909</v>
      </c>
      <c r="U22" s="149" t="s">
        <v>193</v>
      </c>
      <c r="V22" s="860"/>
      <c r="W22" s="149">
        <v>933</v>
      </c>
      <c r="X22" s="149"/>
      <c r="Y22" s="149">
        <v>0</v>
      </c>
      <c r="Z22" s="149">
        <v>0</v>
      </c>
      <c r="AA22" s="149">
        <v>0</v>
      </c>
      <c r="AB22" s="149">
        <v>635</v>
      </c>
      <c r="AC22" s="149">
        <v>0</v>
      </c>
      <c r="AD22" s="149">
        <v>0</v>
      </c>
      <c r="AE22" s="149">
        <v>0</v>
      </c>
      <c r="AF22" s="149">
        <v>635</v>
      </c>
      <c r="AG22" s="149">
        <v>0</v>
      </c>
      <c r="AH22" s="149">
        <v>0</v>
      </c>
      <c r="AI22" s="149">
        <v>0</v>
      </c>
      <c r="AJ22" s="149">
        <v>0</v>
      </c>
      <c r="AK22" s="149">
        <v>0</v>
      </c>
      <c r="AL22" s="149">
        <v>0</v>
      </c>
      <c r="AM22" s="149">
        <v>0</v>
      </c>
      <c r="AN22" s="149">
        <v>0</v>
      </c>
      <c r="AO22" s="48">
        <v>0</v>
      </c>
      <c r="AP22" s="48">
        <v>0</v>
      </c>
    </row>
    <row r="23" spans="1:42" ht="15" thickBot="1">
      <c r="A23" s="136"/>
      <c r="B23" s="137" t="s">
        <v>115</v>
      </c>
      <c r="C23" s="137">
        <f>SUM(C20:C22)</f>
        <v>6</v>
      </c>
      <c r="D23" s="137"/>
      <c r="E23" s="137">
        <f t="shared" ref="E23:AP23" si="13">SUM(E20:E22)</f>
        <v>3</v>
      </c>
      <c r="F23" s="137"/>
      <c r="G23" s="137"/>
      <c r="H23" s="137"/>
      <c r="I23" s="137"/>
      <c r="J23" s="137"/>
      <c r="K23" s="137"/>
      <c r="L23" s="137"/>
      <c r="M23" s="139"/>
      <c r="N23" s="140">
        <f t="shared" si="13"/>
        <v>2092400</v>
      </c>
      <c r="O23" s="141">
        <f t="shared" si="13"/>
        <v>1914300</v>
      </c>
      <c r="P23" s="137">
        <f t="shared" si="13"/>
        <v>257550</v>
      </c>
      <c r="Q23" s="137">
        <f t="shared" si="13"/>
        <v>4264250</v>
      </c>
      <c r="R23" s="137">
        <f t="shared" si="13"/>
        <v>0</v>
      </c>
      <c r="S23" s="137">
        <f t="shared" si="13"/>
        <v>0</v>
      </c>
      <c r="T23" s="137">
        <f t="shared" si="13"/>
        <v>0</v>
      </c>
      <c r="U23" s="137">
        <f t="shared" si="13"/>
        <v>0</v>
      </c>
      <c r="V23" s="137">
        <f t="shared" si="13"/>
        <v>13933</v>
      </c>
      <c r="W23" s="137">
        <f t="shared" si="13"/>
        <v>13933</v>
      </c>
      <c r="X23" s="137">
        <f t="shared" si="13"/>
        <v>0</v>
      </c>
      <c r="Y23" s="137">
        <f t="shared" si="13"/>
        <v>0</v>
      </c>
      <c r="Z23" s="137">
        <f t="shared" si="13"/>
        <v>90</v>
      </c>
      <c r="AA23" s="137">
        <f t="shared" si="13"/>
        <v>350</v>
      </c>
      <c r="AB23" s="137">
        <f t="shared" si="13"/>
        <v>920</v>
      </c>
      <c r="AC23" s="137">
        <f t="shared" si="13"/>
        <v>0</v>
      </c>
      <c r="AD23" s="137">
        <f t="shared" si="13"/>
        <v>90</v>
      </c>
      <c r="AE23" s="137">
        <f t="shared" si="13"/>
        <v>350</v>
      </c>
      <c r="AF23" s="137">
        <f t="shared" si="13"/>
        <v>920</v>
      </c>
      <c r="AG23" s="137">
        <f t="shared" si="13"/>
        <v>0</v>
      </c>
      <c r="AH23" s="137">
        <f t="shared" si="13"/>
        <v>0</v>
      </c>
      <c r="AI23" s="137">
        <f t="shared" si="13"/>
        <v>0</v>
      </c>
      <c r="AJ23" s="137">
        <f t="shared" si="13"/>
        <v>0</v>
      </c>
      <c r="AK23" s="137">
        <f t="shared" si="13"/>
        <v>0</v>
      </c>
      <c r="AL23" s="137">
        <f t="shared" si="13"/>
        <v>0</v>
      </c>
      <c r="AM23" s="137">
        <f t="shared" si="13"/>
        <v>0</v>
      </c>
      <c r="AN23" s="137">
        <f t="shared" si="13"/>
        <v>0</v>
      </c>
      <c r="AO23" s="137">
        <f t="shared" si="13"/>
        <v>0</v>
      </c>
      <c r="AP23" s="211">
        <f t="shared" si="13"/>
        <v>0</v>
      </c>
    </row>
    <row r="24" spans="1:42" ht="57.75" thickBot="1">
      <c r="A24" s="171">
        <v>5</v>
      </c>
      <c r="B24" s="1149" t="s">
        <v>161</v>
      </c>
      <c r="C24" s="865">
        <v>8</v>
      </c>
      <c r="D24" s="174" t="s">
        <v>162</v>
      </c>
      <c r="E24" s="173">
        <v>1</v>
      </c>
      <c r="F24" s="200" t="s">
        <v>163</v>
      </c>
      <c r="G24" s="173" t="s">
        <v>164</v>
      </c>
      <c r="H24" s="175" t="s">
        <v>127</v>
      </c>
      <c r="I24" s="173" t="s">
        <v>165</v>
      </c>
      <c r="J24" s="173" t="s">
        <v>165</v>
      </c>
      <c r="K24" s="173"/>
      <c r="L24" s="173"/>
      <c r="M24" s="173"/>
      <c r="N24" s="176">
        <v>1500000</v>
      </c>
      <c r="O24" s="176">
        <v>1545485</v>
      </c>
      <c r="P24" s="176"/>
      <c r="Q24" s="177">
        <v>3045485</v>
      </c>
      <c r="R24" s="178"/>
      <c r="S24" s="178"/>
      <c r="T24" s="178"/>
      <c r="U24" s="178"/>
      <c r="V24" s="173">
        <v>10364</v>
      </c>
      <c r="W24" s="173"/>
      <c r="X24" s="173"/>
      <c r="Y24" s="173"/>
      <c r="Z24" s="173">
        <v>4500</v>
      </c>
      <c r="AA24" s="173">
        <v>22500</v>
      </c>
      <c r="AB24" s="173"/>
      <c r="AC24" s="173"/>
      <c r="AD24" s="173"/>
      <c r="AE24" s="173"/>
      <c r="AF24" s="173"/>
      <c r="AG24" s="179"/>
      <c r="AH24" s="179"/>
      <c r="AI24" s="179"/>
      <c r="AJ24" s="179"/>
      <c r="AK24" s="180">
        <v>0</v>
      </c>
      <c r="AL24" s="180">
        <v>0</v>
      </c>
      <c r="AM24" s="180">
        <v>0</v>
      </c>
      <c r="AN24" s="180">
        <v>0</v>
      </c>
      <c r="AO24" s="181">
        <v>0</v>
      </c>
      <c r="AP24" s="182">
        <v>-344650</v>
      </c>
    </row>
    <row r="25" spans="1:42" ht="29.25" thickBot="1">
      <c r="A25" s="183"/>
      <c r="B25" s="1150"/>
      <c r="C25" s="866"/>
      <c r="D25" s="185" t="s">
        <v>166</v>
      </c>
      <c r="E25" s="184">
        <v>1</v>
      </c>
      <c r="F25" s="184" t="s">
        <v>167</v>
      </c>
      <c r="G25" s="184" t="s">
        <v>168</v>
      </c>
      <c r="H25" s="186" t="s">
        <v>127</v>
      </c>
      <c r="I25" s="184" t="s">
        <v>165</v>
      </c>
      <c r="J25" s="184" t="s">
        <v>165</v>
      </c>
      <c r="K25" s="184"/>
      <c r="L25" s="184"/>
      <c r="M25" s="184"/>
      <c r="N25" s="187">
        <v>900000</v>
      </c>
      <c r="O25" s="187">
        <v>1328500</v>
      </c>
      <c r="P25" s="187"/>
      <c r="Q25" s="188">
        <v>2228500</v>
      </c>
      <c r="R25" s="189"/>
      <c r="S25" s="189"/>
      <c r="T25" s="189"/>
      <c r="U25" s="189"/>
      <c r="V25" s="184"/>
      <c r="W25" s="184"/>
      <c r="X25" s="184"/>
      <c r="Y25" s="184"/>
      <c r="Z25" s="184"/>
      <c r="AA25" s="184">
        <v>2500</v>
      </c>
      <c r="AB25" s="184"/>
      <c r="AC25" s="184"/>
      <c r="AD25" s="184"/>
      <c r="AE25" s="184"/>
      <c r="AF25" s="184"/>
      <c r="AG25" s="190"/>
      <c r="AH25" s="190"/>
      <c r="AI25" s="190"/>
      <c r="AJ25" s="190"/>
      <c r="AK25" s="191">
        <v>0</v>
      </c>
      <c r="AL25" s="191">
        <v>0</v>
      </c>
      <c r="AM25" s="191">
        <v>0</v>
      </c>
      <c r="AN25" s="191">
        <v>0</v>
      </c>
      <c r="AO25" s="192">
        <v>0</v>
      </c>
      <c r="AP25" s="193">
        <v>-2228500</v>
      </c>
    </row>
    <row r="26" spans="1:42" ht="15.75" customHeight="1" thickBot="1">
      <c r="A26" s="171"/>
      <c r="B26" s="1150"/>
      <c r="C26" s="866"/>
      <c r="D26" s="174" t="s">
        <v>169</v>
      </c>
      <c r="E26" s="173">
        <v>1</v>
      </c>
      <c r="F26" s="173" t="s">
        <v>170</v>
      </c>
      <c r="G26" s="173" t="s">
        <v>171</v>
      </c>
      <c r="H26" s="175" t="s">
        <v>127</v>
      </c>
      <c r="I26" s="173" t="s">
        <v>165</v>
      </c>
      <c r="J26" s="173" t="s">
        <v>165</v>
      </c>
      <c r="K26" s="173"/>
      <c r="L26" s="173"/>
      <c r="M26" s="173"/>
      <c r="N26" s="176"/>
      <c r="O26" s="176">
        <v>891500</v>
      </c>
      <c r="P26" s="176"/>
      <c r="Q26" s="177">
        <v>891500</v>
      </c>
      <c r="R26" s="178"/>
      <c r="S26" s="178"/>
      <c r="T26" s="178"/>
      <c r="U26" s="178"/>
      <c r="V26" s="173"/>
      <c r="W26" s="173"/>
      <c r="X26" s="173"/>
      <c r="Y26" s="173"/>
      <c r="Z26" s="173"/>
      <c r="AA26" s="173">
        <v>1420</v>
      </c>
      <c r="AB26" s="173"/>
      <c r="AC26" s="173"/>
      <c r="AD26" s="173"/>
      <c r="AE26" s="173"/>
      <c r="AF26" s="173"/>
      <c r="AG26" s="179"/>
      <c r="AH26" s="179"/>
      <c r="AI26" s="179"/>
      <c r="AJ26" s="179"/>
      <c r="AK26" s="180">
        <v>0</v>
      </c>
      <c r="AL26" s="180">
        <v>0</v>
      </c>
      <c r="AM26" s="180">
        <v>0</v>
      </c>
      <c r="AN26" s="180">
        <v>0</v>
      </c>
      <c r="AO26" s="181">
        <v>0</v>
      </c>
      <c r="AP26" s="182">
        <v>-891500</v>
      </c>
    </row>
    <row r="27" spans="1:42" ht="100.5" thickBot="1">
      <c r="A27" s="171"/>
      <c r="B27" s="1150"/>
      <c r="C27" s="866"/>
      <c r="D27" s="174" t="s">
        <v>172</v>
      </c>
      <c r="E27" s="173">
        <v>1</v>
      </c>
      <c r="F27" s="173" t="s">
        <v>173</v>
      </c>
      <c r="G27" s="173" t="s">
        <v>174</v>
      </c>
      <c r="H27" s="175" t="s">
        <v>127</v>
      </c>
      <c r="I27" s="173" t="s">
        <v>165</v>
      </c>
      <c r="J27" s="173" t="s">
        <v>165</v>
      </c>
      <c r="K27" s="173"/>
      <c r="L27" s="173"/>
      <c r="M27" s="173"/>
      <c r="N27" s="176">
        <v>850000</v>
      </c>
      <c r="O27" s="176">
        <v>1064000</v>
      </c>
      <c r="P27" s="176"/>
      <c r="Q27" s="177">
        <v>1914000</v>
      </c>
      <c r="R27" s="178"/>
      <c r="S27" s="178"/>
      <c r="T27" s="178"/>
      <c r="U27" s="178"/>
      <c r="V27" s="173"/>
      <c r="W27" s="173"/>
      <c r="X27" s="173"/>
      <c r="Y27" s="173"/>
      <c r="Z27" s="173"/>
      <c r="AA27" s="173">
        <v>15</v>
      </c>
      <c r="AB27" s="173"/>
      <c r="AC27" s="173"/>
      <c r="AD27" s="173"/>
      <c r="AE27" s="173"/>
      <c r="AF27" s="173"/>
      <c r="AG27" s="179"/>
      <c r="AH27" s="179"/>
      <c r="AI27" s="179"/>
      <c r="AJ27" s="179"/>
      <c r="AK27" s="180">
        <v>0</v>
      </c>
      <c r="AL27" s="180">
        <v>0</v>
      </c>
      <c r="AM27" s="180">
        <v>0</v>
      </c>
      <c r="AN27" s="180">
        <v>0</v>
      </c>
      <c r="AO27" s="181">
        <v>0</v>
      </c>
      <c r="AP27" s="182">
        <v>-1914000</v>
      </c>
    </row>
    <row r="28" spans="1:42" ht="43.5" thickBot="1">
      <c r="A28" s="171"/>
      <c r="B28" s="1150"/>
      <c r="C28" s="866"/>
      <c r="D28" s="174" t="s">
        <v>175</v>
      </c>
      <c r="E28" s="173">
        <v>1</v>
      </c>
      <c r="F28" s="173" t="s">
        <v>176</v>
      </c>
      <c r="G28" s="173" t="s">
        <v>177</v>
      </c>
      <c r="H28" s="175" t="s">
        <v>127</v>
      </c>
      <c r="I28" s="173" t="s">
        <v>165</v>
      </c>
      <c r="J28" s="173" t="s">
        <v>165</v>
      </c>
      <c r="K28" s="173"/>
      <c r="L28" s="173"/>
      <c r="M28" s="173"/>
      <c r="N28" s="176">
        <v>300000</v>
      </c>
      <c r="O28" s="176">
        <v>1840500</v>
      </c>
      <c r="P28" s="176"/>
      <c r="Q28" s="177">
        <v>2140500</v>
      </c>
      <c r="R28" s="178"/>
      <c r="S28" s="178"/>
      <c r="T28" s="178"/>
      <c r="U28" s="178"/>
      <c r="V28" s="173"/>
      <c r="W28" s="173"/>
      <c r="X28" s="173"/>
      <c r="Y28" s="173"/>
      <c r="Z28" s="173"/>
      <c r="AA28" s="173">
        <v>5400</v>
      </c>
      <c r="AB28" s="173"/>
      <c r="AC28" s="173"/>
      <c r="AD28" s="173"/>
      <c r="AE28" s="173"/>
      <c r="AF28" s="173"/>
      <c r="AG28" s="179"/>
      <c r="AH28" s="179"/>
      <c r="AI28" s="179"/>
      <c r="AJ28" s="179"/>
      <c r="AK28" s="180">
        <v>0</v>
      </c>
      <c r="AL28" s="180">
        <v>0</v>
      </c>
      <c r="AM28" s="180">
        <v>0</v>
      </c>
      <c r="AN28" s="180">
        <v>0</v>
      </c>
      <c r="AO28" s="181">
        <v>0</v>
      </c>
      <c r="AP28" s="182">
        <v>-2140500</v>
      </c>
    </row>
    <row r="29" spans="1:42" ht="15.75" customHeight="1" thickBot="1">
      <c r="A29" s="171"/>
      <c r="B29" s="1150"/>
      <c r="C29" s="866"/>
      <c r="D29" s="174" t="s">
        <v>178</v>
      </c>
      <c r="E29" s="173">
        <v>1</v>
      </c>
      <c r="F29" s="173" t="s">
        <v>179</v>
      </c>
      <c r="G29" s="173" t="s">
        <v>180</v>
      </c>
      <c r="H29" s="175"/>
      <c r="I29" s="173" t="s">
        <v>165</v>
      </c>
      <c r="J29" s="173" t="s">
        <v>165</v>
      </c>
      <c r="K29" s="173"/>
      <c r="L29" s="173"/>
      <c r="M29" s="173"/>
      <c r="N29" s="176"/>
      <c r="O29" s="176">
        <v>0</v>
      </c>
      <c r="P29" s="176"/>
      <c r="Q29" s="177">
        <v>0</v>
      </c>
      <c r="R29" s="178"/>
      <c r="S29" s="178"/>
      <c r="T29" s="178"/>
      <c r="U29" s="178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9"/>
      <c r="AH29" s="179"/>
      <c r="AI29" s="179"/>
      <c r="AJ29" s="179"/>
      <c r="AK29" s="180">
        <v>0</v>
      </c>
      <c r="AL29" s="180">
        <v>0</v>
      </c>
      <c r="AM29" s="180">
        <v>0</v>
      </c>
      <c r="AN29" s="180">
        <v>0</v>
      </c>
      <c r="AO29" s="181">
        <v>0</v>
      </c>
      <c r="AP29" s="182">
        <v>0</v>
      </c>
    </row>
    <row r="30" spans="1:42" ht="15.75" customHeight="1" thickBot="1">
      <c r="A30" s="183"/>
      <c r="B30" s="1150"/>
      <c r="C30" s="866"/>
      <c r="D30" s="185" t="s">
        <v>181</v>
      </c>
      <c r="E30" s="184">
        <v>1</v>
      </c>
      <c r="F30" s="184" t="s">
        <v>182</v>
      </c>
      <c r="G30" s="184" t="s">
        <v>183</v>
      </c>
      <c r="H30" s="186" t="s">
        <v>127</v>
      </c>
      <c r="I30" s="184" t="s">
        <v>165</v>
      </c>
      <c r="J30" s="184" t="s">
        <v>165</v>
      </c>
      <c r="K30" s="184"/>
      <c r="L30" s="184"/>
      <c r="M30" s="184"/>
      <c r="N30" s="187"/>
      <c r="O30" s="187"/>
      <c r="P30" s="187"/>
      <c r="Q30" s="188">
        <v>0</v>
      </c>
      <c r="R30" s="189"/>
      <c r="S30" s="189"/>
      <c r="T30" s="189"/>
      <c r="U30" s="189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90"/>
      <c r="AH30" s="190"/>
      <c r="AI30" s="190"/>
      <c r="AJ30" s="190"/>
      <c r="AK30" s="191">
        <v>0</v>
      </c>
      <c r="AL30" s="191">
        <v>0</v>
      </c>
      <c r="AM30" s="191">
        <v>0</v>
      </c>
      <c r="AN30" s="191">
        <v>0</v>
      </c>
      <c r="AO30" s="192">
        <v>0</v>
      </c>
      <c r="AP30" s="193">
        <v>0</v>
      </c>
    </row>
    <row r="31" spans="1:42" ht="15.75" customHeight="1" thickBot="1">
      <c r="A31" s="171"/>
      <c r="B31" s="1150"/>
      <c r="C31" s="866"/>
      <c r="D31" s="174" t="s">
        <v>181</v>
      </c>
      <c r="E31" s="173">
        <v>1</v>
      </c>
      <c r="F31" s="173" t="s">
        <v>184</v>
      </c>
      <c r="G31" s="173" t="s">
        <v>185</v>
      </c>
      <c r="H31" s="175" t="s">
        <v>127</v>
      </c>
      <c r="I31" s="173" t="s">
        <v>165</v>
      </c>
      <c r="J31" s="173" t="s">
        <v>165</v>
      </c>
      <c r="K31" s="173"/>
      <c r="L31" s="173"/>
      <c r="M31" s="173"/>
      <c r="N31" s="176"/>
      <c r="O31" s="176"/>
      <c r="P31" s="176"/>
      <c r="Q31" s="177">
        <v>0</v>
      </c>
      <c r="R31" s="178"/>
      <c r="S31" s="178"/>
      <c r="T31" s="178"/>
      <c r="U31" s="178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9"/>
      <c r="AH31" s="179"/>
      <c r="AI31" s="179"/>
      <c r="AJ31" s="179"/>
      <c r="AK31" s="180">
        <v>0</v>
      </c>
      <c r="AL31" s="180">
        <v>0</v>
      </c>
      <c r="AM31" s="180">
        <v>0</v>
      </c>
      <c r="AN31" s="180">
        <v>0</v>
      </c>
      <c r="AO31" s="181">
        <v>0</v>
      </c>
      <c r="AP31" s="182">
        <v>0</v>
      </c>
    </row>
    <row r="32" spans="1:42" ht="29.25" thickBot="1">
      <c r="A32" s="171"/>
      <c r="B32" s="1150"/>
      <c r="C32" s="866"/>
      <c r="D32" s="174" t="s">
        <v>186</v>
      </c>
      <c r="E32" s="173">
        <v>1</v>
      </c>
      <c r="F32" s="173" t="s">
        <v>187</v>
      </c>
      <c r="G32" s="173"/>
      <c r="H32" s="175"/>
      <c r="I32" s="173"/>
      <c r="J32" s="173"/>
      <c r="K32" s="173"/>
      <c r="L32" s="173"/>
      <c r="M32" s="173"/>
      <c r="N32" s="176"/>
      <c r="O32" s="176"/>
      <c r="P32" s="176"/>
      <c r="Q32" s="177">
        <v>0</v>
      </c>
      <c r="R32" s="178"/>
      <c r="S32" s="178"/>
      <c r="T32" s="178"/>
      <c r="U32" s="178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9"/>
      <c r="AH32" s="179"/>
      <c r="AI32" s="179"/>
      <c r="AJ32" s="179"/>
      <c r="AK32" s="180">
        <v>0</v>
      </c>
      <c r="AL32" s="180">
        <v>0</v>
      </c>
      <c r="AM32" s="180">
        <v>0</v>
      </c>
      <c r="AN32" s="180">
        <v>0</v>
      </c>
      <c r="AO32" s="181">
        <v>0</v>
      </c>
      <c r="AP32" s="182">
        <v>0</v>
      </c>
    </row>
    <row r="33" spans="1:42" ht="15.75" customHeight="1" thickBot="1">
      <c r="A33" s="197"/>
      <c r="B33" s="1151"/>
      <c r="C33" s="955"/>
      <c r="D33" s="174"/>
      <c r="E33" s="173"/>
      <c r="F33" s="173"/>
      <c r="G33" s="173"/>
      <c r="H33" s="175"/>
      <c r="I33" s="173"/>
      <c r="J33" s="173"/>
      <c r="K33" s="173"/>
      <c r="L33" s="173"/>
      <c r="M33" s="173"/>
      <c r="N33" s="176"/>
      <c r="O33" s="176"/>
      <c r="P33" s="176"/>
      <c r="Q33" s="177">
        <v>0</v>
      </c>
      <c r="R33" s="178"/>
      <c r="S33" s="178"/>
      <c r="T33" s="178"/>
      <c r="U33" s="178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9"/>
      <c r="AH33" s="179"/>
      <c r="AI33" s="179"/>
      <c r="AJ33" s="179"/>
      <c r="AK33" s="180">
        <v>0</v>
      </c>
      <c r="AL33" s="180">
        <v>0</v>
      </c>
      <c r="AM33" s="180">
        <v>0</v>
      </c>
      <c r="AN33" s="180">
        <v>0</v>
      </c>
      <c r="AO33" s="181">
        <v>0</v>
      </c>
      <c r="AP33" s="182">
        <v>0</v>
      </c>
    </row>
    <row r="34" spans="1:42" ht="17.25">
      <c r="B34" s="201" t="s">
        <v>132</v>
      </c>
      <c r="C34" s="184"/>
      <c r="D34" s="185"/>
      <c r="E34" s="184"/>
      <c r="F34" s="184"/>
      <c r="G34" s="184"/>
      <c r="H34" s="186"/>
      <c r="I34" s="184"/>
      <c r="J34" s="184"/>
      <c r="K34" s="184"/>
      <c r="L34" s="184"/>
      <c r="M34" s="184"/>
      <c r="N34" s="187"/>
      <c r="O34" s="187"/>
      <c r="P34" s="187"/>
      <c r="Q34" s="188">
        <v>0</v>
      </c>
      <c r="R34" s="189"/>
      <c r="S34" s="189"/>
      <c r="T34" s="189"/>
      <c r="U34" s="189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90"/>
      <c r="AH34" s="190"/>
      <c r="AI34" s="190"/>
      <c r="AJ34" s="190"/>
      <c r="AK34" s="191">
        <v>0</v>
      </c>
      <c r="AL34" s="191">
        <v>0</v>
      </c>
      <c r="AM34" s="191">
        <v>0</v>
      </c>
      <c r="AN34" s="191">
        <v>0</v>
      </c>
      <c r="AO34" s="192">
        <v>0</v>
      </c>
      <c r="AP34" s="193">
        <v>0</v>
      </c>
    </row>
    <row r="35" spans="1:42" ht="15" thickBot="1">
      <c r="B35" s="198" t="s">
        <v>115</v>
      </c>
      <c r="C35" s="198">
        <v>8</v>
      </c>
      <c r="D35" s="198"/>
      <c r="E35" s="198">
        <v>9</v>
      </c>
      <c r="F35" s="198">
        <v>0</v>
      </c>
      <c r="G35" s="198">
        <v>0</v>
      </c>
      <c r="H35" s="198"/>
      <c r="I35" s="198">
        <v>0</v>
      </c>
      <c r="J35" s="198">
        <v>0</v>
      </c>
      <c r="K35" s="198">
        <v>0</v>
      </c>
      <c r="L35" s="198">
        <v>0</v>
      </c>
      <c r="M35" s="198">
        <v>0</v>
      </c>
      <c r="N35" s="194">
        <v>3550000</v>
      </c>
      <c r="O35" s="194">
        <v>6669985</v>
      </c>
      <c r="P35" s="194">
        <v>0</v>
      </c>
      <c r="Q35" s="194">
        <v>10219985</v>
      </c>
      <c r="R35" s="194">
        <v>0</v>
      </c>
      <c r="S35" s="194">
        <v>0</v>
      </c>
      <c r="T35" s="194">
        <v>0</v>
      </c>
      <c r="U35" s="194">
        <v>0</v>
      </c>
      <c r="V35" s="194">
        <v>10364</v>
      </c>
      <c r="W35" s="194">
        <v>0</v>
      </c>
      <c r="X35" s="194">
        <v>0</v>
      </c>
      <c r="Y35" s="194">
        <v>0</v>
      </c>
      <c r="Z35" s="194">
        <v>4500</v>
      </c>
      <c r="AA35" s="194">
        <v>31835</v>
      </c>
      <c r="AB35" s="194">
        <v>0</v>
      </c>
      <c r="AC35" s="194">
        <v>0</v>
      </c>
      <c r="AD35" s="194">
        <v>0</v>
      </c>
      <c r="AE35" s="194">
        <v>0</v>
      </c>
      <c r="AF35" s="194">
        <v>0</v>
      </c>
      <c r="AG35" s="194">
        <v>0</v>
      </c>
      <c r="AH35" s="194">
        <v>0</v>
      </c>
      <c r="AI35" s="194">
        <v>0</v>
      </c>
      <c r="AJ35" s="194">
        <v>0</v>
      </c>
      <c r="AK35" s="194">
        <v>0</v>
      </c>
      <c r="AL35" s="194">
        <v>0</v>
      </c>
      <c r="AM35" s="194">
        <v>0</v>
      </c>
      <c r="AN35" s="194">
        <v>0</v>
      </c>
      <c r="AO35" s="194">
        <v>0</v>
      </c>
      <c r="AP35" s="199">
        <v>-7519150</v>
      </c>
    </row>
    <row r="36" spans="1:42" s="1154" customFormat="1" ht="14.25">
      <c r="A36" s="1152"/>
      <c r="B36" s="1153"/>
      <c r="C36" s="1153"/>
      <c r="D36" s="1153"/>
      <c r="E36" s="1153"/>
      <c r="F36" s="1153"/>
      <c r="G36" s="1153"/>
      <c r="H36" s="1153"/>
      <c r="I36" s="1153"/>
      <c r="J36" s="1153"/>
      <c r="K36" s="1153"/>
      <c r="L36" s="1153"/>
      <c r="M36" s="1153"/>
      <c r="N36" s="1153"/>
      <c r="O36" s="1153"/>
      <c r="P36" s="1153"/>
      <c r="Q36" s="1153"/>
      <c r="R36" s="1153"/>
      <c r="S36" s="1153"/>
      <c r="T36" s="1153"/>
      <c r="U36" s="1153"/>
      <c r="V36" s="1153"/>
      <c r="W36" s="1153"/>
      <c r="X36" s="1153"/>
      <c r="Y36" s="1153"/>
      <c r="Z36" s="1153"/>
      <c r="AA36" s="1153"/>
      <c r="AB36" s="1153"/>
      <c r="AC36" s="1153"/>
      <c r="AD36" s="1153"/>
      <c r="AE36" s="1153"/>
      <c r="AF36" s="1153"/>
      <c r="AG36" s="1153"/>
      <c r="AH36" s="1153"/>
      <c r="AI36" s="1153"/>
      <c r="AJ36" s="1153"/>
      <c r="AK36" s="1153"/>
      <c r="AL36" s="1153"/>
      <c r="AM36" s="1153"/>
      <c r="AN36" s="1153"/>
      <c r="AO36" s="1153"/>
      <c r="AP36" s="1153"/>
    </row>
    <row r="37" spans="1:42" ht="37.5" customHeight="1">
      <c r="B37" s="134" t="s">
        <v>115</v>
      </c>
      <c r="C37" s="134">
        <f>C35+C23+C19+C14+C11</f>
        <v>30</v>
      </c>
      <c r="D37" s="134">
        <f t="shared" ref="D37:AP37" si="14">D35+D23+D19+D14+D11</f>
        <v>0</v>
      </c>
      <c r="E37" s="134">
        <f t="shared" si="14"/>
        <v>23</v>
      </c>
      <c r="F37" s="134">
        <f t="shared" si="14"/>
        <v>0</v>
      </c>
      <c r="G37" s="134">
        <f t="shared" si="14"/>
        <v>0</v>
      </c>
      <c r="H37" s="134">
        <f t="shared" si="14"/>
        <v>0</v>
      </c>
      <c r="I37" s="134">
        <f t="shared" si="14"/>
        <v>0</v>
      </c>
      <c r="J37" s="134">
        <f t="shared" si="14"/>
        <v>0</v>
      </c>
      <c r="K37" s="134">
        <f t="shared" si="14"/>
        <v>0</v>
      </c>
      <c r="L37" s="134">
        <f t="shared" si="14"/>
        <v>0</v>
      </c>
      <c r="M37" s="134">
        <f t="shared" si="14"/>
        <v>0</v>
      </c>
      <c r="N37" s="134">
        <f t="shared" si="14"/>
        <v>17009787</v>
      </c>
      <c r="O37" s="134">
        <f t="shared" si="14"/>
        <v>27181219</v>
      </c>
      <c r="P37" s="134">
        <f t="shared" si="14"/>
        <v>4811200</v>
      </c>
      <c r="Q37" s="134">
        <f t="shared" si="14"/>
        <v>49002206</v>
      </c>
      <c r="R37" s="134">
        <f t="shared" si="14"/>
        <v>0</v>
      </c>
      <c r="S37" s="134">
        <f t="shared" si="14"/>
        <v>0</v>
      </c>
      <c r="T37" s="134">
        <f t="shared" si="14"/>
        <v>0</v>
      </c>
      <c r="U37" s="134">
        <f t="shared" si="14"/>
        <v>0</v>
      </c>
      <c r="V37" s="134">
        <f t="shared" si="14"/>
        <v>344661</v>
      </c>
      <c r="W37" s="134">
        <f t="shared" si="14"/>
        <v>291277</v>
      </c>
      <c r="X37" s="134">
        <f t="shared" si="14"/>
        <v>401</v>
      </c>
      <c r="Y37" s="134">
        <f t="shared" si="14"/>
        <v>0</v>
      </c>
      <c r="Z37" s="134">
        <f t="shared" si="14"/>
        <v>4611</v>
      </c>
      <c r="AA37" s="134">
        <f t="shared" si="14"/>
        <v>32288</v>
      </c>
      <c r="AB37" s="134">
        <f t="shared" si="14"/>
        <v>933</v>
      </c>
      <c r="AC37" s="134">
        <f t="shared" si="14"/>
        <v>0</v>
      </c>
      <c r="AD37" s="134">
        <f t="shared" si="14"/>
        <v>91</v>
      </c>
      <c r="AE37" s="134">
        <f t="shared" si="14"/>
        <v>370</v>
      </c>
      <c r="AF37" s="134">
        <f t="shared" si="14"/>
        <v>920</v>
      </c>
      <c r="AG37" s="134">
        <f t="shared" si="14"/>
        <v>0</v>
      </c>
      <c r="AH37" s="134">
        <f t="shared" si="14"/>
        <v>0</v>
      </c>
      <c r="AI37" s="134">
        <f t="shared" si="14"/>
        <v>0</v>
      </c>
      <c r="AJ37" s="134">
        <f t="shared" si="14"/>
        <v>0</v>
      </c>
      <c r="AK37" s="134">
        <f t="shared" si="14"/>
        <v>0</v>
      </c>
      <c r="AL37" s="134">
        <f t="shared" si="14"/>
        <v>0</v>
      </c>
      <c r="AM37" s="134">
        <f t="shared" si="14"/>
        <v>0</v>
      </c>
      <c r="AN37" s="134">
        <f t="shared" si="14"/>
        <v>0</v>
      </c>
      <c r="AO37" s="134">
        <f t="shared" si="14"/>
        <v>0</v>
      </c>
      <c r="AP37" s="134">
        <f t="shared" si="14"/>
        <v>-36082996</v>
      </c>
    </row>
    <row r="38" spans="1:42" ht="54.75" customHeight="1">
      <c r="B38" s="960" t="s">
        <v>116</v>
      </c>
      <c r="C38" s="960"/>
      <c r="D38" s="960"/>
      <c r="E38" s="960"/>
      <c r="F38" s="960"/>
      <c r="G38" s="960"/>
      <c r="H38" s="960"/>
      <c r="I38" s="960"/>
      <c r="J38" s="960"/>
      <c r="K38" s="960"/>
      <c r="L38" s="960"/>
      <c r="M38" s="960"/>
      <c r="N38" s="960"/>
      <c r="O38" s="960"/>
      <c r="P38" s="960"/>
      <c r="Q38" s="960"/>
      <c r="R38" s="960"/>
      <c r="S38" s="960"/>
      <c r="T38" s="960"/>
      <c r="U38" s="960"/>
      <c r="V38" s="960"/>
      <c r="W38" s="960"/>
      <c r="X38" s="960"/>
      <c r="Y38" s="960"/>
      <c r="Z38" s="960"/>
      <c r="AA38" s="960"/>
      <c r="AB38" s="960"/>
      <c r="AC38" s="960"/>
      <c r="AD38" s="960"/>
      <c r="AE38" s="960"/>
      <c r="AF38" s="960"/>
      <c r="AG38" s="348"/>
      <c r="AH38" s="348"/>
      <c r="AI38" s="348"/>
      <c r="AJ38" s="348"/>
      <c r="AK38" s="348"/>
      <c r="AL38" s="348"/>
      <c r="AM38" s="348"/>
      <c r="AN38" s="348"/>
    </row>
    <row r="39" spans="1:42">
      <c r="AG39" s="50"/>
      <c r="AH39" s="50"/>
      <c r="AI39" s="50"/>
      <c r="AJ39" s="50"/>
    </row>
    <row r="40" spans="1:42">
      <c r="AG40" s="50"/>
      <c r="AH40" s="50"/>
      <c r="AI40" s="50"/>
      <c r="AJ40" s="50"/>
    </row>
    <row r="41" spans="1:42">
      <c r="AG41" s="50"/>
      <c r="AH41" s="50"/>
      <c r="AI41" s="50"/>
      <c r="AJ41" s="50"/>
    </row>
    <row r="42" spans="1:42">
      <c r="AG42" s="50"/>
      <c r="AH42" s="50"/>
      <c r="AI42" s="50"/>
      <c r="AJ42" s="50"/>
    </row>
    <row r="43" spans="1:42">
      <c r="AG43" s="50"/>
      <c r="AH43" s="50"/>
      <c r="AI43" s="50"/>
      <c r="AJ43" s="50"/>
    </row>
    <row r="44" spans="1:42">
      <c r="AG44" s="50"/>
      <c r="AH44" s="50"/>
      <c r="AI44" s="50"/>
      <c r="AJ44" s="50"/>
    </row>
    <row r="45" spans="1:42">
      <c r="AG45" s="50"/>
      <c r="AH45" s="50"/>
      <c r="AI45" s="50"/>
      <c r="AJ45" s="50"/>
    </row>
    <row r="46" spans="1:42">
      <c r="AG46" s="50"/>
      <c r="AH46" s="50"/>
      <c r="AI46" s="50"/>
      <c r="AJ46" s="50"/>
    </row>
    <row r="47" spans="1:42">
      <c r="AG47" s="50"/>
      <c r="AH47" s="50"/>
      <c r="AI47" s="50"/>
      <c r="AJ47" s="50"/>
    </row>
    <row r="48" spans="1:42">
      <c r="AG48" s="50"/>
      <c r="AH48" s="50"/>
      <c r="AI48" s="50"/>
      <c r="AJ48" s="50"/>
    </row>
    <row r="49" spans="33:36">
      <c r="AG49" s="50"/>
      <c r="AH49" s="50"/>
      <c r="AI49" s="50"/>
      <c r="AJ49" s="50"/>
    </row>
    <row r="50" spans="33:36">
      <c r="AG50" s="50"/>
      <c r="AH50" s="50"/>
      <c r="AI50" s="50"/>
      <c r="AJ50" s="50"/>
    </row>
    <row r="51" spans="33:36">
      <c r="AG51" s="50"/>
      <c r="AH51" s="50"/>
      <c r="AI51" s="50"/>
      <c r="AJ51" s="50"/>
    </row>
    <row r="52" spans="33:36">
      <c r="AG52" s="50"/>
      <c r="AH52" s="50"/>
      <c r="AI52" s="50"/>
      <c r="AJ52" s="50"/>
    </row>
    <row r="53" spans="33:36">
      <c r="AG53" s="50"/>
      <c r="AH53" s="50"/>
      <c r="AI53" s="50"/>
      <c r="AJ53" s="50"/>
    </row>
    <row r="54" spans="33:36">
      <c r="AG54" s="50"/>
      <c r="AH54" s="50"/>
      <c r="AI54" s="50"/>
      <c r="AJ54" s="50"/>
    </row>
    <row r="55" spans="33:36">
      <c r="AG55" s="50"/>
      <c r="AH55" s="50"/>
      <c r="AI55" s="50"/>
      <c r="AJ55" s="50"/>
    </row>
    <row r="56" spans="33:36">
      <c r="AG56" s="50"/>
      <c r="AH56" s="50"/>
      <c r="AI56" s="50"/>
      <c r="AJ56" s="50"/>
    </row>
    <row r="57" spans="33:36">
      <c r="AG57" s="50"/>
      <c r="AH57" s="50"/>
      <c r="AI57" s="50"/>
      <c r="AJ57" s="50"/>
    </row>
    <row r="58" spans="33:36">
      <c r="AG58" s="50"/>
      <c r="AH58" s="50"/>
      <c r="AI58" s="50"/>
      <c r="AJ58" s="50"/>
    </row>
    <row r="59" spans="33:36">
      <c r="AG59" s="50"/>
      <c r="AH59" s="50"/>
      <c r="AI59" s="50"/>
      <c r="AJ59" s="50"/>
    </row>
    <row r="60" spans="33:36">
      <c r="AG60" s="50"/>
      <c r="AH60" s="50"/>
      <c r="AI60" s="50"/>
      <c r="AJ60" s="50"/>
    </row>
    <row r="61" spans="33:36">
      <c r="AG61" s="50"/>
      <c r="AH61" s="50"/>
      <c r="AI61" s="50"/>
      <c r="AJ61" s="50"/>
    </row>
    <row r="62" spans="33:36">
      <c r="AG62" s="50"/>
      <c r="AH62" s="50"/>
      <c r="AI62" s="50"/>
      <c r="AJ62" s="50"/>
    </row>
    <row r="63" spans="33:36">
      <c r="AG63" s="50"/>
      <c r="AH63" s="50"/>
      <c r="AI63" s="50"/>
      <c r="AJ63" s="50"/>
    </row>
    <row r="64" spans="33:36">
      <c r="AG64" s="50"/>
      <c r="AH64" s="50"/>
      <c r="AI64" s="50"/>
      <c r="AJ64" s="50"/>
    </row>
    <row r="65" spans="33:36">
      <c r="AG65" s="50"/>
      <c r="AH65" s="50"/>
      <c r="AI65" s="50"/>
      <c r="AJ65" s="50"/>
    </row>
    <row r="66" spans="33:36">
      <c r="AG66" s="50"/>
      <c r="AH66" s="50"/>
      <c r="AI66" s="50"/>
      <c r="AJ66" s="50"/>
    </row>
    <row r="67" spans="33:36">
      <c r="AG67" s="50"/>
      <c r="AH67" s="50"/>
      <c r="AI67" s="50"/>
      <c r="AJ67" s="50"/>
    </row>
    <row r="68" spans="33:36">
      <c r="AG68" s="50"/>
      <c r="AH68" s="50"/>
      <c r="AI68" s="50"/>
      <c r="AJ68" s="50"/>
    </row>
    <row r="69" spans="33:36">
      <c r="AG69" s="50"/>
      <c r="AH69" s="50"/>
      <c r="AI69" s="50"/>
      <c r="AJ69" s="50"/>
    </row>
    <row r="70" spans="33:36">
      <c r="AG70" s="50"/>
      <c r="AH70" s="50"/>
      <c r="AI70" s="50"/>
      <c r="AJ70" s="50"/>
    </row>
    <row r="71" spans="33:36">
      <c r="AG71" s="50"/>
      <c r="AH71" s="50"/>
      <c r="AI71" s="50"/>
      <c r="AJ71" s="50"/>
    </row>
    <row r="72" spans="33:36">
      <c r="AG72" s="50"/>
      <c r="AH72" s="50"/>
      <c r="AI72" s="50"/>
      <c r="AJ72" s="50"/>
    </row>
    <row r="73" spans="33:36">
      <c r="AG73" s="50"/>
      <c r="AH73" s="50"/>
      <c r="AI73" s="50"/>
      <c r="AJ73" s="50"/>
    </row>
    <row r="74" spans="33:36">
      <c r="AG74" s="50"/>
      <c r="AH74" s="50"/>
      <c r="AI74" s="50"/>
      <c r="AJ74" s="50"/>
    </row>
    <row r="75" spans="33:36">
      <c r="AG75" s="50"/>
      <c r="AH75" s="50"/>
      <c r="AI75" s="50"/>
      <c r="AJ75" s="50"/>
    </row>
    <row r="76" spans="33:36">
      <c r="AG76" s="50"/>
      <c r="AH76" s="50"/>
      <c r="AI76" s="50"/>
      <c r="AJ76" s="50"/>
    </row>
    <row r="77" spans="33:36">
      <c r="AG77" s="50"/>
      <c r="AH77" s="50"/>
      <c r="AI77" s="50"/>
      <c r="AJ77" s="50"/>
    </row>
    <row r="78" spans="33:36">
      <c r="AG78" s="50"/>
      <c r="AH78" s="50"/>
      <c r="AI78" s="50"/>
      <c r="AJ78" s="50"/>
    </row>
    <row r="79" spans="33:36">
      <c r="AG79" s="50"/>
      <c r="AH79" s="50"/>
      <c r="AI79" s="50"/>
      <c r="AJ79" s="50"/>
    </row>
    <row r="80" spans="33:36">
      <c r="AG80" s="50"/>
      <c r="AH80" s="50"/>
      <c r="AI80" s="50"/>
      <c r="AJ80" s="50"/>
    </row>
    <row r="81" spans="33:36">
      <c r="AG81" s="50"/>
      <c r="AH81" s="50"/>
      <c r="AI81" s="50"/>
      <c r="AJ81" s="50"/>
    </row>
    <row r="82" spans="33:36">
      <c r="AG82" s="50"/>
      <c r="AH82" s="50"/>
      <c r="AI82" s="50"/>
      <c r="AJ82" s="50"/>
    </row>
    <row r="83" spans="33:36">
      <c r="AG83" s="50"/>
      <c r="AH83" s="50"/>
      <c r="AI83" s="50"/>
      <c r="AJ83" s="50"/>
    </row>
    <row r="84" spans="33:36">
      <c r="AG84" s="50"/>
      <c r="AH84" s="50"/>
      <c r="AI84" s="50"/>
      <c r="AJ84" s="50"/>
    </row>
    <row r="85" spans="33:36">
      <c r="AG85" s="50"/>
      <c r="AH85" s="50"/>
      <c r="AI85" s="50"/>
      <c r="AJ85" s="50"/>
    </row>
    <row r="86" spans="33:36">
      <c r="AG86" s="50"/>
      <c r="AH86" s="50"/>
      <c r="AI86" s="50"/>
      <c r="AJ86" s="50"/>
    </row>
    <row r="87" spans="33:36">
      <c r="AG87" s="50"/>
      <c r="AH87" s="50"/>
      <c r="AI87" s="50"/>
      <c r="AJ87" s="50"/>
    </row>
    <row r="88" spans="33:36">
      <c r="AG88" s="50"/>
      <c r="AH88" s="50"/>
      <c r="AI88" s="50"/>
      <c r="AJ88" s="50"/>
    </row>
    <row r="89" spans="33:36">
      <c r="AG89" s="50"/>
      <c r="AH89" s="50"/>
      <c r="AI89" s="50"/>
      <c r="AJ89" s="50"/>
    </row>
    <row r="90" spans="33:36">
      <c r="AG90" s="50"/>
      <c r="AH90" s="50"/>
      <c r="AI90" s="50"/>
      <c r="AJ90" s="50"/>
    </row>
    <row r="91" spans="33:36">
      <c r="AG91" s="50"/>
      <c r="AH91" s="50"/>
      <c r="AI91" s="50"/>
      <c r="AJ91" s="50"/>
    </row>
    <row r="92" spans="33:36">
      <c r="AG92" s="50"/>
      <c r="AH92" s="50"/>
      <c r="AI92" s="50"/>
      <c r="AJ92" s="50"/>
    </row>
    <row r="93" spans="33:36">
      <c r="AG93" s="50"/>
      <c r="AH93" s="50"/>
      <c r="AI93" s="50"/>
      <c r="AJ93" s="50"/>
    </row>
    <row r="94" spans="33:36">
      <c r="AG94" s="50"/>
      <c r="AH94" s="50"/>
      <c r="AI94" s="50"/>
      <c r="AJ94" s="50"/>
    </row>
    <row r="95" spans="33:36">
      <c r="AG95" s="50"/>
      <c r="AH95" s="50"/>
      <c r="AI95" s="50"/>
      <c r="AJ95" s="50"/>
    </row>
    <row r="96" spans="33:36">
      <c r="AG96" s="50"/>
      <c r="AH96" s="50"/>
      <c r="AI96" s="50"/>
      <c r="AJ96" s="50"/>
    </row>
    <row r="97" spans="33:36">
      <c r="AG97" s="50"/>
      <c r="AH97" s="50"/>
      <c r="AI97" s="50"/>
      <c r="AJ97" s="50"/>
    </row>
    <row r="98" spans="33:36">
      <c r="AG98" s="50"/>
      <c r="AH98" s="50"/>
      <c r="AI98" s="50"/>
      <c r="AJ98" s="50"/>
    </row>
    <row r="99" spans="33:36">
      <c r="AG99" s="50"/>
      <c r="AH99" s="50"/>
      <c r="AI99" s="50"/>
      <c r="AJ99" s="50"/>
    </row>
    <row r="100" spans="33:36">
      <c r="AG100" s="50"/>
      <c r="AH100" s="50"/>
      <c r="AI100" s="50"/>
      <c r="AJ100" s="50"/>
    </row>
    <row r="101" spans="33:36">
      <c r="AG101" s="50"/>
      <c r="AH101" s="50"/>
      <c r="AI101" s="50"/>
      <c r="AJ101" s="50"/>
    </row>
    <row r="102" spans="33:36">
      <c r="AG102" s="50"/>
      <c r="AH102" s="50"/>
      <c r="AI102" s="50"/>
      <c r="AJ102" s="50"/>
    </row>
    <row r="103" spans="33:36">
      <c r="AG103" s="50"/>
      <c r="AH103" s="50"/>
      <c r="AI103" s="50"/>
      <c r="AJ103" s="50"/>
    </row>
    <row r="104" spans="33:36">
      <c r="AG104" s="50"/>
      <c r="AH104" s="50"/>
      <c r="AI104" s="50"/>
      <c r="AJ104" s="50"/>
    </row>
    <row r="105" spans="33:36">
      <c r="AG105" s="50"/>
      <c r="AH105" s="50"/>
      <c r="AI105" s="50"/>
      <c r="AJ105" s="50"/>
    </row>
    <row r="106" spans="33:36">
      <c r="AG106" s="50"/>
      <c r="AH106" s="50"/>
      <c r="AI106" s="50"/>
      <c r="AJ106" s="50"/>
    </row>
    <row r="107" spans="33:36">
      <c r="AG107" s="50"/>
      <c r="AH107" s="50"/>
      <c r="AI107" s="50"/>
      <c r="AJ107" s="50"/>
    </row>
    <row r="108" spans="33:36">
      <c r="AG108" s="50"/>
      <c r="AH108" s="50"/>
      <c r="AI108" s="50"/>
      <c r="AJ108" s="50"/>
    </row>
    <row r="109" spans="33:36">
      <c r="AG109" s="50"/>
      <c r="AH109" s="50"/>
      <c r="AI109" s="50"/>
      <c r="AJ109" s="50"/>
    </row>
    <row r="110" spans="33:36">
      <c r="AG110" s="50"/>
      <c r="AH110" s="50"/>
      <c r="AI110" s="50"/>
      <c r="AJ110" s="50"/>
    </row>
    <row r="111" spans="33:36">
      <c r="AG111" s="50"/>
      <c r="AH111" s="50"/>
      <c r="AI111" s="50"/>
      <c r="AJ111" s="50"/>
    </row>
    <row r="112" spans="33:36">
      <c r="AG112" s="50"/>
      <c r="AH112" s="50"/>
      <c r="AI112" s="50"/>
      <c r="AJ112" s="50"/>
    </row>
    <row r="113" spans="33:36">
      <c r="AG113" s="50"/>
      <c r="AH113" s="50"/>
      <c r="AI113" s="50"/>
      <c r="AJ113" s="50"/>
    </row>
    <row r="114" spans="33:36">
      <c r="AG114" s="50"/>
      <c r="AH114" s="50"/>
      <c r="AI114" s="50"/>
      <c r="AJ114" s="50"/>
    </row>
    <row r="115" spans="33:36">
      <c r="AG115" s="50"/>
      <c r="AH115" s="50"/>
      <c r="AI115" s="50"/>
      <c r="AJ115" s="50"/>
    </row>
    <row r="116" spans="33:36">
      <c r="AG116" s="50"/>
      <c r="AH116" s="50"/>
      <c r="AI116" s="50"/>
      <c r="AJ116" s="50"/>
    </row>
    <row r="117" spans="33:36">
      <c r="AG117" s="50"/>
      <c r="AH117" s="50"/>
      <c r="AI117" s="50"/>
      <c r="AJ117" s="50"/>
    </row>
    <row r="118" spans="33:36">
      <c r="AG118" s="50"/>
      <c r="AH118" s="50"/>
      <c r="AI118" s="50"/>
      <c r="AJ118" s="50"/>
    </row>
    <row r="119" spans="33:36">
      <c r="AG119" s="50"/>
      <c r="AH119" s="50"/>
      <c r="AI119" s="50"/>
      <c r="AJ119" s="50"/>
    </row>
    <row r="120" spans="33:36">
      <c r="AG120" s="50"/>
      <c r="AH120" s="50"/>
      <c r="AI120" s="50"/>
      <c r="AJ120" s="50"/>
    </row>
    <row r="121" spans="33:36">
      <c r="AG121" s="50"/>
      <c r="AH121" s="50"/>
      <c r="AI121" s="50"/>
      <c r="AJ121" s="50"/>
    </row>
    <row r="122" spans="33:36">
      <c r="AG122" s="50"/>
      <c r="AH122" s="50"/>
      <c r="AI122" s="50"/>
      <c r="AJ122" s="50"/>
    </row>
    <row r="123" spans="33:36">
      <c r="AG123" s="50"/>
      <c r="AH123" s="50"/>
      <c r="AI123" s="50"/>
      <c r="AJ123" s="50"/>
    </row>
    <row r="124" spans="33:36">
      <c r="AG124" s="50"/>
      <c r="AH124" s="50"/>
      <c r="AI124" s="50"/>
      <c r="AJ124" s="50"/>
    </row>
    <row r="125" spans="33:36">
      <c r="AG125" s="50"/>
      <c r="AH125" s="50"/>
      <c r="AI125" s="50"/>
      <c r="AJ125" s="50"/>
    </row>
    <row r="126" spans="33:36">
      <c r="AG126" s="50"/>
      <c r="AH126" s="50"/>
      <c r="AI126" s="50"/>
      <c r="AJ126" s="50"/>
    </row>
    <row r="127" spans="33:36">
      <c r="AG127" s="50"/>
      <c r="AH127" s="50"/>
      <c r="AI127" s="50"/>
      <c r="AJ127" s="50"/>
    </row>
    <row r="128" spans="33:36">
      <c r="AG128" s="50"/>
      <c r="AH128" s="50"/>
      <c r="AI128" s="50"/>
      <c r="AJ128" s="50"/>
    </row>
    <row r="129" spans="33:36">
      <c r="AG129" s="50"/>
      <c r="AH129" s="50"/>
      <c r="AI129" s="50"/>
      <c r="AJ129" s="50"/>
    </row>
    <row r="130" spans="33:36">
      <c r="AG130" s="50"/>
      <c r="AH130" s="50"/>
      <c r="AI130" s="50"/>
      <c r="AJ130" s="50"/>
    </row>
    <row r="131" spans="33:36">
      <c r="AG131" s="50"/>
      <c r="AH131" s="50"/>
      <c r="AI131" s="50"/>
      <c r="AJ131" s="50"/>
    </row>
    <row r="132" spans="33:36">
      <c r="AG132" s="50"/>
      <c r="AH132" s="50"/>
      <c r="AI132" s="50"/>
      <c r="AJ132" s="50"/>
    </row>
    <row r="133" spans="33:36">
      <c r="AG133" s="50"/>
      <c r="AH133" s="50"/>
      <c r="AI133" s="50"/>
      <c r="AJ133" s="50"/>
    </row>
    <row r="134" spans="33:36">
      <c r="AG134" s="50"/>
      <c r="AH134" s="50"/>
      <c r="AI134" s="50"/>
      <c r="AJ134" s="50"/>
    </row>
    <row r="135" spans="33:36">
      <c r="AG135" s="50"/>
      <c r="AH135" s="50"/>
      <c r="AI135" s="50"/>
      <c r="AJ135" s="50"/>
    </row>
    <row r="136" spans="33:36">
      <c r="AG136" s="50"/>
      <c r="AH136" s="50"/>
      <c r="AI136" s="50"/>
      <c r="AJ136" s="50"/>
    </row>
    <row r="137" spans="33:36">
      <c r="AG137" s="50"/>
      <c r="AH137" s="50"/>
      <c r="AI137" s="50"/>
      <c r="AJ137" s="50"/>
    </row>
    <row r="138" spans="33:36">
      <c r="AG138" s="50"/>
      <c r="AH138" s="50"/>
      <c r="AI138" s="50"/>
      <c r="AJ138" s="50"/>
    </row>
    <row r="139" spans="33:36">
      <c r="AG139" s="50"/>
      <c r="AH139" s="50"/>
      <c r="AI139" s="50"/>
      <c r="AJ139" s="50"/>
    </row>
    <row r="140" spans="33:36">
      <c r="AG140" s="50"/>
      <c r="AH140" s="50"/>
      <c r="AI140" s="50"/>
      <c r="AJ140" s="50"/>
    </row>
    <row r="141" spans="33:36">
      <c r="AG141" s="50"/>
      <c r="AH141" s="50"/>
      <c r="AI141" s="50"/>
      <c r="AJ141" s="50"/>
    </row>
    <row r="142" spans="33:36">
      <c r="AG142" s="50"/>
      <c r="AH142" s="50"/>
      <c r="AI142" s="50"/>
      <c r="AJ142" s="50"/>
    </row>
    <row r="143" spans="33:36">
      <c r="AG143" s="50"/>
      <c r="AH143" s="50"/>
      <c r="AI143" s="50"/>
      <c r="AJ143" s="50"/>
    </row>
    <row r="144" spans="33:36">
      <c r="AG144" s="50"/>
      <c r="AH144" s="50"/>
      <c r="AI144" s="50"/>
      <c r="AJ144" s="50"/>
    </row>
    <row r="145" spans="33:36">
      <c r="AG145" s="50"/>
      <c r="AH145" s="50"/>
      <c r="AI145" s="50"/>
      <c r="AJ145" s="50"/>
    </row>
    <row r="146" spans="33:36">
      <c r="AG146" s="50"/>
      <c r="AH146" s="50"/>
      <c r="AI146" s="50"/>
      <c r="AJ146" s="50"/>
    </row>
    <row r="147" spans="33:36">
      <c r="AG147" s="50"/>
      <c r="AH147" s="50"/>
      <c r="AI147" s="50"/>
      <c r="AJ147" s="50"/>
    </row>
    <row r="148" spans="33:36">
      <c r="AG148" s="50"/>
      <c r="AH148" s="50"/>
      <c r="AI148" s="50"/>
      <c r="AJ148" s="50"/>
    </row>
    <row r="149" spans="33:36">
      <c r="AG149" s="50"/>
      <c r="AH149" s="50"/>
      <c r="AI149" s="50"/>
      <c r="AJ149" s="50"/>
    </row>
    <row r="150" spans="33:36">
      <c r="AG150" s="50"/>
      <c r="AH150" s="50"/>
      <c r="AI150" s="50"/>
      <c r="AJ150" s="50"/>
    </row>
    <row r="151" spans="33:36">
      <c r="AG151" s="50"/>
      <c r="AH151" s="50"/>
      <c r="AI151" s="50"/>
      <c r="AJ151" s="50"/>
    </row>
    <row r="152" spans="33:36">
      <c r="AG152" s="50"/>
      <c r="AH152" s="50"/>
      <c r="AI152" s="50"/>
      <c r="AJ152" s="50"/>
    </row>
    <row r="153" spans="33:36">
      <c r="AG153" s="50"/>
      <c r="AH153" s="50"/>
      <c r="AI153" s="50"/>
      <c r="AJ153" s="50"/>
    </row>
    <row r="154" spans="33:36">
      <c r="AG154" s="50"/>
      <c r="AH154" s="50"/>
      <c r="AI154" s="50"/>
      <c r="AJ154" s="50"/>
    </row>
    <row r="155" spans="33:36">
      <c r="AG155" s="50"/>
      <c r="AH155" s="50"/>
      <c r="AI155" s="50"/>
      <c r="AJ155" s="50"/>
    </row>
    <row r="156" spans="33:36">
      <c r="AG156" s="50"/>
      <c r="AH156" s="50"/>
      <c r="AI156" s="50"/>
      <c r="AJ156" s="50"/>
    </row>
    <row r="157" spans="33:36">
      <c r="AG157" s="50"/>
      <c r="AH157" s="50"/>
      <c r="AI157" s="50"/>
      <c r="AJ157" s="50"/>
    </row>
    <row r="158" spans="33:36">
      <c r="AG158" s="50"/>
      <c r="AH158" s="50"/>
      <c r="AI158" s="50"/>
      <c r="AJ158" s="50"/>
    </row>
    <row r="159" spans="33:36">
      <c r="AG159" s="50"/>
      <c r="AH159" s="50"/>
      <c r="AI159" s="50"/>
      <c r="AJ159" s="50"/>
    </row>
    <row r="160" spans="33:36">
      <c r="AG160" s="50"/>
      <c r="AH160" s="50"/>
      <c r="AI160" s="50"/>
      <c r="AJ160" s="50"/>
    </row>
    <row r="161" spans="33:36">
      <c r="AG161" s="50"/>
      <c r="AH161" s="50"/>
      <c r="AI161" s="50"/>
      <c r="AJ161" s="50"/>
    </row>
    <row r="162" spans="33:36">
      <c r="AG162" s="50"/>
      <c r="AH162" s="50"/>
      <c r="AI162" s="50"/>
      <c r="AJ162" s="50"/>
    </row>
    <row r="163" spans="33:36">
      <c r="AG163" s="50"/>
      <c r="AH163" s="50"/>
      <c r="AI163" s="50"/>
      <c r="AJ163" s="50"/>
    </row>
    <row r="164" spans="33:36">
      <c r="AG164" s="50"/>
      <c r="AH164" s="50"/>
      <c r="AI164" s="50"/>
      <c r="AJ164" s="50"/>
    </row>
    <row r="165" spans="33:36">
      <c r="AG165" s="50"/>
      <c r="AH165" s="50"/>
      <c r="AI165" s="50"/>
      <c r="AJ165" s="50"/>
    </row>
    <row r="166" spans="33:36">
      <c r="AG166" s="50"/>
      <c r="AH166" s="50"/>
      <c r="AI166" s="50"/>
      <c r="AJ166" s="50"/>
    </row>
    <row r="167" spans="33:36">
      <c r="AG167" s="50"/>
      <c r="AH167" s="50"/>
      <c r="AI167" s="50"/>
      <c r="AJ167" s="50"/>
    </row>
    <row r="168" spans="33:36">
      <c r="AG168" s="50"/>
      <c r="AH168" s="50"/>
      <c r="AI168" s="50"/>
      <c r="AJ168" s="50"/>
    </row>
    <row r="169" spans="33:36">
      <c r="AG169" s="50"/>
      <c r="AH169" s="50"/>
      <c r="AI169" s="50"/>
      <c r="AJ169" s="50"/>
    </row>
    <row r="170" spans="33:36">
      <c r="AG170" s="50"/>
      <c r="AH170" s="50"/>
      <c r="AI170" s="50"/>
      <c r="AJ170" s="50"/>
    </row>
    <row r="171" spans="33:36">
      <c r="AG171" s="50"/>
      <c r="AH171" s="50"/>
      <c r="AI171" s="50"/>
      <c r="AJ171" s="50"/>
    </row>
    <row r="172" spans="33:36">
      <c r="AG172" s="50"/>
      <c r="AH172" s="50"/>
      <c r="AI172" s="50"/>
      <c r="AJ172" s="50"/>
    </row>
    <row r="173" spans="33:36">
      <c r="AG173" s="50"/>
      <c r="AH173" s="50"/>
      <c r="AI173" s="50"/>
      <c r="AJ173" s="50"/>
    </row>
    <row r="174" spans="33:36">
      <c r="AG174" s="50"/>
      <c r="AH174" s="50"/>
      <c r="AI174" s="50"/>
      <c r="AJ174" s="50"/>
    </row>
    <row r="175" spans="33:36">
      <c r="AG175" s="50"/>
      <c r="AH175" s="50"/>
      <c r="AI175" s="50"/>
      <c r="AJ175" s="50"/>
    </row>
    <row r="176" spans="33:36">
      <c r="AG176" s="50"/>
      <c r="AH176" s="50"/>
      <c r="AI176" s="50"/>
      <c r="AJ176" s="50"/>
    </row>
    <row r="177" spans="33:36">
      <c r="AG177" s="50"/>
      <c r="AH177" s="50"/>
      <c r="AI177" s="50"/>
      <c r="AJ177" s="50"/>
    </row>
    <row r="178" spans="33:36">
      <c r="AG178" s="50"/>
      <c r="AH178" s="50"/>
      <c r="AI178" s="50"/>
      <c r="AJ178" s="50"/>
    </row>
    <row r="179" spans="33:36">
      <c r="AG179" s="50"/>
      <c r="AH179" s="50"/>
      <c r="AI179" s="50"/>
      <c r="AJ179" s="50"/>
    </row>
    <row r="180" spans="33:36">
      <c r="AG180" s="50"/>
      <c r="AH180" s="50"/>
      <c r="AI180" s="50"/>
      <c r="AJ180" s="50"/>
    </row>
    <row r="181" spans="33:36">
      <c r="AG181" s="50"/>
      <c r="AH181" s="50"/>
      <c r="AI181" s="50"/>
      <c r="AJ181" s="50"/>
    </row>
    <row r="182" spans="33:36">
      <c r="AG182" s="50"/>
      <c r="AH182" s="50"/>
      <c r="AI182" s="50"/>
      <c r="AJ182" s="50"/>
    </row>
    <row r="183" spans="33:36">
      <c r="AG183" s="50"/>
      <c r="AH183" s="50"/>
      <c r="AI183" s="50"/>
      <c r="AJ183" s="50"/>
    </row>
    <row r="184" spans="33:36">
      <c r="AG184" s="50"/>
      <c r="AH184" s="50"/>
      <c r="AI184" s="50"/>
      <c r="AJ184" s="50"/>
    </row>
    <row r="185" spans="33:36">
      <c r="AG185" s="50"/>
      <c r="AH185" s="50"/>
      <c r="AI185" s="50"/>
      <c r="AJ185" s="50"/>
    </row>
    <row r="186" spans="33:36">
      <c r="AG186" s="50"/>
      <c r="AH186" s="50"/>
      <c r="AI186" s="50"/>
      <c r="AJ186" s="50"/>
    </row>
    <row r="187" spans="33:36">
      <c r="AG187" s="50"/>
      <c r="AH187" s="50"/>
      <c r="AI187" s="50"/>
      <c r="AJ187" s="50"/>
    </row>
    <row r="188" spans="33:36">
      <c r="AG188" s="50"/>
      <c r="AH188" s="50"/>
      <c r="AI188" s="50"/>
      <c r="AJ188" s="50"/>
    </row>
    <row r="189" spans="33:36">
      <c r="AG189" s="50"/>
      <c r="AH189" s="50"/>
      <c r="AI189" s="50"/>
      <c r="AJ189" s="50"/>
    </row>
    <row r="190" spans="33:36">
      <c r="AG190" s="50"/>
      <c r="AH190" s="50"/>
      <c r="AI190" s="50"/>
      <c r="AJ190" s="50"/>
    </row>
    <row r="191" spans="33:36">
      <c r="AG191" s="50"/>
      <c r="AH191" s="50"/>
      <c r="AI191" s="50"/>
      <c r="AJ191" s="50"/>
    </row>
    <row r="192" spans="33:36">
      <c r="AG192" s="50"/>
      <c r="AH192" s="50"/>
      <c r="AI192" s="50"/>
      <c r="AJ192" s="50"/>
    </row>
    <row r="193" spans="33:36">
      <c r="AG193" s="50"/>
      <c r="AH193" s="50"/>
      <c r="AI193" s="50"/>
      <c r="AJ193" s="50"/>
    </row>
    <row r="194" spans="33:36">
      <c r="AG194" s="50"/>
      <c r="AH194" s="50"/>
      <c r="AI194" s="50"/>
      <c r="AJ194" s="50"/>
    </row>
    <row r="195" spans="33:36">
      <c r="AG195" s="50"/>
      <c r="AH195" s="50"/>
      <c r="AI195" s="50"/>
      <c r="AJ195" s="50"/>
    </row>
    <row r="196" spans="33:36">
      <c r="AG196" s="50"/>
      <c r="AH196" s="50"/>
      <c r="AI196" s="50"/>
      <c r="AJ196" s="50"/>
    </row>
    <row r="197" spans="33:36">
      <c r="AG197" s="50"/>
      <c r="AH197" s="50"/>
      <c r="AI197" s="50"/>
      <c r="AJ197" s="50"/>
    </row>
    <row r="198" spans="33:36">
      <c r="AG198" s="50"/>
      <c r="AH198" s="50"/>
      <c r="AI198" s="50"/>
      <c r="AJ198" s="50"/>
    </row>
    <row r="199" spans="33:36">
      <c r="AG199" s="50"/>
      <c r="AH199" s="50"/>
      <c r="AI199" s="50"/>
      <c r="AJ199" s="50"/>
    </row>
    <row r="200" spans="33:36">
      <c r="AG200" s="50"/>
      <c r="AH200" s="50"/>
      <c r="AI200" s="50"/>
      <c r="AJ200" s="50"/>
    </row>
    <row r="201" spans="33:36">
      <c r="AG201" s="50"/>
      <c r="AH201" s="50"/>
      <c r="AI201" s="50"/>
      <c r="AJ201" s="50"/>
    </row>
    <row r="202" spans="33:36">
      <c r="AG202" s="50"/>
      <c r="AH202" s="50"/>
      <c r="AI202" s="50"/>
      <c r="AJ202" s="50"/>
    </row>
    <row r="203" spans="33:36">
      <c r="AG203" s="50"/>
      <c r="AH203" s="50"/>
      <c r="AI203" s="50"/>
      <c r="AJ203" s="50"/>
    </row>
    <row r="204" spans="33:36">
      <c r="AG204" s="50"/>
      <c r="AH204" s="50"/>
      <c r="AI204" s="50"/>
      <c r="AJ204" s="50"/>
    </row>
    <row r="205" spans="33:36">
      <c r="AG205" s="50"/>
      <c r="AH205" s="50"/>
      <c r="AI205" s="50"/>
      <c r="AJ205" s="50"/>
    </row>
    <row r="206" spans="33:36">
      <c r="AG206" s="50"/>
      <c r="AH206" s="50"/>
      <c r="AI206" s="50"/>
      <c r="AJ206" s="50"/>
    </row>
    <row r="207" spans="33:36">
      <c r="AG207" s="50"/>
      <c r="AH207" s="50"/>
      <c r="AI207" s="50"/>
      <c r="AJ207" s="50"/>
    </row>
    <row r="208" spans="33:36">
      <c r="AG208" s="50"/>
      <c r="AH208" s="50"/>
      <c r="AI208" s="50"/>
      <c r="AJ208" s="50"/>
    </row>
    <row r="209" spans="33:36">
      <c r="AG209" s="50"/>
      <c r="AH209" s="50"/>
      <c r="AI209" s="50"/>
      <c r="AJ209" s="50"/>
    </row>
    <row r="210" spans="33:36">
      <c r="AG210" s="50"/>
      <c r="AH210" s="50"/>
      <c r="AI210" s="50"/>
      <c r="AJ210" s="50"/>
    </row>
    <row r="211" spans="33:36">
      <c r="AG211" s="50"/>
      <c r="AH211" s="50"/>
      <c r="AI211" s="50"/>
      <c r="AJ211" s="50"/>
    </row>
    <row r="212" spans="33:36">
      <c r="AG212" s="50"/>
      <c r="AH212" s="50"/>
      <c r="AI212" s="50"/>
      <c r="AJ212" s="50"/>
    </row>
    <row r="213" spans="33:36">
      <c r="AG213" s="50"/>
      <c r="AH213" s="50"/>
      <c r="AI213" s="50"/>
      <c r="AJ213" s="50"/>
    </row>
    <row r="214" spans="33:36">
      <c r="AG214" s="50"/>
      <c r="AH214" s="50"/>
      <c r="AI214" s="50"/>
      <c r="AJ214" s="50"/>
    </row>
    <row r="215" spans="33:36">
      <c r="AG215" s="50"/>
      <c r="AH215" s="50"/>
      <c r="AI215" s="50"/>
      <c r="AJ215" s="50"/>
    </row>
    <row r="216" spans="33:36">
      <c r="AG216" s="50"/>
      <c r="AH216" s="50"/>
      <c r="AI216" s="50"/>
      <c r="AJ216" s="50"/>
    </row>
    <row r="217" spans="33:36">
      <c r="AG217" s="50"/>
      <c r="AH217" s="50"/>
      <c r="AI217" s="50"/>
      <c r="AJ217" s="50"/>
    </row>
    <row r="218" spans="33:36">
      <c r="AG218" s="50"/>
      <c r="AH218" s="50"/>
      <c r="AI218" s="50"/>
      <c r="AJ218" s="50"/>
    </row>
    <row r="219" spans="33:36">
      <c r="AG219" s="50"/>
      <c r="AH219" s="50"/>
      <c r="AI219" s="50"/>
      <c r="AJ219" s="50"/>
    </row>
    <row r="220" spans="33:36">
      <c r="AG220" s="50"/>
      <c r="AH220" s="50"/>
      <c r="AI220" s="50"/>
      <c r="AJ220" s="50"/>
    </row>
    <row r="221" spans="33:36">
      <c r="AG221" s="50"/>
      <c r="AH221" s="50"/>
      <c r="AI221" s="50"/>
      <c r="AJ221" s="50"/>
    </row>
    <row r="222" spans="33:36">
      <c r="AG222" s="50"/>
      <c r="AH222" s="50"/>
      <c r="AI222" s="50"/>
      <c r="AJ222" s="50"/>
    </row>
    <row r="223" spans="33:36">
      <c r="AG223" s="50"/>
      <c r="AH223" s="50"/>
      <c r="AI223" s="50"/>
      <c r="AJ223" s="50"/>
    </row>
    <row r="224" spans="33:36">
      <c r="AG224" s="50"/>
      <c r="AH224" s="50"/>
      <c r="AI224" s="50"/>
      <c r="AJ224" s="50"/>
    </row>
    <row r="225" spans="33:36">
      <c r="AG225" s="50"/>
      <c r="AH225" s="50"/>
      <c r="AI225" s="50"/>
      <c r="AJ225" s="50"/>
    </row>
    <row r="226" spans="33:36">
      <c r="AG226" s="50"/>
      <c r="AH226" s="50"/>
      <c r="AI226" s="50"/>
      <c r="AJ226" s="50"/>
    </row>
    <row r="227" spans="33:36">
      <c r="AG227" s="50"/>
      <c r="AH227" s="50"/>
      <c r="AI227" s="50"/>
      <c r="AJ227" s="50"/>
    </row>
    <row r="228" spans="33:36">
      <c r="AG228" s="50"/>
      <c r="AH228" s="50"/>
      <c r="AI228" s="50"/>
      <c r="AJ228" s="50"/>
    </row>
    <row r="229" spans="33:36">
      <c r="AG229" s="50"/>
      <c r="AH229" s="50"/>
      <c r="AI229" s="50"/>
      <c r="AJ229" s="50"/>
    </row>
    <row r="230" spans="33:36">
      <c r="AG230" s="50"/>
      <c r="AH230" s="50"/>
      <c r="AI230" s="50"/>
      <c r="AJ230" s="50"/>
    </row>
    <row r="231" spans="33:36">
      <c r="AG231" s="50"/>
      <c r="AH231" s="50"/>
      <c r="AI231" s="50"/>
      <c r="AJ231" s="50"/>
    </row>
    <row r="232" spans="33:36">
      <c r="AG232" s="50"/>
      <c r="AH232" s="50"/>
      <c r="AI232" s="50"/>
      <c r="AJ232" s="50"/>
    </row>
    <row r="233" spans="33:36">
      <c r="AG233" s="50"/>
      <c r="AH233" s="50"/>
      <c r="AI233" s="50"/>
      <c r="AJ233" s="50"/>
    </row>
    <row r="234" spans="33:36">
      <c r="AG234" s="50"/>
      <c r="AH234" s="50"/>
      <c r="AI234" s="50"/>
      <c r="AJ234" s="50"/>
    </row>
    <row r="235" spans="33:36">
      <c r="AG235" s="50"/>
      <c r="AH235" s="50"/>
      <c r="AI235" s="50"/>
      <c r="AJ235" s="50"/>
    </row>
    <row r="236" spans="33:36">
      <c r="AG236" s="50"/>
      <c r="AH236" s="50"/>
      <c r="AI236" s="50"/>
      <c r="AJ236" s="50"/>
    </row>
    <row r="237" spans="33:36">
      <c r="AG237" s="50"/>
      <c r="AH237" s="50"/>
      <c r="AI237" s="50"/>
      <c r="AJ237" s="50"/>
    </row>
    <row r="238" spans="33:36">
      <c r="AG238" s="50"/>
      <c r="AH238" s="50"/>
      <c r="AI238" s="50"/>
      <c r="AJ238" s="50"/>
    </row>
    <row r="239" spans="33:36">
      <c r="AG239" s="50"/>
      <c r="AH239" s="50"/>
      <c r="AI239" s="50"/>
      <c r="AJ239" s="50"/>
    </row>
    <row r="240" spans="33:36">
      <c r="AG240" s="50"/>
      <c r="AH240" s="50"/>
      <c r="AI240" s="50"/>
      <c r="AJ240" s="50"/>
    </row>
    <row r="241" spans="33:36">
      <c r="AG241" s="50"/>
      <c r="AH241" s="50"/>
      <c r="AI241" s="50"/>
      <c r="AJ241" s="50"/>
    </row>
    <row r="242" spans="33:36">
      <c r="AG242" s="50"/>
      <c r="AH242" s="50"/>
      <c r="AI242" s="50"/>
      <c r="AJ242" s="50"/>
    </row>
    <row r="243" spans="33:36">
      <c r="AG243" s="50"/>
      <c r="AH243" s="50"/>
      <c r="AI243" s="50"/>
      <c r="AJ243" s="50"/>
    </row>
    <row r="244" spans="33:36">
      <c r="AG244" s="50"/>
      <c r="AH244" s="50"/>
      <c r="AI244" s="50"/>
      <c r="AJ244" s="50"/>
    </row>
    <row r="245" spans="33:36">
      <c r="AG245" s="50"/>
      <c r="AH245" s="50"/>
      <c r="AI245" s="50"/>
      <c r="AJ245" s="50"/>
    </row>
    <row r="246" spans="33:36">
      <c r="AG246" s="50"/>
      <c r="AH246" s="50"/>
      <c r="AI246" s="50"/>
      <c r="AJ246" s="50"/>
    </row>
    <row r="247" spans="33:36">
      <c r="AG247" s="50"/>
      <c r="AH247" s="50"/>
      <c r="AI247" s="50"/>
      <c r="AJ247" s="50"/>
    </row>
    <row r="248" spans="33:36">
      <c r="AG248" s="50"/>
      <c r="AH248" s="50"/>
      <c r="AI248" s="50"/>
      <c r="AJ248" s="50"/>
    </row>
    <row r="249" spans="33:36">
      <c r="AG249" s="50"/>
      <c r="AH249" s="50"/>
      <c r="AI249" s="50"/>
      <c r="AJ249" s="50"/>
    </row>
    <row r="250" spans="33:36">
      <c r="AG250" s="50"/>
      <c r="AH250" s="50"/>
      <c r="AI250" s="50"/>
      <c r="AJ250" s="50"/>
    </row>
    <row r="251" spans="33:36">
      <c r="AG251" s="50"/>
      <c r="AH251" s="50"/>
      <c r="AI251" s="50"/>
      <c r="AJ251" s="50"/>
    </row>
    <row r="252" spans="33:36">
      <c r="AG252" s="50"/>
      <c r="AH252" s="50"/>
      <c r="AI252" s="50"/>
      <c r="AJ252" s="50"/>
    </row>
    <row r="253" spans="33:36">
      <c r="AG253" s="50"/>
      <c r="AH253" s="50"/>
      <c r="AI253" s="50"/>
      <c r="AJ253" s="50"/>
    </row>
    <row r="254" spans="33:36">
      <c r="AG254" s="50"/>
      <c r="AH254" s="50"/>
      <c r="AI254" s="50"/>
      <c r="AJ254" s="50"/>
    </row>
    <row r="255" spans="33:36">
      <c r="AG255" s="50"/>
      <c r="AH255" s="50"/>
      <c r="AI255" s="50"/>
      <c r="AJ255" s="50"/>
    </row>
    <row r="256" spans="33:36">
      <c r="AG256" s="50"/>
      <c r="AH256" s="50"/>
      <c r="AI256" s="50"/>
      <c r="AJ256" s="50"/>
    </row>
    <row r="257" spans="33:36">
      <c r="AG257" s="50"/>
      <c r="AH257" s="50"/>
      <c r="AI257" s="50"/>
      <c r="AJ257" s="50"/>
    </row>
    <row r="258" spans="33:36">
      <c r="AG258" s="50"/>
      <c r="AH258" s="50"/>
      <c r="AI258" s="50"/>
      <c r="AJ258" s="50"/>
    </row>
    <row r="259" spans="33:36">
      <c r="AG259" s="50"/>
      <c r="AH259" s="50"/>
      <c r="AI259" s="50"/>
      <c r="AJ259" s="50"/>
    </row>
    <row r="260" spans="33:36">
      <c r="AG260" s="50"/>
      <c r="AH260" s="50"/>
      <c r="AI260" s="50"/>
      <c r="AJ260" s="50"/>
    </row>
    <row r="261" spans="33:36">
      <c r="AG261" s="50"/>
      <c r="AH261" s="50"/>
      <c r="AI261" s="50"/>
      <c r="AJ261" s="50"/>
    </row>
    <row r="262" spans="33:36">
      <c r="AG262" s="50"/>
      <c r="AH262" s="50"/>
      <c r="AI262" s="50"/>
      <c r="AJ262" s="50"/>
    </row>
    <row r="263" spans="33:36">
      <c r="AG263" s="50"/>
      <c r="AH263" s="50"/>
      <c r="AI263" s="50"/>
      <c r="AJ263" s="50"/>
    </row>
    <row r="264" spans="33:36">
      <c r="AG264" s="50"/>
      <c r="AH264" s="50"/>
      <c r="AI264" s="50"/>
      <c r="AJ264" s="50"/>
    </row>
    <row r="265" spans="33:36">
      <c r="AG265" s="50"/>
      <c r="AH265" s="50"/>
      <c r="AI265" s="50"/>
      <c r="AJ265" s="50"/>
    </row>
    <row r="266" spans="33:36">
      <c r="AG266" s="50"/>
      <c r="AH266" s="50"/>
      <c r="AI266" s="50"/>
      <c r="AJ266" s="50"/>
    </row>
    <row r="267" spans="33:36">
      <c r="AG267" s="50"/>
      <c r="AH267" s="50"/>
      <c r="AI267" s="50"/>
      <c r="AJ267" s="50"/>
    </row>
    <row r="268" spans="33:36">
      <c r="AG268" s="50"/>
      <c r="AH268" s="50"/>
      <c r="AI268" s="50"/>
      <c r="AJ268" s="50"/>
    </row>
    <row r="269" spans="33:36">
      <c r="AG269" s="50"/>
      <c r="AH269" s="50"/>
      <c r="AI269" s="50"/>
      <c r="AJ269" s="50"/>
    </row>
    <row r="270" spans="33:36">
      <c r="AG270" s="50"/>
      <c r="AH270" s="50"/>
      <c r="AI270" s="50"/>
      <c r="AJ270" s="50"/>
    </row>
    <row r="271" spans="33:36">
      <c r="AG271" s="50"/>
      <c r="AH271" s="50"/>
      <c r="AI271" s="50"/>
      <c r="AJ271" s="50"/>
    </row>
    <row r="272" spans="33:36">
      <c r="AG272" s="50"/>
      <c r="AH272" s="50"/>
      <c r="AI272" s="50"/>
      <c r="AJ272" s="50"/>
    </row>
    <row r="273" spans="33:36">
      <c r="AG273" s="50"/>
      <c r="AH273" s="50"/>
      <c r="AI273" s="50"/>
      <c r="AJ273" s="50"/>
    </row>
    <row r="274" spans="33:36">
      <c r="AG274" s="50"/>
      <c r="AH274" s="50"/>
      <c r="AI274" s="50"/>
      <c r="AJ274" s="50"/>
    </row>
    <row r="275" spans="33:36">
      <c r="AG275" s="50"/>
      <c r="AH275" s="50"/>
      <c r="AI275" s="50"/>
      <c r="AJ275" s="50"/>
    </row>
    <row r="276" spans="33:36">
      <c r="AG276" s="50"/>
      <c r="AH276" s="50"/>
      <c r="AI276" s="50"/>
      <c r="AJ276" s="50"/>
    </row>
    <row r="277" spans="33:36">
      <c r="AG277" s="50"/>
      <c r="AH277" s="50"/>
      <c r="AI277" s="50"/>
      <c r="AJ277" s="50"/>
    </row>
    <row r="278" spans="33:36">
      <c r="AG278" s="50"/>
      <c r="AH278" s="50"/>
      <c r="AI278" s="50"/>
      <c r="AJ278" s="50"/>
    </row>
    <row r="279" spans="33:36">
      <c r="AG279" s="50"/>
      <c r="AH279" s="50"/>
      <c r="AI279" s="50"/>
      <c r="AJ279" s="50"/>
    </row>
    <row r="280" spans="33:36">
      <c r="AG280" s="50"/>
      <c r="AH280" s="50"/>
      <c r="AI280" s="50"/>
      <c r="AJ280" s="50"/>
    </row>
    <row r="281" spans="33:36">
      <c r="AG281" s="50"/>
      <c r="AH281" s="50"/>
      <c r="AI281" s="50"/>
      <c r="AJ281" s="50"/>
    </row>
    <row r="282" spans="33:36">
      <c r="AG282" s="50"/>
      <c r="AH282" s="50"/>
      <c r="AI282" s="50"/>
      <c r="AJ282" s="50"/>
    </row>
    <row r="283" spans="33:36">
      <c r="AG283" s="50"/>
      <c r="AH283" s="50"/>
      <c r="AI283" s="50"/>
      <c r="AJ283" s="50"/>
    </row>
    <row r="284" spans="33:36">
      <c r="AG284" s="50"/>
      <c r="AH284" s="50"/>
      <c r="AI284" s="50"/>
      <c r="AJ284" s="50"/>
    </row>
    <row r="285" spans="33:36">
      <c r="AG285" s="50"/>
      <c r="AH285" s="50"/>
      <c r="AI285" s="50"/>
      <c r="AJ285" s="50"/>
    </row>
    <row r="286" spans="33:36">
      <c r="AG286" s="50"/>
      <c r="AH286" s="50"/>
      <c r="AI286" s="50"/>
      <c r="AJ286" s="50"/>
    </row>
    <row r="287" spans="33:36">
      <c r="AG287" s="50"/>
      <c r="AH287" s="50"/>
      <c r="AI287" s="50"/>
      <c r="AJ287" s="50"/>
    </row>
    <row r="288" spans="33:36">
      <c r="AG288" s="50"/>
      <c r="AH288" s="50"/>
      <c r="AI288" s="50"/>
      <c r="AJ288" s="50"/>
    </row>
    <row r="289" spans="33:36">
      <c r="AG289" s="50"/>
      <c r="AH289" s="50"/>
      <c r="AI289" s="50"/>
      <c r="AJ289" s="50"/>
    </row>
    <row r="290" spans="33:36">
      <c r="AG290" s="50"/>
      <c r="AH290" s="50"/>
      <c r="AI290" s="50"/>
      <c r="AJ290" s="50"/>
    </row>
    <row r="291" spans="33:36">
      <c r="AG291" s="50"/>
      <c r="AH291" s="50"/>
      <c r="AI291" s="50"/>
      <c r="AJ291" s="50"/>
    </row>
    <row r="292" spans="33:36">
      <c r="AG292" s="50"/>
      <c r="AH292" s="50"/>
      <c r="AI292" s="50"/>
      <c r="AJ292" s="50"/>
    </row>
    <row r="293" spans="33:36">
      <c r="AG293" s="50"/>
      <c r="AH293" s="50"/>
      <c r="AI293" s="50"/>
      <c r="AJ293" s="50"/>
    </row>
    <row r="294" spans="33:36">
      <c r="AG294" s="50"/>
      <c r="AH294" s="50"/>
      <c r="AI294" s="50"/>
      <c r="AJ294" s="50"/>
    </row>
    <row r="295" spans="33:36">
      <c r="AG295" s="50"/>
      <c r="AH295" s="50"/>
      <c r="AI295" s="50"/>
      <c r="AJ295" s="50"/>
    </row>
    <row r="296" spans="33:36">
      <c r="AG296" s="50"/>
      <c r="AH296" s="50"/>
      <c r="AI296" s="50"/>
      <c r="AJ296" s="50"/>
    </row>
    <row r="297" spans="33:36">
      <c r="AG297" s="50"/>
      <c r="AH297" s="50"/>
      <c r="AI297" s="50"/>
      <c r="AJ297" s="50"/>
    </row>
    <row r="298" spans="33:36">
      <c r="AG298" s="50"/>
      <c r="AH298" s="50"/>
      <c r="AI298" s="50"/>
      <c r="AJ298" s="50"/>
    </row>
    <row r="299" spans="33:36">
      <c r="AG299" s="50"/>
      <c r="AH299" s="50"/>
      <c r="AI299" s="50"/>
      <c r="AJ299" s="50"/>
    </row>
    <row r="300" spans="33:36">
      <c r="AG300" s="50"/>
      <c r="AH300" s="50"/>
      <c r="AI300" s="50"/>
      <c r="AJ300" s="50"/>
    </row>
    <row r="301" spans="33:36">
      <c r="AG301" s="50"/>
      <c r="AH301" s="50"/>
      <c r="AI301" s="50"/>
      <c r="AJ301" s="50"/>
    </row>
    <row r="302" spans="33:36">
      <c r="AG302" s="50"/>
      <c r="AH302" s="50"/>
      <c r="AI302" s="50"/>
      <c r="AJ302" s="50"/>
    </row>
    <row r="303" spans="33:36">
      <c r="AG303" s="50"/>
      <c r="AH303" s="50"/>
      <c r="AI303" s="50"/>
      <c r="AJ303" s="50"/>
    </row>
    <row r="304" spans="33:36">
      <c r="AG304" s="50"/>
      <c r="AH304" s="50"/>
      <c r="AI304" s="50"/>
      <c r="AJ304" s="50"/>
    </row>
    <row r="305" spans="33:36">
      <c r="AG305" s="50"/>
      <c r="AH305" s="50"/>
      <c r="AI305" s="50"/>
      <c r="AJ305" s="50"/>
    </row>
    <row r="306" spans="33:36">
      <c r="AG306" s="50"/>
      <c r="AH306" s="50"/>
      <c r="AI306" s="50"/>
      <c r="AJ306" s="50"/>
    </row>
    <row r="307" spans="33:36">
      <c r="AG307" s="50"/>
      <c r="AH307" s="50"/>
      <c r="AI307" s="50"/>
      <c r="AJ307" s="50"/>
    </row>
    <row r="308" spans="33:36">
      <c r="AG308" s="50"/>
      <c r="AH308" s="50"/>
      <c r="AI308" s="50"/>
      <c r="AJ308" s="50"/>
    </row>
    <row r="309" spans="33:36">
      <c r="AG309" s="50"/>
      <c r="AH309" s="50"/>
      <c r="AI309" s="50"/>
      <c r="AJ309" s="50"/>
    </row>
    <row r="310" spans="33:36">
      <c r="AG310" s="50"/>
      <c r="AH310" s="50"/>
      <c r="AI310" s="50"/>
      <c r="AJ310" s="50"/>
    </row>
    <row r="311" spans="33:36">
      <c r="AG311" s="50"/>
      <c r="AH311" s="50"/>
      <c r="AI311" s="50"/>
      <c r="AJ311" s="50"/>
    </row>
    <row r="312" spans="33:36">
      <c r="AG312" s="50"/>
      <c r="AH312" s="50"/>
      <c r="AI312" s="50"/>
      <c r="AJ312" s="50"/>
    </row>
    <row r="313" spans="33:36">
      <c r="AG313" s="50"/>
      <c r="AH313" s="50"/>
      <c r="AI313" s="50"/>
      <c r="AJ313" s="50"/>
    </row>
    <row r="314" spans="33:36">
      <c r="AG314" s="50"/>
      <c r="AH314" s="50"/>
      <c r="AI314" s="50"/>
      <c r="AJ314" s="50"/>
    </row>
    <row r="315" spans="33:36">
      <c r="AG315" s="50"/>
      <c r="AH315" s="50"/>
      <c r="AI315" s="50"/>
      <c r="AJ315" s="50"/>
    </row>
    <row r="316" spans="33:36">
      <c r="AG316" s="50"/>
      <c r="AH316" s="50"/>
      <c r="AI316" s="50"/>
      <c r="AJ316" s="50"/>
    </row>
    <row r="317" spans="33:36">
      <c r="AG317" s="50"/>
      <c r="AH317" s="50"/>
      <c r="AI317" s="50"/>
      <c r="AJ317" s="50"/>
    </row>
    <row r="318" spans="33:36">
      <c r="AG318" s="50"/>
      <c r="AH318" s="50"/>
      <c r="AI318" s="50"/>
      <c r="AJ318" s="50"/>
    </row>
    <row r="319" spans="33:36">
      <c r="AG319" s="50"/>
      <c r="AH319" s="50"/>
      <c r="AI319" s="50"/>
      <c r="AJ319" s="50"/>
    </row>
    <row r="320" spans="33:36">
      <c r="AG320" s="50"/>
      <c r="AH320" s="50"/>
      <c r="AI320" s="50"/>
      <c r="AJ320" s="50"/>
    </row>
    <row r="321" spans="33:36">
      <c r="AG321" s="50"/>
      <c r="AH321" s="50"/>
      <c r="AI321" s="50"/>
      <c r="AJ321" s="50"/>
    </row>
    <row r="322" spans="33:36">
      <c r="AG322" s="50"/>
      <c r="AH322" s="50"/>
      <c r="AI322" s="50"/>
      <c r="AJ322" s="50"/>
    </row>
    <row r="323" spans="33:36">
      <c r="AG323" s="50"/>
      <c r="AH323" s="50"/>
      <c r="AI323" s="50"/>
      <c r="AJ323" s="50"/>
    </row>
    <row r="324" spans="33:36">
      <c r="AG324" s="50"/>
      <c r="AH324" s="50"/>
      <c r="AI324" s="50"/>
      <c r="AJ324" s="50"/>
    </row>
    <row r="325" spans="33:36">
      <c r="AG325" s="50"/>
      <c r="AH325" s="50"/>
      <c r="AI325" s="50"/>
      <c r="AJ325" s="50"/>
    </row>
  </sheetData>
  <autoFilter ref="A1:AP14" xr:uid="{00000000-0009-0000-0000-000000000000}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44">
    <mergeCell ref="C7:C10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B38:AF38"/>
    <mergeCell ref="B15:B18"/>
    <mergeCell ref="C15:C18"/>
    <mergeCell ref="V15:V18"/>
    <mergeCell ref="W15:W18"/>
    <mergeCell ref="X15:X18"/>
    <mergeCell ref="B20:B22"/>
    <mergeCell ref="C20:C22"/>
    <mergeCell ref="V20:V22"/>
    <mergeCell ref="B24:B33"/>
    <mergeCell ref="C24:C33"/>
  </mergeCells>
  <pageMargins left="0.25" right="0.25" top="0.32" bottom="0.3" header="0.17" footer="0.16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E14A5-2284-4DF2-840C-68CD2BBFB3E0}">
  <dimension ref="A1:AZ183"/>
  <sheetViews>
    <sheetView topLeftCell="A45" zoomScale="60" zoomScaleNormal="60" workbookViewId="0">
      <selection activeCell="B54" sqref="B54:AF54"/>
    </sheetView>
  </sheetViews>
  <sheetFormatPr defaultRowHeight="13.5"/>
  <cols>
    <col min="1" max="1" width="4.7109375" style="50" customWidth="1"/>
    <col min="2" max="3" width="16.7109375" style="50" customWidth="1"/>
    <col min="4" max="4" width="19.5703125" style="50" customWidth="1"/>
    <col min="5" max="7" width="16.7109375" style="50" customWidth="1"/>
    <col min="8" max="8" width="18.7109375" style="50" customWidth="1"/>
    <col min="9" max="10" width="9.7109375" style="50" customWidth="1"/>
    <col min="11" max="11" width="13" style="50" customWidth="1"/>
    <col min="12" max="12" width="12.42578125" style="50" customWidth="1"/>
    <col min="13" max="13" width="9.7109375" style="50" customWidth="1"/>
    <col min="14" max="23" width="16.7109375" style="50" customWidth="1"/>
    <col min="24" max="24" width="26.28515625" style="50" customWidth="1"/>
    <col min="25" max="32" width="16.7109375" style="50" customWidth="1"/>
    <col min="33" max="36" width="16.7109375" style="117" customWidth="1"/>
    <col min="37" max="40" width="16.7109375" style="50" customWidth="1"/>
    <col min="41" max="41" width="27.5703125" style="50" customWidth="1"/>
    <col min="42" max="42" width="27.7109375" style="50" customWidth="1"/>
    <col min="43" max="43" width="8.85546875" style="50" customWidth="1"/>
    <col min="44" max="44" width="9.28515625" style="50" customWidth="1"/>
    <col min="45" max="45" width="4.140625" style="50" customWidth="1"/>
    <col min="46" max="46" width="6.5703125" style="50" customWidth="1"/>
    <col min="47" max="47" width="5.42578125" style="50" customWidth="1"/>
    <col min="48" max="48" width="5" style="50" customWidth="1"/>
    <col min="49" max="49" width="8" style="50" customWidth="1"/>
    <col min="50" max="50" width="5" style="50" customWidth="1"/>
    <col min="51" max="51" width="6.140625" style="50" customWidth="1"/>
    <col min="52" max="52" width="4.28515625" style="50" customWidth="1"/>
    <col min="53" max="53" width="36.7109375" style="50" customWidth="1"/>
    <col min="54" max="16384" width="9.140625" style="50"/>
  </cols>
  <sheetData>
    <row r="1" spans="1:52" ht="33" customHeight="1" thickBot="1">
      <c r="A1" s="886" t="s">
        <v>910</v>
      </c>
      <c r="B1" s="886"/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86"/>
      <c r="O1" s="886"/>
      <c r="P1" s="886"/>
      <c r="Q1" s="886"/>
      <c r="R1" s="886"/>
      <c r="S1" s="886"/>
      <c r="T1" s="886"/>
      <c r="U1" s="886"/>
      <c r="V1" s="886"/>
      <c r="W1" s="886"/>
      <c r="X1" s="886"/>
      <c r="Y1" s="886"/>
      <c r="Z1" s="886"/>
      <c r="AA1" s="886"/>
      <c r="AB1" s="886"/>
      <c r="AC1" s="886"/>
      <c r="AD1" s="886"/>
      <c r="AE1" s="886"/>
      <c r="AF1" s="886"/>
      <c r="AG1" s="886"/>
      <c r="AH1" s="886"/>
      <c r="AI1" s="886"/>
      <c r="AJ1" s="886"/>
      <c r="AK1" s="886"/>
      <c r="AL1" s="886"/>
      <c r="AM1" s="886"/>
      <c r="AN1" s="886"/>
      <c r="AO1" s="886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</row>
    <row r="2" spans="1:52" ht="57" customHeight="1">
      <c r="A2" s="887" t="s">
        <v>0</v>
      </c>
      <c r="B2" s="880" t="s">
        <v>1</v>
      </c>
      <c r="C2" s="891" t="s">
        <v>2</v>
      </c>
      <c r="D2" s="880" t="s">
        <v>3</v>
      </c>
      <c r="E2" s="880"/>
      <c r="F2" s="880"/>
      <c r="G2" s="880"/>
      <c r="H2" s="880"/>
      <c r="I2" s="880" t="s">
        <v>4</v>
      </c>
      <c r="J2" s="880"/>
      <c r="K2" s="880"/>
      <c r="L2" s="880"/>
      <c r="M2" s="880"/>
      <c r="N2" s="892" t="s">
        <v>911</v>
      </c>
      <c r="O2" s="892"/>
      <c r="P2" s="892"/>
      <c r="Q2" s="892"/>
      <c r="R2" s="893" t="s">
        <v>6</v>
      </c>
      <c r="S2" s="893"/>
      <c r="T2" s="893"/>
      <c r="U2" s="893"/>
      <c r="V2" s="880" t="s">
        <v>7</v>
      </c>
      <c r="W2" s="880"/>
      <c r="X2" s="880"/>
      <c r="Y2" s="880" t="s">
        <v>8</v>
      </c>
      <c r="Z2" s="880"/>
      <c r="AA2" s="880"/>
      <c r="AB2" s="880"/>
      <c r="AC2" s="880"/>
      <c r="AD2" s="880"/>
      <c r="AE2" s="880"/>
      <c r="AF2" s="880"/>
      <c r="AG2" s="880" t="s">
        <v>9</v>
      </c>
      <c r="AH2" s="880"/>
      <c r="AI2" s="880"/>
      <c r="AJ2" s="880"/>
      <c r="AK2" s="880"/>
      <c r="AL2" s="880"/>
      <c r="AM2" s="880"/>
      <c r="AN2" s="880"/>
      <c r="AO2" s="880"/>
      <c r="AP2" s="881"/>
      <c r="AQ2" s="74"/>
      <c r="AR2" s="74"/>
      <c r="AS2" s="74"/>
      <c r="AT2" s="74"/>
      <c r="AU2" s="74"/>
      <c r="AV2" s="74"/>
    </row>
    <row r="3" spans="1:52" ht="136.5" customHeight="1">
      <c r="A3" s="888"/>
      <c r="B3" s="873"/>
      <c r="C3" s="882"/>
      <c r="D3" s="882" t="s">
        <v>10</v>
      </c>
      <c r="E3" s="873" t="s">
        <v>11</v>
      </c>
      <c r="F3" s="884" t="s">
        <v>12</v>
      </c>
      <c r="G3" s="882" t="s">
        <v>13</v>
      </c>
      <c r="H3" s="885" t="s">
        <v>123</v>
      </c>
      <c r="I3" s="882" t="s">
        <v>14</v>
      </c>
      <c r="J3" s="882" t="s">
        <v>15</v>
      </c>
      <c r="K3" s="882" t="s">
        <v>16</v>
      </c>
      <c r="L3" s="882" t="s">
        <v>17</v>
      </c>
      <c r="M3" s="873" t="s">
        <v>18</v>
      </c>
      <c r="N3" s="878" t="s">
        <v>19</v>
      </c>
      <c r="O3" s="878" t="s">
        <v>20</v>
      </c>
      <c r="P3" s="878" t="s">
        <v>21</v>
      </c>
      <c r="Q3" s="879" t="s">
        <v>22</v>
      </c>
      <c r="R3" s="894"/>
      <c r="S3" s="894"/>
      <c r="T3" s="894"/>
      <c r="U3" s="894"/>
      <c r="V3" s="873" t="s">
        <v>23</v>
      </c>
      <c r="W3" s="873"/>
      <c r="X3" s="873"/>
      <c r="Y3" s="873" t="s">
        <v>118</v>
      </c>
      <c r="Z3" s="873"/>
      <c r="AA3" s="873"/>
      <c r="AB3" s="873"/>
      <c r="AC3" s="873" t="s">
        <v>24</v>
      </c>
      <c r="AD3" s="873"/>
      <c r="AE3" s="873"/>
      <c r="AF3" s="873"/>
      <c r="AG3" s="874" t="s">
        <v>25</v>
      </c>
      <c r="AH3" s="874"/>
      <c r="AI3" s="874"/>
      <c r="AJ3" s="874"/>
      <c r="AK3" s="875" t="s">
        <v>26</v>
      </c>
      <c r="AL3" s="875"/>
      <c r="AM3" s="875"/>
      <c r="AN3" s="875"/>
      <c r="AO3" s="876" t="s">
        <v>22</v>
      </c>
      <c r="AP3" s="877" t="s">
        <v>27</v>
      </c>
      <c r="AQ3" s="74"/>
      <c r="AR3" s="74"/>
      <c r="AS3" s="74"/>
      <c r="AT3" s="74"/>
      <c r="AU3" s="74"/>
      <c r="AV3" s="74"/>
    </row>
    <row r="4" spans="1:52" ht="93.75" customHeight="1">
      <c r="A4" s="888"/>
      <c r="B4" s="873"/>
      <c r="C4" s="882"/>
      <c r="D4" s="882"/>
      <c r="E4" s="873"/>
      <c r="F4" s="884"/>
      <c r="G4" s="882"/>
      <c r="H4" s="885"/>
      <c r="I4" s="882"/>
      <c r="J4" s="882"/>
      <c r="K4" s="882"/>
      <c r="L4" s="882"/>
      <c r="M4" s="873"/>
      <c r="N4" s="878"/>
      <c r="O4" s="878"/>
      <c r="P4" s="878"/>
      <c r="Q4" s="879"/>
      <c r="R4" s="118" t="s">
        <v>28</v>
      </c>
      <c r="S4" s="118" t="s">
        <v>29</v>
      </c>
      <c r="T4" s="118" t="s">
        <v>30</v>
      </c>
      <c r="U4" s="118" t="s">
        <v>31</v>
      </c>
      <c r="V4" s="7" t="s">
        <v>32</v>
      </c>
      <c r="W4" s="7" t="s">
        <v>33</v>
      </c>
      <c r="X4" s="7" t="s">
        <v>34</v>
      </c>
      <c r="Y4" s="119" t="s">
        <v>35</v>
      </c>
      <c r="Z4" s="119" t="s">
        <v>36</v>
      </c>
      <c r="AA4" s="119" t="s">
        <v>37</v>
      </c>
      <c r="AB4" s="119" t="s">
        <v>18</v>
      </c>
      <c r="AC4" s="119" t="s">
        <v>35</v>
      </c>
      <c r="AD4" s="119" t="s">
        <v>36</v>
      </c>
      <c r="AE4" s="119" t="s">
        <v>37</v>
      </c>
      <c r="AF4" s="119" t="s">
        <v>18</v>
      </c>
      <c r="AG4" s="120" t="s">
        <v>35</v>
      </c>
      <c r="AH4" s="120" t="s">
        <v>36</v>
      </c>
      <c r="AI4" s="120" t="s">
        <v>37</v>
      </c>
      <c r="AJ4" s="121" t="s">
        <v>31</v>
      </c>
      <c r="AK4" s="122" t="s">
        <v>35</v>
      </c>
      <c r="AL4" s="122" t="s">
        <v>36</v>
      </c>
      <c r="AM4" s="122" t="s">
        <v>37</v>
      </c>
      <c r="AN4" s="123" t="s">
        <v>31</v>
      </c>
      <c r="AO4" s="876"/>
      <c r="AP4" s="877"/>
      <c r="AQ4" s="1"/>
      <c r="AR4" s="1"/>
      <c r="AS4" s="74"/>
      <c r="AT4" s="1"/>
      <c r="AU4" s="1"/>
      <c r="AV4" s="1"/>
    </row>
    <row r="5" spans="1:52" ht="30.75" customHeight="1" thickBot="1">
      <c r="A5" s="889"/>
      <c r="B5" s="890"/>
      <c r="C5" s="89" t="s">
        <v>38</v>
      </c>
      <c r="D5" s="883"/>
      <c r="E5" s="89" t="s">
        <v>38</v>
      </c>
      <c r="F5" s="124"/>
      <c r="G5" s="124"/>
      <c r="H5" s="125"/>
      <c r="I5" s="19"/>
      <c r="J5" s="19"/>
      <c r="K5" s="20"/>
      <c r="L5" s="19"/>
      <c r="M5" s="19"/>
      <c r="N5" s="23" t="s">
        <v>39</v>
      </c>
      <c r="O5" s="23" t="s">
        <v>39</v>
      </c>
      <c r="P5" s="23" t="s">
        <v>39</v>
      </c>
      <c r="Q5" s="24" t="s">
        <v>39</v>
      </c>
      <c r="R5" s="126" t="s">
        <v>40</v>
      </c>
      <c r="S5" s="126" t="s">
        <v>40</v>
      </c>
      <c r="T5" s="126" t="s">
        <v>40</v>
      </c>
      <c r="U5" s="126" t="s">
        <v>40</v>
      </c>
      <c r="V5" s="19" t="s">
        <v>41</v>
      </c>
      <c r="W5" s="19" t="s">
        <v>38</v>
      </c>
      <c r="X5" s="19" t="s">
        <v>34</v>
      </c>
      <c r="Y5" s="89" t="s">
        <v>42</v>
      </c>
      <c r="Z5" s="89" t="s">
        <v>43</v>
      </c>
      <c r="AA5" s="89" t="s">
        <v>44</v>
      </c>
      <c r="AB5" s="89"/>
      <c r="AC5" s="89" t="s">
        <v>42</v>
      </c>
      <c r="AD5" s="89" t="s">
        <v>43</v>
      </c>
      <c r="AE5" s="89" t="s">
        <v>44</v>
      </c>
      <c r="AF5" s="89"/>
      <c r="AG5" s="127" t="s">
        <v>40</v>
      </c>
      <c r="AH5" s="127" t="s">
        <v>40</v>
      </c>
      <c r="AI5" s="127" t="s">
        <v>40</v>
      </c>
      <c r="AJ5" s="127" t="s">
        <v>40</v>
      </c>
      <c r="AK5" s="128" t="s">
        <v>40</v>
      </c>
      <c r="AL5" s="128" t="s">
        <v>40</v>
      </c>
      <c r="AM5" s="128" t="s">
        <v>40</v>
      </c>
      <c r="AN5" s="27" t="s">
        <v>39</v>
      </c>
      <c r="AO5" s="28" t="s">
        <v>39</v>
      </c>
      <c r="AP5" s="96" t="s">
        <v>39</v>
      </c>
      <c r="AQ5" s="1"/>
      <c r="AR5" s="1"/>
      <c r="AS5" s="1"/>
      <c r="AT5" s="1"/>
      <c r="AU5" s="1"/>
      <c r="AV5" s="1"/>
    </row>
    <row r="6" spans="1:52" ht="19.5" customHeight="1" thickBot="1">
      <c r="A6" s="344">
        <v>1</v>
      </c>
      <c r="B6" s="354">
        <v>2</v>
      </c>
      <c r="C6" s="313">
        <v>3</v>
      </c>
      <c r="D6" s="354">
        <v>4</v>
      </c>
      <c r="E6" s="313">
        <v>5</v>
      </c>
      <c r="F6" s="354">
        <v>6</v>
      </c>
      <c r="G6" s="313">
        <v>7</v>
      </c>
      <c r="H6" s="401">
        <v>8</v>
      </c>
      <c r="I6" s="313">
        <v>9</v>
      </c>
      <c r="J6" s="354">
        <v>10</v>
      </c>
      <c r="K6" s="313">
        <v>11</v>
      </c>
      <c r="L6" s="354">
        <v>12</v>
      </c>
      <c r="M6" s="313">
        <v>13</v>
      </c>
      <c r="N6" s="402">
        <v>14</v>
      </c>
      <c r="O6" s="403">
        <v>15</v>
      </c>
      <c r="P6" s="402">
        <v>16</v>
      </c>
      <c r="Q6" s="404">
        <v>17</v>
      </c>
      <c r="R6" s="405">
        <v>18</v>
      </c>
      <c r="S6" s="406">
        <v>19</v>
      </c>
      <c r="T6" s="405">
        <v>20</v>
      </c>
      <c r="U6" s="406">
        <v>21</v>
      </c>
      <c r="V6" s="354">
        <v>22</v>
      </c>
      <c r="W6" s="313">
        <v>23</v>
      </c>
      <c r="X6" s="354">
        <v>24</v>
      </c>
      <c r="Y6" s="313">
        <v>25</v>
      </c>
      <c r="Z6" s="354">
        <v>26</v>
      </c>
      <c r="AA6" s="313">
        <v>27</v>
      </c>
      <c r="AB6" s="354">
        <v>28</v>
      </c>
      <c r="AC6" s="313">
        <v>29</v>
      </c>
      <c r="AD6" s="354">
        <v>30</v>
      </c>
      <c r="AE6" s="313">
        <v>31</v>
      </c>
      <c r="AF6" s="354">
        <v>32</v>
      </c>
      <c r="AG6" s="407">
        <v>33</v>
      </c>
      <c r="AH6" s="408">
        <v>34</v>
      </c>
      <c r="AI6" s="407">
        <v>35</v>
      </c>
      <c r="AJ6" s="408">
        <v>36</v>
      </c>
      <c r="AK6" s="409">
        <v>37</v>
      </c>
      <c r="AL6" s="410">
        <v>38</v>
      </c>
      <c r="AM6" s="409">
        <v>39</v>
      </c>
      <c r="AN6" s="410">
        <v>40</v>
      </c>
      <c r="AO6" s="411">
        <v>41</v>
      </c>
      <c r="AP6" s="415">
        <v>42</v>
      </c>
      <c r="AQ6" s="2"/>
      <c r="AR6" s="5"/>
      <c r="AS6" s="2"/>
      <c r="AT6" s="5"/>
      <c r="AU6" s="2"/>
      <c r="AV6" s="111"/>
    </row>
    <row r="7" spans="1:52" ht="99" customHeight="1">
      <c r="A7" s="631">
        <v>1</v>
      </c>
      <c r="B7" s="863" t="s">
        <v>550</v>
      </c>
      <c r="C7" s="863">
        <v>35</v>
      </c>
      <c r="D7" s="632" t="s">
        <v>551</v>
      </c>
      <c r="E7" s="51">
        <v>1</v>
      </c>
      <c r="F7" s="268">
        <v>2020</v>
      </c>
      <c r="G7" s="268" t="s">
        <v>552</v>
      </c>
      <c r="H7" s="633" t="s">
        <v>127</v>
      </c>
      <c r="I7" s="634" t="s">
        <v>193</v>
      </c>
      <c r="J7" s="634" t="s">
        <v>193</v>
      </c>
      <c r="K7" s="634" t="s">
        <v>193</v>
      </c>
      <c r="L7" s="358" t="s">
        <v>130</v>
      </c>
      <c r="M7" s="634" t="s">
        <v>193</v>
      </c>
      <c r="N7" s="635">
        <v>720000</v>
      </c>
      <c r="O7" s="41">
        <v>742000</v>
      </c>
      <c r="P7" s="41">
        <v>2000</v>
      </c>
      <c r="Q7" s="636">
        <f>N7+O7+P7</f>
        <v>1464000</v>
      </c>
      <c r="R7" s="43">
        <v>0</v>
      </c>
      <c r="S7" s="43">
        <v>0</v>
      </c>
      <c r="T7" s="43">
        <v>0</v>
      </c>
      <c r="U7" s="43">
        <v>19400</v>
      </c>
      <c r="V7" s="865">
        <v>45992</v>
      </c>
      <c r="W7" s="268">
        <v>0</v>
      </c>
      <c r="X7" s="637">
        <f>W7*100/V7</f>
        <v>0</v>
      </c>
      <c r="Y7" s="39">
        <v>0</v>
      </c>
      <c r="Z7" s="39">
        <v>0</v>
      </c>
      <c r="AA7" s="39">
        <v>0</v>
      </c>
      <c r="AB7" s="39">
        <v>95</v>
      </c>
      <c r="AC7" s="39">
        <v>0</v>
      </c>
      <c r="AD7" s="39">
        <v>0</v>
      </c>
      <c r="AE7" s="39">
        <v>0</v>
      </c>
      <c r="AF7" s="39">
        <v>0</v>
      </c>
      <c r="AG7" s="44">
        <v>0</v>
      </c>
      <c r="AH7" s="44">
        <v>0</v>
      </c>
      <c r="AI7" s="44">
        <v>0</v>
      </c>
      <c r="AJ7" s="44">
        <v>0</v>
      </c>
      <c r="AK7" s="638">
        <v>0</v>
      </c>
      <c r="AL7" s="638">
        <v>0</v>
      </c>
      <c r="AM7" s="638">
        <v>0</v>
      </c>
      <c r="AN7" s="45">
        <v>0</v>
      </c>
      <c r="AO7" s="271">
        <f>AK7+AL7+AM7+AN7</f>
        <v>0</v>
      </c>
      <c r="AP7" s="639">
        <f>AO7-Q7</f>
        <v>-1464000</v>
      </c>
      <c r="AQ7" s="1"/>
      <c r="AR7" s="1"/>
      <c r="AS7" s="1"/>
      <c r="AT7" s="1"/>
      <c r="AU7" s="1"/>
      <c r="AV7" s="1"/>
    </row>
    <row r="8" spans="1:52" ht="99" customHeight="1">
      <c r="A8" s="640">
        <v>2</v>
      </c>
      <c r="B8" s="864"/>
      <c r="C8" s="864"/>
      <c r="D8" s="641" t="s">
        <v>551</v>
      </c>
      <c r="E8" s="65">
        <v>1</v>
      </c>
      <c r="F8" s="39">
        <v>2019</v>
      </c>
      <c r="G8" s="39" t="s">
        <v>553</v>
      </c>
      <c r="H8" s="40" t="s">
        <v>554</v>
      </c>
      <c r="I8" s="642" t="s">
        <v>193</v>
      </c>
      <c r="J8" s="642" t="s">
        <v>193</v>
      </c>
      <c r="K8" s="642" t="s">
        <v>193</v>
      </c>
      <c r="L8" s="7" t="s">
        <v>130</v>
      </c>
      <c r="M8" s="642" t="s">
        <v>193</v>
      </c>
      <c r="N8" s="635">
        <v>848400</v>
      </c>
      <c r="O8" s="41">
        <v>652000</v>
      </c>
      <c r="P8" s="41">
        <v>30000</v>
      </c>
      <c r="Q8" s="327">
        <f t="shared" ref="Q8:Q32" si="0">N8+O8+P8</f>
        <v>1530400</v>
      </c>
      <c r="R8" s="43">
        <v>0</v>
      </c>
      <c r="S8" s="43">
        <v>0</v>
      </c>
      <c r="T8" s="43">
        <v>0</v>
      </c>
      <c r="U8" s="43">
        <v>850</v>
      </c>
      <c r="V8" s="866"/>
      <c r="W8" s="39">
        <v>1</v>
      </c>
      <c r="X8" s="643">
        <f>W8*100/V7</f>
        <v>2.1742911810749698E-3</v>
      </c>
      <c r="Y8" s="39">
        <v>0</v>
      </c>
      <c r="Z8" s="39">
        <v>0</v>
      </c>
      <c r="AA8" s="39">
        <v>0</v>
      </c>
      <c r="AB8" s="39">
        <v>65</v>
      </c>
      <c r="AC8" s="39">
        <v>0</v>
      </c>
      <c r="AD8" s="39">
        <v>0</v>
      </c>
      <c r="AE8" s="39">
        <v>0</v>
      </c>
      <c r="AF8" s="39">
        <v>0</v>
      </c>
      <c r="AG8" s="44">
        <v>0</v>
      </c>
      <c r="AH8" s="44">
        <v>0</v>
      </c>
      <c r="AI8" s="44">
        <v>0</v>
      </c>
      <c r="AJ8" s="44">
        <v>64000</v>
      </c>
      <c r="AK8" s="45">
        <v>0</v>
      </c>
      <c r="AL8" s="45">
        <v>0</v>
      </c>
      <c r="AM8" s="45">
        <v>0</v>
      </c>
      <c r="AN8" s="45">
        <v>64000</v>
      </c>
      <c r="AO8" s="13">
        <f t="shared" ref="AO8:AO52" si="1">AK8+AL8+AM8+AN8</f>
        <v>64000</v>
      </c>
      <c r="AP8" s="644">
        <f t="shared" ref="AP8:AP52" si="2">AO8-Q8</f>
        <v>-1466400</v>
      </c>
      <c r="AQ8" s="1"/>
      <c r="AR8" s="1"/>
      <c r="AS8" s="1"/>
      <c r="AT8" s="1"/>
      <c r="AU8" s="1"/>
      <c r="AV8" s="1"/>
    </row>
    <row r="9" spans="1:52" ht="99" customHeight="1">
      <c r="A9" s="640">
        <v>3</v>
      </c>
      <c r="B9" s="864"/>
      <c r="C9" s="864"/>
      <c r="D9" s="645" t="s">
        <v>555</v>
      </c>
      <c r="E9" s="65">
        <v>1</v>
      </c>
      <c r="F9" s="65" t="s">
        <v>912</v>
      </c>
      <c r="G9" s="65" t="s">
        <v>556</v>
      </c>
      <c r="H9" s="69" t="s">
        <v>554</v>
      </c>
      <c r="I9" s="642" t="s">
        <v>193</v>
      </c>
      <c r="J9" s="642" t="s">
        <v>193</v>
      </c>
      <c r="K9" s="642" t="s">
        <v>193</v>
      </c>
      <c r="L9" s="7" t="s">
        <v>130</v>
      </c>
      <c r="M9" s="642" t="s">
        <v>193</v>
      </c>
      <c r="N9" s="67">
        <v>840000</v>
      </c>
      <c r="O9" s="67">
        <v>498500</v>
      </c>
      <c r="P9" s="67">
        <v>0</v>
      </c>
      <c r="Q9" s="327">
        <f t="shared" si="0"/>
        <v>1338500</v>
      </c>
      <c r="R9" s="43">
        <v>0</v>
      </c>
      <c r="S9" s="43">
        <v>0</v>
      </c>
      <c r="T9" s="43">
        <v>0</v>
      </c>
      <c r="U9" s="68">
        <v>950</v>
      </c>
      <c r="V9" s="866"/>
      <c r="W9" s="39">
        <v>0</v>
      </c>
      <c r="X9" s="646">
        <f>W9*100/V7</f>
        <v>0</v>
      </c>
      <c r="Y9" s="39">
        <v>0</v>
      </c>
      <c r="Z9" s="39">
        <v>0</v>
      </c>
      <c r="AA9" s="65">
        <v>162</v>
      </c>
      <c r="AB9" s="65">
        <v>0</v>
      </c>
      <c r="AC9" s="39">
        <v>0</v>
      </c>
      <c r="AD9" s="39">
        <v>0</v>
      </c>
      <c r="AE9" s="39">
        <v>0</v>
      </c>
      <c r="AF9" s="39">
        <v>0</v>
      </c>
      <c r="AG9" s="371">
        <v>0</v>
      </c>
      <c r="AH9" s="371">
        <v>0</v>
      </c>
      <c r="AI9" s="371">
        <v>0</v>
      </c>
      <c r="AJ9" s="371">
        <v>0</v>
      </c>
      <c r="AK9" s="45">
        <v>0</v>
      </c>
      <c r="AL9" s="45">
        <v>0</v>
      </c>
      <c r="AM9" s="45">
        <v>0</v>
      </c>
      <c r="AN9" s="45">
        <v>0</v>
      </c>
      <c r="AO9" s="13">
        <f t="shared" si="1"/>
        <v>0</v>
      </c>
      <c r="AP9" s="644">
        <f t="shared" si="2"/>
        <v>-1338500</v>
      </c>
      <c r="AQ9" s="1"/>
      <c r="AR9" s="1"/>
      <c r="AS9" s="1"/>
      <c r="AT9" s="1"/>
      <c r="AU9" s="1"/>
      <c r="AV9" s="1"/>
    </row>
    <row r="10" spans="1:52" ht="99" customHeight="1">
      <c r="A10" s="640">
        <v>4</v>
      </c>
      <c r="B10" s="864"/>
      <c r="C10" s="864"/>
      <c r="D10" s="645" t="s">
        <v>555</v>
      </c>
      <c r="E10" s="65">
        <v>1</v>
      </c>
      <c r="F10" s="65" t="s">
        <v>913</v>
      </c>
      <c r="G10" s="65" t="s">
        <v>557</v>
      </c>
      <c r="H10" s="69" t="s">
        <v>127</v>
      </c>
      <c r="I10" s="642" t="s">
        <v>193</v>
      </c>
      <c r="J10" s="642" t="s">
        <v>193</v>
      </c>
      <c r="K10" s="642" t="s">
        <v>193</v>
      </c>
      <c r="L10" s="7" t="s">
        <v>130</v>
      </c>
      <c r="M10" s="642" t="s">
        <v>193</v>
      </c>
      <c r="N10" s="67">
        <v>860000</v>
      </c>
      <c r="O10" s="67">
        <v>875000</v>
      </c>
      <c r="P10" s="67">
        <v>0</v>
      </c>
      <c r="Q10" s="327">
        <f t="shared" si="0"/>
        <v>1735000</v>
      </c>
      <c r="R10" s="43">
        <v>0</v>
      </c>
      <c r="S10" s="43">
        <v>0</v>
      </c>
      <c r="T10" s="43">
        <v>0</v>
      </c>
      <c r="U10" s="68">
        <v>19400</v>
      </c>
      <c r="V10" s="866"/>
      <c r="W10" s="39">
        <v>0</v>
      </c>
      <c r="X10" s="646">
        <f>W10*100/V7</f>
        <v>0</v>
      </c>
      <c r="Y10" s="39">
        <v>0</v>
      </c>
      <c r="Z10" s="39">
        <v>0</v>
      </c>
      <c r="AA10" s="65">
        <v>980</v>
      </c>
      <c r="AB10" s="65">
        <v>0</v>
      </c>
      <c r="AC10" s="39">
        <v>0</v>
      </c>
      <c r="AD10" s="39">
        <v>0</v>
      </c>
      <c r="AE10" s="39">
        <v>0</v>
      </c>
      <c r="AF10" s="39">
        <v>0</v>
      </c>
      <c r="AG10" s="371">
        <v>0</v>
      </c>
      <c r="AH10" s="371">
        <v>0</v>
      </c>
      <c r="AI10" s="371">
        <v>0</v>
      </c>
      <c r="AJ10" s="371">
        <v>0</v>
      </c>
      <c r="AK10" s="45">
        <v>0</v>
      </c>
      <c r="AL10" s="45">
        <v>0</v>
      </c>
      <c r="AM10" s="45">
        <v>0</v>
      </c>
      <c r="AN10" s="45">
        <v>0</v>
      </c>
      <c r="AO10" s="13">
        <f t="shared" si="1"/>
        <v>0</v>
      </c>
      <c r="AP10" s="644">
        <f t="shared" si="2"/>
        <v>-1735000</v>
      </c>
      <c r="AQ10" s="1"/>
      <c r="AR10" s="1"/>
      <c r="AS10" s="1"/>
      <c r="AT10" s="1"/>
      <c r="AU10" s="1"/>
      <c r="AV10" s="1"/>
    </row>
    <row r="11" spans="1:52" ht="99" customHeight="1">
      <c r="A11" s="640">
        <v>5</v>
      </c>
      <c r="B11" s="864"/>
      <c r="C11" s="864"/>
      <c r="D11" s="645" t="s">
        <v>126</v>
      </c>
      <c r="E11" s="65">
        <v>1</v>
      </c>
      <c r="F11" s="65" t="s">
        <v>914</v>
      </c>
      <c r="G11" s="65" t="s">
        <v>558</v>
      </c>
      <c r="H11" s="69" t="s">
        <v>554</v>
      </c>
      <c r="I11" s="642" t="s">
        <v>193</v>
      </c>
      <c r="J11" s="642" t="s">
        <v>193</v>
      </c>
      <c r="K11" s="642" t="s">
        <v>193</v>
      </c>
      <c r="L11" s="7" t="s">
        <v>130</v>
      </c>
      <c r="M11" s="642" t="s">
        <v>193</v>
      </c>
      <c r="N11" s="67">
        <v>960000</v>
      </c>
      <c r="O11" s="67">
        <v>745000</v>
      </c>
      <c r="P11" s="67">
        <v>178500</v>
      </c>
      <c r="Q11" s="327">
        <f t="shared" si="0"/>
        <v>1883500</v>
      </c>
      <c r="R11" s="43">
        <v>0</v>
      </c>
      <c r="S11" s="43">
        <v>0</v>
      </c>
      <c r="T11" s="43">
        <v>0</v>
      </c>
      <c r="U11" s="68">
        <v>8400</v>
      </c>
      <c r="V11" s="866"/>
      <c r="W11" s="39">
        <v>0</v>
      </c>
      <c r="X11" s="646">
        <f>W11*100/V7</f>
        <v>0</v>
      </c>
      <c r="Y11" s="39">
        <v>0</v>
      </c>
      <c r="Z11" s="39">
        <v>0</v>
      </c>
      <c r="AA11" s="39">
        <v>0</v>
      </c>
      <c r="AB11" s="65">
        <v>51</v>
      </c>
      <c r="AC11" s="39">
        <v>0</v>
      </c>
      <c r="AD11" s="39">
        <v>0</v>
      </c>
      <c r="AE11" s="39">
        <v>0</v>
      </c>
      <c r="AF11" s="39">
        <v>0</v>
      </c>
      <c r="AG11" s="371">
        <v>0</v>
      </c>
      <c r="AH11" s="371">
        <v>0</v>
      </c>
      <c r="AI11" s="371">
        <v>0</v>
      </c>
      <c r="AJ11" s="371">
        <v>0</v>
      </c>
      <c r="AK11" s="45">
        <v>0</v>
      </c>
      <c r="AL11" s="45">
        <v>0</v>
      </c>
      <c r="AM11" s="45">
        <v>0</v>
      </c>
      <c r="AN11" s="45">
        <v>0</v>
      </c>
      <c r="AO11" s="13">
        <f t="shared" si="1"/>
        <v>0</v>
      </c>
      <c r="AP11" s="644">
        <f t="shared" si="2"/>
        <v>-1883500</v>
      </c>
      <c r="AQ11" s="1"/>
      <c r="AR11" s="1"/>
      <c r="AS11" s="1"/>
      <c r="AT11" s="1"/>
      <c r="AU11" s="1"/>
      <c r="AV11" s="1"/>
    </row>
    <row r="12" spans="1:52" ht="99" customHeight="1">
      <c r="A12" s="640">
        <v>6</v>
      </c>
      <c r="B12" s="864"/>
      <c r="C12" s="864"/>
      <c r="D12" s="645" t="s">
        <v>323</v>
      </c>
      <c r="E12" s="65">
        <v>1</v>
      </c>
      <c r="F12" s="65" t="s">
        <v>915</v>
      </c>
      <c r="G12" s="66" t="s">
        <v>559</v>
      </c>
      <c r="H12" s="69" t="s">
        <v>127</v>
      </c>
      <c r="I12" s="642" t="s">
        <v>193</v>
      </c>
      <c r="J12" s="642" t="s">
        <v>193</v>
      </c>
      <c r="K12" s="642" t="s">
        <v>193</v>
      </c>
      <c r="L12" s="7" t="s">
        <v>130</v>
      </c>
      <c r="M12" s="642" t="s">
        <v>193</v>
      </c>
      <c r="N12" s="67">
        <v>1100000</v>
      </c>
      <c r="O12" s="67">
        <v>865000</v>
      </c>
      <c r="P12" s="67">
        <v>0</v>
      </c>
      <c r="Q12" s="327">
        <f t="shared" si="0"/>
        <v>1965000</v>
      </c>
      <c r="R12" s="43">
        <v>0</v>
      </c>
      <c r="S12" s="43">
        <v>0</v>
      </c>
      <c r="T12" s="43">
        <v>0</v>
      </c>
      <c r="U12" s="68">
        <v>19500</v>
      </c>
      <c r="V12" s="866"/>
      <c r="W12" s="39">
        <v>0</v>
      </c>
      <c r="X12" s="646">
        <f>W12*100/V7</f>
        <v>0</v>
      </c>
      <c r="Y12" s="39">
        <v>0</v>
      </c>
      <c r="Z12" s="39">
        <v>0</v>
      </c>
      <c r="AA12" s="39">
        <v>0</v>
      </c>
      <c r="AB12" s="65">
        <v>52</v>
      </c>
      <c r="AC12" s="39">
        <v>0</v>
      </c>
      <c r="AD12" s="39">
        <v>0</v>
      </c>
      <c r="AE12" s="39">
        <v>0</v>
      </c>
      <c r="AF12" s="39">
        <v>0</v>
      </c>
      <c r="AG12" s="371">
        <v>0</v>
      </c>
      <c r="AH12" s="371">
        <v>0</v>
      </c>
      <c r="AI12" s="371">
        <v>0</v>
      </c>
      <c r="AJ12" s="371">
        <v>0</v>
      </c>
      <c r="AK12" s="45">
        <v>0</v>
      </c>
      <c r="AL12" s="45">
        <v>0</v>
      </c>
      <c r="AM12" s="45">
        <v>0</v>
      </c>
      <c r="AN12" s="45">
        <v>0</v>
      </c>
      <c r="AO12" s="13">
        <f t="shared" si="1"/>
        <v>0</v>
      </c>
      <c r="AP12" s="644">
        <f t="shared" si="2"/>
        <v>-1965000</v>
      </c>
      <c r="AQ12" s="1"/>
      <c r="AR12" s="1"/>
      <c r="AS12" s="1"/>
      <c r="AT12" s="1"/>
      <c r="AU12" s="1"/>
      <c r="AV12" s="1"/>
    </row>
    <row r="13" spans="1:52" ht="99" customHeight="1">
      <c r="A13" s="640">
        <v>7</v>
      </c>
      <c r="B13" s="864"/>
      <c r="C13" s="864"/>
      <c r="D13" s="647" t="s">
        <v>560</v>
      </c>
      <c r="E13" s="65">
        <v>1</v>
      </c>
      <c r="F13" s="65" t="s">
        <v>916</v>
      </c>
      <c r="G13" s="65" t="s">
        <v>561</v>
      </c>
      <c r="H13" s="69" t="s">
        <v>60</v>
      </c>
      <c r="I13" s="642" t="s">
        <v>193</v>
      </c>
      <c r="J13" s="642" t="s">
        <v>193</v>
      </c>
      <c r="K13" s="642" t="s">
        <v>193</v>
      </c>
      <c r="L13" s="7" t="s">
        <v>130</v>
      </c>
      <c r="M13" s="642" t="s">
        <v>193</v>
      </c>
      <c r="N13" s="67">
        <v>880000</v>
      </c>
      <c r="O13" s="67">
        <v>0</v>
      </c>
      <c r="P13" s="67">
        <v>0</v>
      </c>
      <c r="Q13" s="327">
        <f t="shared" si="0"/>
        <v>880000</v>
      </c>
      <c r="R13" s="43">
        <v>0</v>
      </c>
      <c r="S13" s="43">
        <v>0</v>
      </c>
      <c r="T13" s="43">
        <v>0</v>
      </c>
      <c r="U13" s="68">
        <v>0</v>
      </c>
      <c r="V13" s="866"/>
      <c r="W13" s="39">
        <v>0</v>
      </c>
      <c r="X13" s="646">
        <f>W13*100/V7</f>
        <v>0</v>
      </c>
      <c r="Y13" s="39">
        <v>0</v>
      </c>
      <c r="Z13" s="39">
        <v>0</v>
      </c>
      <c r="AA13" s="39">
        <v>0</v>
      </c>
      <c r="AB13" s="65">
        <v>16</v>
      </c>
      <c r="AC13" s="39">
        <v>0</v>
      </c>
      <c r="AD13" s="39">
        <v>0</v>
      </c>
      <c r="AE13" s="39">
        <v>0</v>
      </c>
      <c r="AF13" s="39">
        <v>0</v>
      </c>
      <c r="AG13" s="371">
        <v>0</v>
      </c>
      <c r="AH13" s="371">
        <v>0</v>
      </c>
      <c r="AI13" s="371">
        <v>0</v>
      </c>
      <c r="AJ13" s="371">
        <v>0</v>
      </c>
      <c r="AK13" s="45">
        <v>0</v>
      </c>
      <c r="AL13" s="45">
        <v>0</v>
      </c>
      <c r="AM13" s="45">
        <v>0</v>
      </c>
      <c r="AN13" s="45">
        <v>0</v>
      </c>
      <c r="AO13" s="13">
        <f t="shared" si="1"/>
        <v>0</v>
      </c>
      <c r="AP13" s="644">
        <f t="shared" si="2"/>
        <v>-880000</v>
      </c>
      <c r="AQ13" s="1"/>
      <c r="AR13" s="1"/>
      <c r="AS13" s="1"/>
      <c r="AT13" s="1"/>
      <c r="AU13" s="1"/>
      <c r="AV13" s="1"/>
    </row>
    <row r="14" spans="1:52" ht="99" customHeight="1">
      <c r="A14" s="640">
        <v>8</v>
      </c>
      <c r="B14" s="864"/>
      <c r="C14" s="864"/>
      <c r="D14" s="645" t="s">
        <v>562</v>
      </c>
      <c r="E14" s="65">
        <v>1</v>
      </c>
      <c r="F14" s="65" t="s">
        <v>917</v>
      </c>
      <c r="G14" s="65" t="s">
        <v>563</v>
      </c>
      <c r="H14" s="69" t="s">
        <v>127</v>
      </c>
      <c r="I14" s="642" t="s">
        <v>193</v>
      </c>
      <c r="J14" s="642" t="s">
        <v>193</v>
      </c>
      <c r="K14" s="642" t="s">
        <v>193</v>
      </c>
      <c r="L14" s="7" t="s">
        <v>130</v>
      </c>
      <c r="M14" s="642" t="s">
        <v>193</v>
      </c>
      <c r="N14" s="67">
        <v>780000</v>
      </c>
      <c r="O14" s="67">
        <v>0</v>
      </c>
      <c r="P14" s="67">
        <v>0</v>
      </c>
      <c r="Q14" s="327">
        <f t="shared" si="0"/>
        <v>780000</v>
      </c>
      <c r="R14" s="68">
        <v>0</v>
      </c>
      <c r="S14" s="68">
        <v>0</v>
      </c>
      <c r="T14" s="68">
        <v>0</v>
      </c>
      <c r="U14" s="68">
        <v>0</v>
      </c>
      <c r="V14" s="866"/>
      <c r="W14" s="39">
        <v>0</v>
      </c>
      <c r="X14" s="646">
        <f>W14*100/V7</f>
        <v>0</v>
      </c>
      <c r="Y14" s="65">
        <v>0</v>
      </c>
      <c r="Z14" s="65">
        <v>0</v>
      </c>
      <c r="AA14" s="65">
        <v>0</v>
      </c>
      <c r="AB14" s="65">
        <v>0</v>
      </c>
      <c r="AC14" s="39">
        <v>0</v>
      </c>
      <c r="AD14" s="39">
        <v>0</v>
      </c>
      <c r="AE14" s="39">
        <v>0</v>
      </c>
      <c r="AF14" s="39">
        <v>0</v>
      </c>
      <c r="AG14" s="44">
        <v>0</v>
      </c>
      <c r="AH14" s="44">
        <v>0</v>
      </c>
      <c r="AI14" s="44">
        <v>0</v>
      </c>
      <c r="AJ14" s="44">
        <v>0</v>
      </c>
      <c r="AK14" s="45">
        <v>0</v>
      </c>
      <c r="AL14" s="45">
        <v>0</v>
      </c>
      <c r="AM14" s="45">
        <v>0</v>
      </c>
      <c r="AN14" s="45">
        <v>0</v>
      </c>
      <c r="AO14" s="13">
        <f t="shared" si="1"/>
        <v>0</v>
      </c>
      <c r="AP14" s="644">
        <f t="shared" si="2"/>
        <v>-780000</v>
      </c>
      <c r="AQ14" s="1"/>
      <c r="AR14" s="1"/>
      <c r="AS14" s="1"/>
      <c r="AT14" s="1"/>
      <c r="AU14" s="1"/>
      <c r="AV14" s="1"/>
    </row>
    <row r="15" spans="1:52" ht="99" customHeight="1">
      <c r="A15" s="640">
        <v>9</v>
      </c>
      <c r="B15" s="864"/>
      <c r="C15" s="864"/>
      <c r="D15" s="645" t="s">
        <v>562</v>
      </c>
      <c r="E15" s="65">
        <v>1</v>
      </c>
      <c r="F15" s="65" t="s">
        <v>917</v>
      </c>
      <c r="G15" s="66" t="s">
        <v>918</v>
      </c>
      <c r="H15" s="69" t="s">
        <v>127</v>
      </c>
      <c r="I15" s="642" t="s">
        <v>193</v>
      </c>
      <c r="J15" s="642" t="s">
        <v>193</v>
      </c>
      <c r="K15" s="642" t="s">
        <v>193</v>
      </c>
      <c r="L15" s="7" t="s">
        <v>130</v>
      </c>
      <c r="M15" s="642" t="s">
        <v>193</v>
      </c>
      <c r="N15" s="67">
        <v>800000</v>
      </c>
      <c r="O15" s="67">
        <v>195000</v>
      </c>
      <c r="P15" s="67">
        <v>67500</v>
      </c>
      <c r="Q15" s="327">
        <f t="shared" si="0"/>
        <v>1062500</v>
      </c>
      <c r="R15" s="68">
        <v>0</v>
      </c>
      <c r="S15" s="68">
        <v>0</v>
      </c>
      <c r="T15" s="68">
        <v>0</v>
      </c>
      <c r="U15" s="68">
        <v>27400</v>
      </c>
      <c r="V15" s="866"/>
      <c r="W15" s="39">
        <v>0</v>
      </c>
      <c r="X15" s="646">
        <f>W15*100/V7</f>
        <v>0</v>
      </c>
      <c r="Y15" s="65">
        <v>0</v>
      </c>
      <c r="Z15" s="65">
        <v>0</v>
      </c>
      <c r="AA15" s="65">
        <v>0</v>
      </c>
      <c r="AB15" s="65">
        <v>32</v>
      </c>
      <c r="AC15" s="39">
        <v>0</v>
      </c>
      <c r="AD15" s="39">
        <v>0</v>
      </c>
      <c r="AE15" s="39">
        <v>0</v>
      </c>
      <c r="AF15" s="39">
        <v>0</v>
      </c>
      <c r="AG15" s="44">
        <v>0</v>
      </c>
      <c r="AH15" s="44">
        <v>0</v>
      </c>
      <c r="AI15" s="44">
        <v>0</v>
      </c>
      <c r="AJ15" s="44">
        <v>0</v>
      </c>
      <c r="AK15" s="45">
        <v>0</v>
      </c>
      <c r="AL15" s="45">
        <v>0</v>
      </c>
      <c r="AM15" s="45">
        <v>0</v>
      </c>
      <c r="AN15" s="45">
        <v>0</v>
      </c>
      <c r="AO15" s="13">
        <f t="shared" si="1"/>
        <v>0</v>
      </c>
      <c r="AP15" s="644">
        <f t="shared" si="2"/>
        <v>-1062500</v>
      </c>
      <c r="AQ15" s="1"/>
      <c r="AR15" s="1"/>
      <c r="AS15" s="1"/>
      <c r="AT15" s="1"/>
      <c r="AU15" s="1"/>
      <c r="AV15" s="1"/>
    </row>
    <row r="16" spans="1:52" ht="99" customHeight="1">
      <c r="A16" s="640">
        <v>10</v>
      </c>
      <c r="B16" s="864"/>
      <c r="C16" s="864"/>
      <c r="D16" s="648" t="s">
        <v>564</v>
      </c>
      <c r="E16" s="649">
        <v>1</v>
      </c>
      <c r="F16" s="650" t="s">
        <v>919</v>
      </c>
      <c r="G16" s="651" t="s">
        <v>565</v>
      </c>
      <c r="H16" s="40" t="s">
        <v>554</v>
      </c>
      <c r="I16" s="652" t="s">
        <v>193</v>
      </c>
      <c r="J16" s="652" t="s">
        <v>193</v>
      </c>
      <c r="K16" s="651" t="s">
        <v>130</v>
      </c>
      <c r="L16" s="652" t="s">
        <v>193</v>
      </c>
      <c r="M16" s="652" t="s">
        <v>193</v>
      </c>
      <c r="N16" s="317">
        <v>720000</v>
      </c>
      <c r="O16" s="317">
        <v>945000</v>
      </c>
      <c r="P16" s="317">
        <v>15000</v>
      </c>
      <c r="Q16" s="327">
        <f t="shared" si="0"/>
        <v>1680000</v>
      </c>
      <c r="R16" s="318">
        <v>0</v>
      </c>
      <c r="S16" s="319">
        <v>0</v>
      </c>
      <c r="T16" s="319">
        <v>0</v>
      </c>
      <c r="U16" s="318">
        <v>2800</v>
      </c>
      <c r="V16" s="866"/>
      <c r="W16" s="47">
        <v>0</v>
      </c>
      <c r="X16" s="653">
        <f>W16*100/V7</f>
        <v>0</v>
      </c>
      <c r="Y16" s="309">
        <v>0</v>
      </c>
      <c r="Z16" s="309">
        <v>0</v>
      </c>
      <c r="AA16" s="309">
        <v>0</v>
      </c>
      <c r="AB16" s="47">
        <v>65</v>
      </c>
      <c r="AC16" s="47">
        <v>0</v>
      </c>
      <c r="AD16" s="47">
        <v>0</v>
      </c>
      <c r="AE16" s="47">
        <v>0</v>
      </c>
      <c r="AF16" s="47">
        <v>0</v>
      </c>
      <c r="AG16" s="44">
        <v>0</v>
      </c>
      <c r="AH16" s="44">
        <v>0</v>
      </c>
      <c r="AI16" s="44">
        <v>0</v>
      </c>
      <c r="AJ16" s="44">
        <v>0</v>
      </c>
      <c r="AK16" s="45">
        <v>0</v>
      </c>
      <c r="AL16" s="45">
        <v>0</v>
      </c>
      <c r="AM16" s="45">
        <v>0</v>
      </c>
      <c r="AN16" s="45">
        <v>0</v>
      </c>
      <c r="AO16" s="13">
        <f t="shared" si="1"/>
        <v>0</v>
      </c>
      <c r="AP16" s="644">
        <f t="shared" si="2"/>
        <v>-1680000</v>
      </c>
      <c r="AQ16" s="1"/>
      <c r="AR16" s="1"/>
      <c r="AS16" s="1"/>
      <c r="AT16" s="1"/>
      <c r="AU16" s="1"/>
      <c r="AV16" s="1"/>
    </row>
    <row r="17" spans="1:48" ht="99" customHeight="1">
      <c r="A17" s="640">
        <v>11</v>
      </c>
      <c r="B17" s="864"/>
      <c r="C17" s="864"/>
      <c r="D17" s="654" t="s">
        <v>564</v>
      </c>
      <c r="E17" s="315">
        <v>1</v>
      </c>
      <c r="F17" s="316" t="s">
        <v>919</v>
      </c>
      <c r="G17" s="314" t="s">
        <v>566</v>
      </c>
      <c r="H17" s="40" t="s">
        <v>554</v>
      </c>
      <c r="I17" s="642" t="s">
        <v>193</v>
      </c>
      <c r="J17" s="642" t="s">
        <v>193</v>
      </c>
      <c r="K17" s="314" t="s">
        <v>130</v>
      </c>
      <c r="L17" s="642" t="s">
        <v>193</v>
      </c>
      <c r="M17" s="642" t="s">
        <v>193</v>
      </c>
      <c r="N17" s="317">
        <v>960000</v>
      </c>
      <c r="O17" s="317">
        <v>985400</v>
      </c>
      <c r="P17" s="317">
        <v>22540</v>
      </c>
      <c r="Q17" s="327">
        <f t="shared" si="0"/>
        <v>1967940</v>
      </c>
      <c r="R17" s="318">
        <v>0</v>
      </c>
      <c r="S17" s="318">
        <v>0</v>
      </c>
      <c r="T17" s="318">
        <v>0</v>
      </c>
      <c r="U17" s="318">
        <v>2740</v>
      </c>
      <c r="V17" s="866"/>
      <c r="W17" s="39">
        <v>0</v>
      </c>
      <c r="X17" s="646">
        <f>W17*100/V7</f>
        <v>0</v>
      </c>
      <c r="Y17" s="65">
        <v>0</v>
      </c>
      <c r="Z17" s="65">
        <v>0</v>
      </c>
      <c r="AA17" s="65">
        <v>0</v>
      </c>
      <c r="AB17" s="315">
        <v>61</v>
      </c>
      <c r="AC17" s="39">
        <v>0</v>
      </c>
      <c r="AD17" s="39">
        <v>0</v>
      </c>
      <c r="AE17" s="39">
        <v>0</v>
      </c>
      <c r="AF17" s="39">
        <v>0</v>
      </c>
      <c r="AG17" s="44">
        <v>0</v>
      </c>
      <c r="AH17" s="44">
        <v>0</v>
      </c>
      <c r="AI17" s="44">
        <v>0</v>
      </c>
      <c r="AJ17" s="44">
        <v>0</v>
      </c>
      <c r="AK17" s="45">
        <v>0</v>
      </c>
      <c r="AL17" s="45">
        <v>0</v>
      </c>
      <c r="AM17" s="45">
        <v>0</v>
      </c>
      <c r="AN17" s="45">
        <v>0</v>
      </c>
      <c r="AO17" s="13">
        <f t="shared" si="1"/>
        <v>0</v>
      </c>
      <c r="AP17" s="644">
        <f t="shared" si="2"/>
        <v>-1967940</v>
      </c>
      <c r="AQ17" s="1"/>
      <c r="AR17" s="1"/>
      <c r="AS17" s="1"/>
      <c r="AT17" s="1"/>
      <c r="AU17" s="1"/>
      <c r="AV17" s="1"/>
    </row>
    <row r="18" spans="1:48" ht="99" customHeight="1">
      <c r="A18" s="640">
        <v>12</v>
      </c>
      <c r="B18" s="864"/>
      <c r="C18" s="864"/>
      <c r="D18" s="654" t="s">
        <v>567</v>
      </c>
      <c r="E18" s="315">
        <v>1</v>
      </c>
      <c r="F18" s="316">
        <v>43747</v>
      </c>
      <c r="G18" s="315" t="s">
        <v>568</v>
      </c>
      <c r="H18" s="40" t="s">
        <v>554</v>
      </c>
      <c r="I18" s="642" t="s">
        <v>193</v>
      </c>
      <c r="J18" s="642" t="s">
        <v>193</v>
      </c>
      <c r="K18" s="314" t="s">
        <v>130</v>
      </c>
      <c r="L18" s="642" t="s">
        <v>193</v>
      </c>
      <c r="M18" s="642" t="s">
        <v>193</v>
      </c>
      <c r="N18" s="317">
        <v>965400</v>
      </c>
      <c r="O18" s="317">
        <v>795400</v>
      </c>
      <c r="P18" s="317">
        <v>352400</v>
      </c>
      <c r="Q18" s="327">
        <f t="shared" si="0"/>
        <v>2113200</v>
      </c>
      <c r="R18" s="318">
        <v>0</v>
      </c>
      <c r="S18" s="318">
        <v>0</v>
      </c>
      <c r="T18" s="318">
        <v>840</v>
      </c>
      <c r="U18" s="318">
        <v>0</v>
      </c>
      <c r="V18" s="866"/>
      <c r="W18" s="39">
        <v>0</v>
      </c>
      <c r="X18" s="646">
        <f>W18*100/V7</f>
        <v>0</v>
      </c>
      <c r="Y18" s="65">
        <v>0</v>
      </c>
      <c r="Z18" s="65">
        <v>0</v>
      </c>
      <c r="AA18" s="315">
        <v>58</v>
      </c>
      <c r="AB18" s="65">
        <v>0</v>
      </c>
      <c r="AC18" s="39">
        <v>0</v>
      </c>
      <c r="AD18" s="39">
        <v>0</v>
      </c>
      <c r="AE18" s="39">
        <v>0</v>
      </c>
      <c r="AF18" s="39">
        <v>0</v>
      </c>
      <c r="AG18" s="44">
        <v>0</v>
      </c>
      <c r="AH18" s="44">
        <v>0</v>
      </c>
      <c r="AI18" s="44">
        <v>0</v>
      </c>
      <c r="AJ18" s="44">
        <v>0</v>
      </c>
      <c r="AK18" s="45">
        <v>0</v>
      </c>
      <c r="AL18" s="45">
        <v>0</v>
      </c>
      <c r="AM18" s="45">
        <v>0</v>
      </c>
      <c r="AN18" s="45">
        <v>0</v>
      </c>
      <c r="AO18" s="13">
        <f t="shared" si="1"/>
        <v>0</v>
      </c>
      <c r="AP18" s="644">
        <f t="shared" si="2"/>
        <v>-2113200</v>
      </c>
      <c r="AQ18" s="1"/>
      <c r="AR18" s="1"/>
      <c r="AS18" s="1"/>
      <c r="AT18" s="1"/>
      <c r="AU18" s="1"/>
      <c r="AV18" s="1"/>
    </row>
    <row r="19" spans="1:48" ht="99" customHeight="1">
      <c r="A19" s="640">
        <v>13</v>
      </c>
      <c r="B19" s="864"/>
      <c r="C19" s="864"/>
      <c r="D19" s="654" t="s">
        <v>569</v>
      </c>
      <c r="E19" s="320">
        <v>1</v>
      </c>
      <c r="F19" s="316" t="s">
        <v>72</v>
      </c>
      <c r="G19" s="314" t="s">
        <v>73</v>
      </c>
      <c r="H19" s="40" t="s">
        <v>554</v>
      </c>
      <c r="I19" s="642" t="s">
        <v>193</v>
      </c>
      <c r="J19" s="642" t="s">
        <v>193</v>
      </c>
      <c r="K19" s="314" t="s">
        <v>130</v>
      </c>
      <c r="L19" s="642" t="s">
        <v>193</v>
      </c>
      <c r="M19" s="642" t="s">
        <v>193</v>
      </c>
      <c r="N19" s="41">
        <v>840000</v>
      </c>
      <c r="O19" s="317">
        <v>854640</v>
      </c>
      <c r="P19" s="321">
        <v>85000</v>
      </c>
      <c r="Q19" s="327">
        <f t="shared" si="0"/>
        <v>1779640</v>
      </c>
      <c r="R19" s="322">
        <v>0</v>
      </c>
      <c r="S19" s="322">
        <v>3954</v>
      </c>
      <c r="T19" s="322">
        <v>0</v>
      </c>
      <c r="U19" s="322">
        <v>0</v>
      </c>
      <c r="V19" s="866"/>
      <c r="W19" s="39">
        <v>0</v>
      </c>
      <c r="X19" s="646">
        <f>W19*100/V7</f>
        <v>0</v>
      </c>
      <c r="Y19" s="65">
        <v>0</v>
      </c>
      <c r="Z19" s="320">
        <v>952</v>
      </c>
      <c r="AA19" s="65">
        <v>0</v>
      </c>
      <c r="AB19" s="65">
        <v>0</v>
      </c>
      <c r="AC19" s="39">
        <v>0</v>
      </c>
      <c r="AD19" s="39">
        <v>0</v>
      </c>
      <c r="AE19" s="39">
        <v>0</v>
      </c>
      <c r="AF19" s="39">
        <v>0</v>
      </c>
      <c r="AG19" s="44">
        <v>0</v>
      </c>
      <c r="AH19" s="44">
        <v>0</v>
      </c>
      <c r="AI19" s="44">
        <v>0</v>
      </c>
      <c r="AJ19" s="44">
        <v>0</v>
      </c>
      <c r="AK19" s="45">
        <v>0</v>
      </c>
      <c r="AL19" s="45">
        <v>0</v>
      </c>
      <c r="AM19" s="45">
        <v>0</v>
      </c>
      <c r="AN19" s="45">
        <v>0</v>
      </c>
      <c r="AO19" s="13">
        <f t="shared" si="1"/>
        <v>0</v>
      </c>
      <c r="AP19" s="644">
        <f t="shared" si="2"/>
        <v>-1779640</v>
      </c>
      <c r="AQ19" s="1"/>
      <c r="AR19" s="1"/>
      <c r="AS19" s="1"/>
      <c r="AT19" s="1"/>
      <c r="AU19" s="1"/>
      <c r="AV19" s="1"/>
    </row>
    <row r="20" spans="1:48" ht="99" customHeight="1">
      <c r="A20" s="640">
        <v>14</v>
      </c>
      <c r="B20" s="864"/>
      <c r="C20" s="864"/>
      <c r="D20" s="654" t="s">
        <v>570</v>
      </c>
      <c r="E20" s="320">
        <v>1</v>
      </c>
      <c r="F20" s="316" t="s">
        <v>920</v>
      </c>
      <c r="G20" s="314" t="s">
        <v>571</v>
      </c>
      <c r="H20" s="40" t="s">
        <v>554</v>
      </c>
      <c r="I20" s="642" t="s">
        <v>193</v>
      </c>
      <c r="J20" s="642" t="s">
        <v>193</v>
      </c>
      <c r="K20" s="314" t="s">
        <v>130</v>
      </c>
      <c r="L20" s="642" t="s">
        <v>193</v>
      </c>
      <c r="M20" s="642" t="s">
        <v>193</v>
      </c>
      <c r="N20" s="41">
        <v>960000</v>
      </c>
      <c r="O20" s="317">
        <v>154200</v>
      </c>
      <c r="P20" s="321">
        <v>68500</v>
      </c>
      <c r="Q20" s="655">
        <f t="shared" si="0"/>
        <v>1182700</v>
      </c>
      <c r="R20" s="322">
        <v>0</v>
      </c>
      <c r="S20" s="322">
        <v>0</v>
      </c>
      <c r="T20" s="322">
        <v>0</v>
      </c>
      <c r="U20" s="322">
        <v>6540</v>
      </c>
      <c r="V20" s="866"/>
      <c r="W20" s="39">
        <v>0</v>
      </c>
      <c r="X20" s="646">
        <f>W20*100/V7</f>
        <v>0</v>
      </c>
      <c r="Y20" s="65">
        <v>0</v>
      </c>
      <c r="Z20" s="65">
        <v>0</v>
      </c>
      <c r="AA20" s="65">
        <v>0</v>
      </c>
      <c r="AB20" s="65">
        <v>42</v>
      </c>
      <c r="AC20" s="39">
        <v>0</v>
      </c>
      <c r="AD20" s="39">
        <v>0</v>
      </c>
      <c r="AE20" s="39">
        <v>0</v>
      </c>
      <c r="AF20" s="39">
        <v>0</v>
      </c>
      <c r="AG20" s="44">
        <v>0</v>
      </c>
      <c r="AH20" s="44">
        <v>0</v>
      </c>
      <c r="AI20" s="44">
        <v>0</v>
      </c>
      <c r="AJ20" s="44">
        <v>0</v>
      </c>
      <c r="AK20" s="45">
        <v>0</v>
      </c>
      <c r="AL20" s="45">
        <v>0</v>
      </c>
      <c r="AM20" s="45">
        <v>0</v>
      </c>
      <c r="AN20" s="45">
        <v>0</v>
      </c>
      <c r="AO20" s="13">
        <f t="shared" si="1"/>
        <v>0</v>
      </c>
      <c r="AP20" s="644">
        <f t="shared" si="2"/>
        <v>-1182700</v>
      </c>
      <c r="AQ20" s="1"/>
      <c r="AR20" s="1"/>
      <c r="AS20" s="1"/>
      <c r="AT20" s="1"/>
      <c r="AU20" s="1"/>
      <c r="AV20" s="1"/>
    </row>
    <row r="21" spans="1:48" ht="99" customHeight="1">
      <c r="A21" s="281">
        <v>15</v>
      </c>
      <c r="B21" s="864"/>
      <c r="C21" s="864"/>
      <c r="D21" s="654" t="s">
        <v>570</v>
      </c>
      <c r="E21" s="320">
        <v>1</v>
      </c>
      <c r="F21" s="316" t="s">
        <v>921</v>
      </c>
      <c r="G21" s="314" t="s">
        <v>922</v>
      </c>
      <c r="H21" s="69" t="s">
        <v>127</v>
      </c>
      <c r="I21" s="642" t="s">
        <v>193</v>
      </c>
      <c r="J21" s="642" t="s">
        <v>193</v>
      </c>
      <c r="K21" s="642" t="s">
        <v>193</v>
      </c>
      <c r="L21" s="7" t="s">
        <v>130</v>
      </c>
      <c r="M21" s="642" t="s">
        <v>193</v>
      </c>
      <c r="N21" s="41">
        <v>960000</v>
      </c>
      <c r="O21" s="317">
        <v>2018501</v>
      </c>
      <c r="P21" s="321">
        <v>65000</v>
      </c>
      <c r="Q21" s="655">
        <f t="shared" si="0"/>
        <v>3043501</v>
      </c>
      <c r="R21" s="322">
        <v>0</v>
      </c>
      <c r="S21" s="322">
        <v>0</v>
      </c>
      <c r="T21" s="322">
        <v>0</v>
      </c>
      <c r="U21" s="322">
        <v>6540</v>
      </c>
      <c r="V21" s="866"/>
      <c r="W21" s="39">
        <v>0</v>
      </c>
      <c r="X21" s="646">
        <f>W21/V7*100</f>
        <v>0</v>
      </c>
      <c r="Y21" s="65">
        <v>0</v>
      </c>
      <c r="Z21" s="65">
        <v>0</v>
      </c>
      <c r="AA21" s="65">
        <v>0</v>
      </c>
      <c r="AB21" s="65">
        <v>62</v>
      </c>
      <c r="AC21" s="39">
        <v>0</v>
      </c>
      <c r="AD21" s="39">
        <v>0</v>
      </c>
      <c r="AE21" s="39">
        <v>0</v>
      </c>
      <c r="AF21" s="39">
        <v>0</v>
      </c>
      <c r="AG21" s="44">
        <v>0</v>
      </c>
      <c r="AH21" s="44">
        <v>0</v>
      </c>
      <c r="AI21" s="44">
        <v>0</v>
      </c>
      <c r="AJ21" s="44">
        <v>0</v>
      </c>
      <c r="AK21" s="45">
        <v>0</v>
      </c>
      <c r="AL21" s="45">
        <v>0</v>
      </c>
      <c r="AM21" s="45">
        <v>0</v>
      </c>
      <c r="AN21" s="45">
        <v>0</v>
      </c>
      <c r="AO21" s="13">
        <f t="shared" si="1"/>
        <v>0</v>
      </c>
      <c r="AP21" s="644">
        <f t="shared" si="2"/>
        <v>-3043501</v>
      </c>
      <c r="AQ21" s="1"/>
      <c r="AR21" s="1"/>
      <c r="AS21" s="1"/>
      <c r="AT21" s="1"/>
      <c r="AU21" s="1"/>
      <c r="AV21" s="1"/>
    </row>
    <row r="22" spans="1:48" ht="99" customHeight="1">
      <c r="A22" s="281">
        <v>16</v>
      </c>
      <c r="B22" s="864"/>
      <c r="C22" s="864"/>
      <c r="D22" s="654" t="s">
        <v>923</v>
      </c>
      <c r="E22" s="320">
        <v>1</v>
      </c>
      <c r="F22" s="316" t="s">
        <v>921</v>
      </c>
      <c r="G22" s="314" t="s">
        <v>924</v>
      </c>
      <c r="H22" s="40" t="s">
        <v>554</v>
      </c>
      <c r="I22" s="642" t="s">
        <v>193</v>
      </c>
      <c r="J22" s="642" t="s">
        <v>193</v>
      </c>
      <c r="K22" s="642" t="s">
        <v>193</v>
      </c>
      <c r="L22" s="7" t="s">
        <v>130</v>
      </c>
      <c r="M22" s="642" t="s">
        <v>193</v>
      </c>
      <c r="N22" s="41">
        <v>960000</v>
      </c>
      <c r="O22" s="317">
        <v>215000</v>
      </c>
      <c r="P22" s="321">
        <v>5400</v>
      </c>
      <c r="Q22" s="655">
        <f t="shared" si="0"/>
        <v>1180400</v>
      </c>
      <c r="R22" s="322">
        <v>0</v>
      </c>
      <c r="S22" s="322">
        <v>620</v>
      </c>
      <c r="T22" s="322">
        <v>0</v>
      </c>
      <c r="U22" s="322">
        <v>0</v>
      </c>
      <c r="V22" s="866"/>
      <c r="W22" s="39">
        <v>0</v>
      </c>
      <c r="X22" s="646">
        <f>W22/V7*100</f>
        <v>0</v>
      </c>
      <c r="Y22" s="65">
        <v>0</v>
      </c>
      <c r="Z22" s="65">
        <v>230</v>
      </c>
      <c r="AA22" s="65">
        <v>0</v>
      </c>
      <c r="AB22" s="65">
        <v>0</v>
      </c>
      <c r="AC22" s="39">
        <v>0</v>
      </c>
      <c r="AD22" s="39">
        <v>0</v>
      </c>
      <c r="AE22" s="39">
        <v>0</v>
      </c>
      <c r="AF22" s="39">
        <v>0</v>
      </c>
      <c r="AG22" s="44">
        <v>0</v>
      </c>
      <c r="AH22" s="44">
        <v>0</v>
      </c>
      <c r="AI22" s="44">
        <v>0</v>
      </c>
      <c r="AJ22" s="44">
        <v>0</v>
      </c>
      <c r="AK22" s="45">
        <v>0</v>
      </c>
      <c r="AL22" s="45">
        <v>0</v>
      </c>
      <c r="AM22" s="45">
        <v>0</v>
      </c>
      <c r="AN22" s="45">
        <v>0</v>
      </c>
      <c r="AO22" s="13">
        <f t="shared" si="1"/>
        <v>0</v>
      </c>
      <c r="AP22" s="644">
        <f t="shared" si="2"/>
        <v>-1180400</v>
      </c>
      <c r="AQ22" s="1"/>
      <c r="AR22" s="1"/>
      <c r="AS22" s="1"/>
      <c r="AT22" s="1"/>
      <c r="AU22" s="1"/>
      <c r="AV22" s="1"/>
    </row>
    <row r="23" spans="1:48" ht="99" customHeight="1">
      <c r="A23" s="281">
        <v>17</v>
      </c>
      <c r="B23" s="864"/>
      <c r="C23" s="864"/>
      <c r="D23" s="645" t="s">
        <v>126</v>
      </c>
      <c r="E23" s="65">
        <v>1</v>
      </c>
      <c r="F23" s="316" t="s">
        <v>921</v>
      </c>
      <c r="G23" s="65" t="s">
        <v>925</v>
      </c>
      <c r="H23" s="69" t="s">
        <v>554</v>
      </c>
      <c r="I23" s="642" t="s">
        <v>193</v>
      </c>
      <c r="J23" s="642" t="s">
        <v>193</v>
      </c>
      <c r="K23" s="642" t="s">
        <v>193</v>
      </c>
      <c r="L23" s="7" t="s">
        <v>130</v>
      </c>
      <c r="M23" s="642" t="s">
        <v>193</v>
      </c>
      <c r="N23" s="67">
        <v>1040000</v>
      </c>
      <c r="O23" s="67">
        <v>2154000</v>
      </c>
      <c r="P23" s="67">
        <v>25400</v>
      </c>
      <c r="Q23" s="655">
        <f t="shared" si="0"/>
        <v>3219400</v>
      </c>
      <c r="R23" s="43">
        <v>0</v>
      </c>
      <c r="S23" s="43">
        <v>0</v>
      </c>
      <c r="T23" s="43">
        <v>0</v>
      </c>
      <c r="U23" s="68">
        <v>9850</v>
      </c>
      <c r="V23" s="866"/>
      <c r="W23" s="39">
        <v>0</v>
      </c>
      <c r="X23" s="646">
        <f>W23/V7*100</f>
        <v>0</v>
      </c>
      <c r="Y23" s="65">
        <v>0</v>
      </c>
      <c r="Z23" s="65">
        <v>0</v>
      </c>
      <c r="AA23" s="65">
        <v>0</v>
      </c>
      <c r="AB23" s="65">
        <v>95</v>
      </c>
      <c r="AC23" s="39">
        <v>0</v>
      </c>
      <c r="AD23" s="39">
        <v>0</v>
      </c>
      <c r="AE23" s="39">
        <v>0</v>
      </c>
      <c r="AF23" s="39">
        <v>0</v>
      </c>
      <c r="AG23" s="44">
        <v>0</v>
      </c>
      <c r="AH23" s="44">
        <v>0</v>
      </c>
      <c r="AI23" s="44">
        <v>0</v>
      </c>
      <c r="AJ23" s="44">
        <v>0</v>
      </c>
      <c r="AK23" s="45">
        <v>0</v>
      </c>
      <c r="AL23" s="45">
        <v>0</v>
      </c>
      <c r="AM23" s="45">
        <v>0</v>
      </c>
      <c r="AN23" s="45">
        <v>0</v>
      </c>
      <c r="AO23" s="13">
        <f t="shared" si="1"/>
        <v>0</v>
      </c>
      <c r="AP23" s="644">
        <f t="shared" si="2"/>
        <v>-3219400</v>
      </c>
      <c r="AQ23" s="1"/>
      <c r="AR23" s="1"/>
      <c r="AS23" s="1"/>
      <c r="AT23" s="1"/>
      <c r="AU23" s="1"/>
      <c r="AV23" s="1"/>
    </row>
    <row r="24" spans="1:48" ht="99" customHeight="1">
      <c r="A24" s="281">
        <v>18</v>
      </c>
      <c r="B24" s="864"/>
      <c r="C24" s="864"/>
      <c r="D24" s="654" t="s">
        <v>926</v>
      </c>
      <c r="E24" s="320">
        <v>1</v>
      </c>
      <c r="F24" s="316" t="s">
        <v>921</v>
      </c>
      <c r="G24" s="314" t="s">
        <v>927</v>
      </c>
      <c r="H24" s="69" t="s">
        <v>127</v>
      </c>
      <c r="I24" s="642" t="s">
        <v>193</v>
      </c>
      <c r="J24" s="642" t="s">
        <v>193</v>
      </c>
      <c r="K24" s="642" t="s">
        <v>193</v>
      </c>
      <c r="L24" s="7" t="s">
        <v>130</v>
      </c>
      <c r="M24" s="642" t="s">
        <v>193</v>
      </c>
      <c r="N24" s="41">
        <v>960000</v>
      </c>
      <c r="O24" s="317">
        <v>1254000</v>
      </c>
      <c r="P24" s="321">
        <v>15000</v>
      </c>
      <c r="Q24" s="655">
        <f t="shared" si="0"/>
        <v>2229000</v>
      </c>
      <c r="R24" s="322">
        <v>0</v>
      </c>
      <c r="S24" s="322">
        <v>1200</v>
      </c>
      <c r="T24" s="322">
        <v>0</v>
      </c>
      <c r="U24" s="322">
        <v>0</v>
      </c>
      <c r="V24" s="866"/>
      <c r="W24" s="39">
        <v>0</v>
      </c>
      <c r="X24" s="646">
        <f>W24/V7*100</f>
        <v>0</v>
      </c>
      <c r="Y24" s="65">
        <v>0</v>
      </c>
      <c r="Z24" s="65">
        <v>1450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44">
        <v>0</v>
      </c>
      <c r="AH24" s="44">
        <v>0</v>
      </c>
      <c r="AI24" s="44">
        <v>0</v>
      </c>
      <c r="AJ24" s="44">
        <v>0</v>
      </c>
      <c r="AK24" s="45">
        <v>0</v>
      </c>
      <c r="AL24" s="45">
        <v>0</v>
      </c>
      <c r="AM24" s="45">
        <v>0</v>
      </c>
      <c r="AN24" s="45">
        <v>0</v>
      </c>
      <c r="AO24" s="13">
        <f t="shared" si="1"/>
        <v>0</v>
      </c>
      <c r="AP24" s="644">
        <f t="shared" si="2"/>
        <v>-2229000</v>
      </c>
      <c r="AQ24" s="1"/>
      <c r="AR24" s="1"/>
      <c r="AS24" s="1"/>
      <c r="AT24" s="1"/>
      <c r="AU24" s="1"/>
      <c r="AV24" s="1"/>
    </row>
    <row r="25" spans="1:48" ht="99" customHeight="1">
      <c r="A25" s="281">
        <v>19</v>
      </c>
      <c r="B25" s="864"/>
      <c r="C25" s="864"/>
      <c r="D25" s="654" t="s">
        <v>928</v>
      </c>
      <c r="E25" s="320">
        <v>1</v>
      </c>
      <c r="F25" s="316" t="s">
        <v>921</v>
      </c>
      <c r="G25" s="314" t="s">
        <v>929</v>
      </c>
      <c r="H25" s="69" t="s">
        <v>554</v>
      </c>
      <c r="I25" s="642" t="s">
        <v>193</v>
      </c>
      <c r="J25" s="642" t="s">
        <v>193</v>
      </c>
      <c r="K25" s="642" t="s">
        <v>193</v>
      </c>
      <c r="L25" s="7" t="s">
        <v>130</v>
      </c>
      <c r="M25" s="642" t="s">
        <v>193</v>
      </c>
      <c r="N25" s="317">
        <v>800000</v>
      </c>
      <c r="O25" s="317">
        <v>654000</v>
      </c>
      <c r="P25" s="321">
        <v>21500</v>
      </c>
      <c r="Q25" s="655">
        <f t="shared" si="0"/>
        <v>1475500</v>
      </c>
      <c r="R25" s="322">
        <v>0</v>
      </c>
      <c r="S25" s="322">
        <v>980</v>
      </c>
      <c r="T25" s="322">
        <v>0</v>
      </c>
      <c r="U25" s="322">
        <v>0</v>
      </c>
      <c r="V25" s="866"/>
      <c r="W25" s="39">
        <v>0</v>
      </c>
      <c r="X25" s="646">
        <f>W25/V7*100</f>
        <v>0</v>
      </c>
      <c r="Y25" s="65">
        <v>0</v>
      </c>
      <c r="Z25" s="65">
        <v>2450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44">
        <v>0</v>
      </c>
      <c r="AH25" s="44">
        <v>0</v>
      </c>
      <c r="AI25" s="44">
        <v>0</v>
      </c>
      <c r="AJ25" s="44">
        <v>0</v>
      </c>
      <c r="AK25" s="45">
        <v>0</v>
      </c>
      <c r="AL25" s="45">
        <v>0</v>
      </c>
      <c r="AM25" s="45">
        <v>0</v>
      </c>
      <c r="AN25" s="45">
        <v>0</v>
      </c>
      <c r="AO25" s="13">
        <f t="shared" si="1"/>
        <v>0</v>
      </c>
      <c r="AP25" s="644">
        <f t="shared" si="2"/>
        <v>-1475500</v>
      </c>
      <c r="AQ25" s="1"/>
      <c r="AR25" s="1"/>
      <c r="AS25" s="1"/>
      <c r="AT25" s="1"/>
      <c r="AU25" s="1"/>
      <c r="AV25" s="1"/>
    </row>
    <row r="26" spans="1:48" ht="103.5" customHeight="1" thickBot="1">
      <c r="A26" s="365">
        <v>20</v>
      </c>
      <c r="B26" s="864"/>
      <c r="C26" s="864"/>
      <c r="D26" s="656" t="s">
        <v>930</v>
      </c>
      <c r="E26" s="320">
        <v>1</v>
      </c>
      <c r="F26" s="657" t="s">
        <v>921</v>
      </c>
      <c r="G26" s="658" t="s">
        <v>931</v>
      </c>
      <c r="H26" s="69" t="s">
        <v>554</v>
      </c>
      <c r="I26" s="659" t="s">
        <v>193</v>
      </c>
      <c r="J26" s="659" t="s">
        <v>193</v>
      </c>
      <c r="K26" s="659" t="s">
        <v>193</v>
      </c>
      <c r="L26" s="66" t="s">
        <v>130</v>
      </c>
      <c r="M26" s="659" t="s">
        <v>193</v>
      </c>
      <c r="N26" s="325">
        <v>1040000</v>
      </c>
      <c r="O26" s="325">
        <v>2154600</v>
      </c>
      <c r="P26" s="325">
        <v>0</v>
      </c>
      <c r="Q26" s="655">
        <f t="shared" si="0"/>
        <v>3194600</v>
      </c>
      <c r="R26" s="322">
        <v>0</v>
      </c>
      <c r="S26" s="322">
        <v>0</v>
      </c>
      <c r="T26" s="322">
        <v>0</v>
      </c>
      <c r="U26" s="322">
        <v>7854</v>
      </c>
      <c r="V26" s="866"/>
      <c r="W26" s="65">
        <v>0</v>
      </c>
      <c r="X26" s="660">
        <f>W26/V7*100</f>
        <v>0</v>
      </c>
      <c r="Y26" s="272">
        <v>0</v>
      </c>
      <c r="Z26" s="272">
        <v>0</v>
      </c>
      <c r="AA26" s="272">
        <v>0</v>
      </c>
      <c r="AB26" s="272">
        <v>95</v>
      </c>
      <c r="AC26" s="272">
        <v>0</v>
      </c>
      <c r="AD26" s="272">
        <v>0</v>
      </c>
      <c r="AE26" s="272">
        <v>0</v>
      </c>
      <c r="AF26" s="272">
        <v>0</v>
      </c>
      <c r="AG26" s="44">
        <v>0</v>
      </c>
      <c r="AH26" s="44">
        <v>0</v>
      </c>
      <c r="AI26" s="44">
        <v>0</v>
      </c>
      <c r="AJ26" s="44">
        <v>0</v>
      </c>
      <c r="AK26" s="661">
        <v>0</v>
      </c>
      <c r="AL26" s="661">
        <v>0</v>
      </c>
      <c r="AM26" s="661">
        <v>0</v>
      </c>
      <c r="AN26" s="661">
        <v>0</v>
      </c>
      <c r="AO26" s="72">
        <f t="shared" si="1"/>
        <v>0</v>
      </c>
      <c r="AP26" s="662">
        <f t="shared" si="2"/>
        <v>-3194600</v>
      </c>
      <c r="AQ26" s="1"/>
      <c r="AR26" s="1"/>
      <c r="AS26" s="1"/>
      <c r="AT26" s="1"/>
      <c r="AU26" s="1"/>
      <c r="AV26" s="1"/>
    </row>
    <row r="27" spans="1:48" ht="99" customHeight="1">
      <c r="A27" s="356">
        <v>1</v>
      </c>
      <c r="B27" s="867" t="s">
        <v>572</v>
      </c>
      <c r="C27" s="844">
        <v>26</v>
      </c>
      <c r="D27" s="358" t="s">
        <v>562</v>
      </c>
      <c r="E27" s="268">
        <v>1</v>
      </c>
      <c r="F27" s="268" t="s">
        <v>573</v>
      </c>
      <c r="G27" s="663" t="s">
        <v>574</v>
      </c>
      <c r="H27" s="633" t="s">
        <v>127</v>
      </c>
      <c r="I27" s="279" t="s">
        <v>193</v>
      </c>
      <c r="J27" s="279" t="s">
        <v>193</v>
      </c>
      <c r="K27" s="279" t="s">
        <v>193</v>
      </c>
      <c r="L27" s="268" t="s">
        <v>130</v>
      </c>
      <c r="M27" s="279" t="s">
        <v>193</v>
      </c>
      <c r="N27" s="33">
        <v>0</v>
      </c>
      <c r="O27" s="33">
        <v>0</v>
      </c>
      <c r="P27" s="33">
        <v>0</v>
      </c>
      <c r="Q27" s="636">
        <f t="shared" si="0"/>
        <v>0</v>
      </c>
      <c r="R27" s="664">
        <v>0</v>
      </c>
      <c r="S27" s="664">
        <v>0</v>
      </c>
      <c r="T27" s="664">
        <v>0</v>
      </c>
      <c r="U27" s="664">
        <v>50</v>
      </c>
      <c r="V27" s="863">
        <v>8226</v>
      </c>
      <c r="W27" s="268">
        <v>0</v>
      </c>
      <c r="X27" s="665">
        <f>W27/V27*100</f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666">
        <v>0</v>
      </c>
      <c r="AH27" s="666">
        <v>0</v>
      </c>
      <c r="AI27" s="666">
        <v>0</v>
      </c>
      <c r="AJ27" s="666">
        <v>0</v>
      </c>
      <c r="AK27" s="638">
        <v>0</v>
      </c>
      <c r="AL27" s="638">
        <v>0</v>
      </c>
      <c r="AM27" s="638">
        <v>0</v>
      </c>
      <c r="AN27" s="638">
        <v>0</v>
      </c>
      <c r="AO27" s="271">
        <f t="shared" si="1"/>
        <v>0</v>
      </c>
      <c r="AP27" s="639">
        <f t="shared" si="2"/>
        <v>0</v>
      </c>
      <c r="AQ27" s="1"/>
      <c r="AR27" s="1"/>
      <c r="AS27" s="1"/>
      <c r="AT27" s="1"/>
      <c r="AU27" s="1"/>
      <c r="AV27" s="1"/>
    </row>
    <row r="28" spans="1:48" ht="99" customHeight="1">
      <c r="A28" s="6">
        <v>2</v>
      </c>
      <c r="B28" s="868"/>
      <c r="C28" s="870"/>
      <c r="D28" s="7" t="s">
        <v>562</v>
      </c>
      <c r="E28" s="39">
        <v>1</v>
      </c>
      <c r="F28" s="39" t="s">
        <v>575</v>
      </c>
      <c r="G28" s="328" t="s">
        <v>576</v>
      </c>
      <c r="H28" s="40" t="s">
        <v>127</v>
      </c>
      <c r="I28" s="47" t="s">
        <v>130</v>
      </c>
      <c r="J28" s="47" t="s">
        <v>193</v>
      </c>
      <c r="K28" s="47" t="s">
        <v>193</v>
      </c>
      <c r="L28" s="47" t="s">
        <v>193</v>
      </c>
      <c r="M28" s="47" t="s">
        <v>193</v>
      </c>
      <c r="N28" s="41">
        <v>443940</v>
      </c>
      <c r="O28" s="41">
        <v>0</v>
      </c>
      <c r="P28" s="41">
        <v>71400</v>
      </c>
      <c r="Q28" s="667">
        <f t="shared" si="0"/>
        <v>515340</v>
      </c>
      <c r="R28" s="43">
        <v>13000</v>
      </c>
      <c r="S28" s="43">
        <v>0</v>
      </c>
      <c r="T28" s="43">
        <v>0</v>
      </c>
      <c r="U28" s="43">
        <v>8000</v>
      </c>
      <c r="V28" s="864"/>
      <c r="W28" s="39">
        <v>0</v>
      </c>
      <c r="X28" s="668">
        <f>W28/V27*100</f>
        <v>0</v>
      </c>
      <c r="Y28" s="39"/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f>AB28</f>
        <v>0</v>
      </c>
      <c r="AG28" s="44">
        <v>0</v>
      </c>
      <c r="AH28" s="44">
        <v>0</v>
      </c>
      <c r="AI28" s="44">
        <v>0</v>
      </c>
      <c r="AJ28" s="44">
        <f>AF28</f>
        <v>0</v>
      </c>
      <c r="AK28" s="45">
        <v>0</v>
      </c>
      <c r="AL28" s="45">
        <v>0</v>
      </c>
      <c r="AM28" s="45">
        <v>0</v>
      </c>
      <c r="AN28" s="45">
        <v>0</v>
      </c>
      <c r="AO28" s="13">
        <f t="shared" si="1"/>
        <v>0</v>
      </c>
      <c r="AP28" s="644">
        <f t="shared" si="2"/>
        <v>-515340</v>
      </c>
      <c r="AQ28" s="1"/>
      <c r="AR28" s="1"/>
      <c r="AS28" s="1"/>
      <c r="AT28" s="1"/>
      <c r="AU28" s="1"/>
      <c r="AV28" s="1"/>
    </row>
    <row r="29" spans="1:48" ht="99" customHeight="1">
      <c r="A29" s="6">
        <v>3</v>
      </c>
      <c r="B29" s="868"/>
      <c r="C29" s="870"/>
      <c r="D29" s="7" t="s">
        <v>236</v>
      </c>
      <c r="E29" s="39">
        <v>1</v>
      </c>
      <c r="F29" s="39" t="s">
        <v>577</v>
      </c>
      <c r="G29" s="7" t="s">
        <v>578</v>
      </c>
      <c r="H29" s="40" t="s">
        <v>127</v>
      </c>
      <c r="I29" s="39" t="s">
        <v>193</v>
      </c>
      <c r="J29" s="39" t="s">
        <v>193</v>
      </c>
      <c r="K29" s="39" t="s">
        <v>193</v>
      </c>
      <c r="L29" s="39" t="s">
        <v>130</v>
      </c>
      <c r="M29" s="39" t="s">
        <v>193</v>
      </c>
      <c r="N29" s="41"/>
      <c r="O29" s="41">
        <v>0</v>
      </c>
      <c r="P29" s="41">
        <v>0</v>
      </c>
      <c r="Q29" s="327">
        <f t="shared" si="0"/>
        <v>0</v>
      </c>
      <c r="R29" s="43">
        <v>0</v>
      </c>
      <c r="S29" s="43">
        <v>0</v>
      </c>
      <c r="T29" s="43">
        <v>0</v>
      </c>
      <c r="U29" s="43">
        <v>0</v>
      </c>
      <c r="V29" s="864"/>
      <c r="W29" s="39">
        <v>0</v>
      </c>
      <c r="X29" s="668">
        <f>W29/V27*100</f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f>AB29</f>
        <v>0</v>
      </c>
      <c r="AG29" s="44">
        <v>0</v>
      </c>
      <c r="AH29" s="44">
        <v>0</v>
      </c>
      <c r="AI29" s="44">
        <v>0</v>
      </c>
      <c r="AJ29" s="44">
        <f>AF29</f>
        <v>0</v>
      </c>
      <c r="AK29" s="45">
        <v>0</v>
      </c>
      <c r="AL29" s="45">
        <v>0</v>
      </c>
      <c r="AM29" s="45">
        <v>0</v>
      </c>
      <c r="AN29" s="45">
        <v>0</v>
      </c>
      <c r="AO29" s="13">
        <f t="shared" si="1"/>
        <v>0</v>
      </c>
      <c r="AP29" s="644">
        <f t="shared" si="2"/>
        <v>0</v>
      </c>
      <c r="AQ29" s="1"/>
      <c r="AR29" s="1"/>
      <c r="AS29" s="1"/>
      <c r="AT29" s="1"/>
      <c r="AU29" s="1"/>
      <c r="AV29" s="1"/>
    </row>
    <row r="30" spans="1:48" ht="99" customHeight="1">
      <c r="A30" s="6">
        <v>4</v>
      </c>
      <c r="B30" s="868"/>
      <c r="C30" s="870"/>
      <c r="D30" s="7" t="s">
        <v>579</v>
      </c>
      <c r="E30" s="61">
        <v>1</v>
      </c>
      <c r="F30" s="61" t="s">
        <v>580</v>
      </c>
      <c r="G30" s="61" t="s">
        <v>581</v>
      </c>
      <c r="H30" s="40" t="s">
        <v>127</v>
      </c>
      <c r="I30" s="39" t="s">
        <v>193</v>
      </c>
      <c r="J30" s="39" t="s">
        <v>193</v>
      </c>
      <c r="K30" s="39" t="s">
        <v>193</v>
      </c>
      <c r="L30" s="39" t="s">
        <v>130</v>
      </c>
      <c r="M30" s="39" t="s">
        <v>193</v>
      </c>
      <c r="N30" s="41">
        <v>443940</v>
      </c>
      <c r="O30" s="41">
        <v>0</v>
      </c>
      <c r="P30" s="41">
        <v>27000</v>
      </c>
      <c r="Q30" s="327">
        <f t="shared" si="0"/>
        <v>470940</v>
      </c>
      <c r="R30" s="43">
        <v>0</v>
      </c>
      <c r="S30" s="43">
        <v>0</v>
      </c>
      <c r="T30" s="43">
        <v>0</v>
      </c>
      <c r="U30" s="43">
        <v>11000</v>
      </c>
      <c r="V30" s="864"/>
      <c r="W30" s="47">
        <v>4</v>
      </c>
      <c r="X30" s="669">
        <f>W30/V27*100</f>
        <v>4.8626306831996112E-2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7">
        <v>0</v>
      </c>
      <c r="AF30" s="47">
        <v>239000</v>
      </c>
      <c r="AG30" s="44">
        <v>0</v>
      </c>
      <c r="AH30" s="44">
        <v>0</v>
      </c>
      <c r="AI30" s="44">
        <v>0</v>
      </c>
      <c r="AJ30" s="44">
        <v>239000</v>
      </c>
      <c r="AK30" s="45">
        <v>0</v>
      </c>
      <c r="AL30" s="45">
        <v>0</v>
      </c>
      <c r="AM30" s="45">
        <v>0</v>
      </c>
      <c r="AN30" s="45">
        <v>239000</v>
      </c>
      <c r="AO30" s="13">
        <f t="shared" si="1"/>
        <v>239000</v>
      </c>
      <c r="AP30" s="644">
        <f t="shared" si="2"/>
        <v>-231940</v>
      </c>
      <c r="AQ30" s="1"/>
      <c r="AR30" s="1"/>
      <c r="AS30" s="1"/>
      <c r="AT30" s="1"/>
      <c r="AU30" s="1"/>
      <c r="AV30" s="1"/>
    </row>
    <row r="31" spans="1:48" ht="99" customHeight="1">
      <c r="A31" s="6">
        <v>5</v>
      </c>
      <c r="B31" s="868"/>
      <c r="C31" s="870"/>
      <c r="D31" s="7" t="s">
        <v>582</v>
      </c>
      <c r="E31" s="39">
        <v>1</v>
      </c>
      <c r="F31" s="39" t="s">
        <v>583</v>
      </c>
      <c r="G31" s="7" t="s">
        <v>584</v>
      </c>
      <c r="H31" s="40" t="s">
        <v>127</v>
      </c>
      <c r="I31" s="39" t="s">
        <v>193</v>
      </c>
      <c r="J31" s="39" t="s">
        <v>193</v>
      </c>
      <c r="K31" s="39" t="s">
        <v>193</v>
      </c>
      <c r="L31" s="39" t="s">
        <v>130</v>
      </c>
      <c r="M31" s="39" t="s">
        <v>193</v>
      </c>
      <c r="N31" s="41">
        <v>0</v>
      </c>
      <c r="O31" s="41">
        <v>0</v>
      </c>
      <c r="P31" s="41">
        <v>0</v>
      </c>
      <c r="Q31" s="327">
        <f t="shared" si="0"/>
        <v>0</v>
      </c>
      <c r="R31" s="43">
        <v>0</v>
      </c>
      <c r="S31" s="43">
        <v>0</v>
      </c>
      <c r="T31" s="43">
        <v>0</v>
      </c>
      <c r="U31" s="43">
        <v>0</v>
      </c>
      <c r="V31" s="864"/>
      <c r="W31" s="38">
        <v>0</v>
      </c>
      <c r="X31" s="668">
        <f>W31/V27*100</f>
        <v>0</v>
      </c>
      <c r="Y31" s="39">
        <v>0</v>
      </c>
      <c r="Z31" s="38">
        <v>0</v>
      </c>
      <c r="AA31" s="38">
        <v>0</v>
      </c>
      <c r="AB31" s="38"/>
      <c r="AC31" s="38">
        <v>0</v>
      </c>
      <c r="AD31" s="38">
        <v>0</v>
      </c>
      <c r="AE31" s="38">
        <v>0</v>
      </c>
      <c r="AF31" s="38">
        <v>0</v>
      </c>
      <c r="AG31" s="44">
        <v>0</v>
      </c>
      <c r="AH31" s="44">
        <v>0</v>
      </c>
      <c r="AI31" s="44">
        <v>0</v>
      </c>
      <c r="AJ31" s="44">
        <v>0</v>
      </c>
      <c r="AK31" s="45">
        <v>0</v>
      </c>
      <c r="AL31" s="45">
        <v>0</v>
      </c>
      <c r="AM31" s="45">
        <v>0</v>
      </c>
      <c r="AN31" s="45">
        <v>0</v>
      </c>
      <c r="AO31" s="13">
        <f t="shared" si="1"/>
        <v>0</v>
      </c>
      <c r="AP31" s="644">
        <f t="shared" si="2"/>
        <v>0</v>
      </c>
      <c r="AQ31" s="1"/>
      <c r="AR31" s="1"/>
      <c r="AS31" s="1"/>
      <c r="AT31" s="1"/>
      <c r="AU31" s="1"/>
      <c r="AV31" s="1"/>
    </row>
    <row r="32" spans="1:48" ht="99" customHeight="1">
      <c r="A32" s="6">
        <v>6</v>
      </c>
      <c r="B32" s="868"/>
      <c r="C32" s="870"/>
      <c r="D32" s="7" t="s">
        <v>585</v>
      </c>
      <c r="E32" s="39">
        <v>1</v>
      </c>
      <c r="F32" s="39" t="s">
        <v>586</v>
      </c>
      <c r="G32" s="39" t="s">
        <v>587</v>
      </c>
      <c r="H32" s="40" t="s">
        <v>127</v>
      </c>
      <c r="I32" s="39" t="s">
        <v>193</v>
      </c>
      <c r="J32" s="39" t="s">
        <v>193</v>
      </c>
      <c r="K32" s="39" t="s">
        <v>193</v>
      </c>
      <c r="L32" s="39" t="s">
        <v>130</v>
      </c>
      <c r="M32" s="39" t="s">
        <v>193</v>
      </c>
      <c r="N32" s="67">
        <v>443940</v>
      </c>
      <c r="O32" s="67">
        <v>0</v>
      </c>
      <c r="P32" s="67">
        <v>0</v>
      </c>
      <c r="Q32" s="327">
        <f t="shared" si="0"/>
        <v>443940</v>
      </c>
      <c r="R32" s="68">
        <v>0</v>
      </c>
      <c r="S32" s="68">
        <v>0</v>
      </c>
      <c r="T32" s="68">
        <v>0</v>
      </c>
      <c r="U32" s="43">
        <v>11000</v>
      </c>
      <c r="V32" s="864"/>
      <c r="W32" s="39">
        <v>1</v>
      </c>
      <c r="X32" s="669">
        <f>W32/V27*100</f>
        <v>1.2156576707999028E-2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198500</v>
      </c>
      <c r="AG32" s="44">
        <v>0</v>
      </c>
      <c r="AH32" s="44">
        <v>0</v>
      </c>
      <c r="AI32" s="44">
        <v>0</v>
      </c>
      <c r="AJ32" s="44">
        <v>198500</v>
      </c>
      <c r="AK32" s="45">
        <v>0</v>
      </c>
      <c r="AL32" s="45">
        <v>0</v>
      </c>
      <c r="AM32" s="45">
        <v>0</v>
      </c>
      <c r="AN32" s="45">
        <v>198500</v>
      </c>
      <c r="AO32" s="13">
        <f t="shared" si="1"/>
        <v>198500</v>
      </c>
      <c r="AP32" s="644">
        <f t="shared" si="2"/>
        <v>-245440</v>
      </c>
      <c r="AQ32" s="1"/>
      <c r="AR32" s="1"/>
      <c r="AS32" s="1"/>
      <c r="AT32" s="1"/>
      <c r="AU32" s="1"/>
      <c r="AV32" s="1"/>
    </row>
    <row r="33" spans="1:48" ht="99" customHeight="1" thickBot="1">
      <c r="A33" s="357">
        <v>7</v>
      </c>
      <c r="B33" s="869"/>
      <c r="C33" s="871"/>
      <c r="D33" s="19" t="s">
        <v>588</v>
      </c>
      <c r="E33" s="272">
        <v>1</v>
      </c>
      <c r="F33" s="272" t="s">
        <v>580</v>
      </c>
      <c r="G33" s="19" t="s">
        <v>589</v>
      </c>
      <c r="H33" s="323" t="s">
        <v>127</v>
      </c>
      <c r="I33" s="272" t="s">
        <v>193</v>
      </c>
      <c r="J33" s="272" t="s">
        <v>193</v>
      </c>
      <c r="K33" s="272" t="s">
        <v>193</v>
      </c>
      <c r="L33" s="272" t="s">
        <v>130</v>
      </c>
      <c r="M33" s="272" t="s">
        <v>193</v>
      </c>
      <c r="N33" s="329"/>
      <c r="O33" s="329">
        <v>0</v>
      </c>
      <c r="P33" s="329">
        <v>0</v>
      </c>
      <c r="Q33" s="330">
        <v>0</v>
      </c>
      <c r="R33" s="275">
        <v>0</v>
      </c>
      <c r="S33" s="275">
        <v>400</v>
      </c>
      <c r="T33" s="275">
        <v>0</v>
      </c>
      <c r="U33" s="275">
        <v>11000</v>
      </c>
      <c r="V33" s="872"/>
      <c r="W33" s="324">
        <v>0</v>
      </c>
      <c r="X33" s="670">
        <f>W33/V27*100</f>
        <v>0</v>
      </c>
      <c r="Y33" s="272">
        <v>0</v>
      </c>
      <c r="Z33" s="272">
        <v>0</v>
      </c>
      <c r="AA33" s="272">
        <v>0</v>
      </c>
      <c r="AB33" s="272">
        <v>0</v>
      </c>
      <c r="AC33" s="272">
        <v>0</v>
      </c>
      <c r="AD33" s="272">
        <v>0</v>
      </c>
      <c r="AE33" s="272">
        <v>0</v>
      </c>
      <c r="AF33" s="272">
        <v>0</v>
      </c>
      <c r="AG33" s="326">
        <v>0</v>
      </c>
      <c r="AH33" s="326">
        <v>0</v>
      </c>
      <c r="AI33" s="326">
        <v>0</v>
      </c>
      <c r="AJ33" s="326">
        <v>0</v>
      </c>
      <c r="AK33" s="671">
        <v>0</v>
      </c>
      <c r="AL33" s="671">
        <v>0</v>
      </c>
      <c r="AM33" s="671">
        <v>0</v>
      </c>
      <c r="AN33" s="671">
        <v>0</v>
      </c>
      <c r="AO33" s="28">
        <f t="shared" si="1"/>
        <v>0</v>
      </c>
      <c r="AP33" s="672">
        <f t="shared" si="2"/>
        <v>0</v>
      </c>
      <c r="AQ33" s="1"/>
      <c r="AR33" s="1"/>
      <c r="AS33" s="1"/>
      <c r="AT33" s="1"/>
      <c r="AU33" s="1"/>
      <c r="AV33" s="1"/>
    </row>
    <row r="34" spans="1:48" ht="99" customHeight="1">
      <c r="A34" s="370">
        <v>1</v>
      </c>
      <c r="B34" s="854" t="s">
        <v>590</v>
      </c>
      <c r="C34" s="855">
        <v>19</v>
      </c>
      <c r="D34" s="30" t="s">
        <v>591</v>
      </c>
      <c r="E34" s="31">
        <v>1</v>
      </c>
      <c r="F34" s="331" t="s">
        <v>592</v>
      </c>
      <c r="G34" s="30" t="s">
        <v>591</v>
      </c>
      <c r="H34" s="32" t="s">
        <v>593</v>
      </c>
      <c r="I34" s="31" t="s">
        <v>193</v>
      </c>
      <c r="J34" s="31" t="s">
        <v>193</v>
      </c>
      <c r="K34" s="31" t="s">
        <v>193</v>
      </c>
      <c r="L34" s="31" t="s">
        <v>130</v>
      </c>
      <c r="M34" s="31" t="s">
        <v>193</v>
      </c>
      <c r="N34" s="33">
        <v>0</v>
      </c>
      <c r="O34" s="129">
        <v>859200</v>
      </c>
      <c r="P34" s="33">
        <v>0</v>
      </c>
      <c r="Q34" s="673">
        <f>SUM(O34)</f>
        <v>859200</v>
      </c>
      <c r="R34" s="34">
        <v>0</v>
      </c>
      <c r="S34" s="34">
        <v>0</v>
      </c>
      <c r="T34" s="34">
        <v>0</v>
      </c>
      <c r="U34" s="34">
        <v>10000</v>
      </c>
      <c r="V34" s="857">
        <v>23259</v>
      </c>
      <c r="W34" s="210">
        <v>23259</v>
      </c>
      <c r="X34" s="674">
        <f>W34/V34*100</f>
        <v>100</v>
      </c>
      <c r="Y34" s="210">
        <v>0</v>
      </c>
      <c r="Z34" s="31">
        <v>1360</v>
      </c>
      <c r="AA34" s="210">
        <v>0</v>
      </c>
      <c r="AB34" s="210">
        <v>0</v>
      </c>
      <c r="AC34" s="210">
        <v>0</v>
      </c>
      <c r="AD34" s="210">
        <v>0</v>
      </c>
      <c r="AE34" s="210">
        <v>0</v>
      </c>
      <c r="AF34" s="210">
        <v>0</v>
      </c>
      <c r="AG34" s="35">
        <v>0</v>
      </c>
      <c r="AH34" s="35">
        <v>0</v>
      </c>
      <c r="AI34" s="35">
        <v>0</v>
      </c>
      <c r="AJ34" s="35">
        <v>0</v>
      </c>
      <c r="AK34" s="661">
        <v>0</v>
      </c>
      <c r="AL34" s="661">
        <v>0</v>
      </c>
      <c r="AM34" s="661">
        <v>0</v>
      </c>
      <c r="AN34" s="661">
        <v>0</v>
      </c>
      <c r="AO34" s="345">
        <f t="shared" si="1"/>
        <v>0</v>
      </c>
      <c r="AP34" s="675">
        <f t="shared" si="2"/>
        <v>-859200</v>
      </c>
      <c r="AQ34" s="1"/>
      <c r="AR34" s="1"/>
      <c r="AS34" s="1"/>
      <c r="AT34" s="1"/>
      <c r="AU34" s="1"/>
      <c r="AV34" s="1"/>
    </row>
    <row r="35" spans="1:48" ht="99" customHeight="1" thickBot="1">
      <c r="A35" s="357">
        <v>2</v>
      </c>
      <c r="B35" s="846"/>
      <c r="C35" s="856"/>
      <c r="D35" s="19" t="s">
        <v>594</v>
      </c>
      <c r="E35" s="272">
        <v>1</v>
      </c>
      <c r="F35" s="19" t="s">
        <v>595</v>
      </c>
      <c r="G35" s="19" t="s">
        <v>594</v>
      </c>
      <c r="H35" s="273" t="s">
        <v>593</v>
      </c>
      <c r="I35" s="272" t="s">
        <v>193</v>
      </c>
      <c r="J35" s="272" t="s">
        <v>193</v>
      </c>
      <c r="K35" s="272" t="s">
        <v>193</v>
      </c>
      <c r="L35" s="19" t="s">
        <v>130</v>
      </c>
      <c r="M35" s="272" t="s">
        <v>193</v>
      </c>
      <c r="N35" s="329">
        <v>0</v>
      </c>
      <c r="O35" s="129">
        <v>835200</v>
      </c>
      <c r="P35" s="329">
        <v>0</v>
      </c>
      <c r="Q35" s="330">
        <f t="shared" ref="Q35:Q52" si="3">N35+O35+P35</f>
        <v>835200</v>
      </c>
      <c r="R35" s="275">
        <v>0</v>
      </c>
      <c r="S35" s="275">
        <v>0</v>
      </c>
      <c r="T35" s="275">
        <v>250</v>
      </c>
      <c r="U35" s="275">
        <v>0</v>
      </c>
      <c r="V35" s="858"/>
      <c r="W35" s="282">
        <v>23259</v>
      </c>
      <c r="X35" s="676">
        <f>W35/V34*100</f>
        <v>100</v>
      </c>
      <c r="Y35" s="282">
        <v>0</v>
      </c>
      <c r="Z35" s="272">
        <v>1360</v>
      </c>
      <c r="AA35" s="282">
        <v>4325</v>
      </c>
      <c r="AB35" s="282">
        <v>0</v>
      </c>
      <c r="AC35" s="282">
        <v>0</v>
      </c>
      <c r="AD35" s="282">
        <v>0</v>
      </c>
      <c r="AE35" s="282">
        <v>0</v>
      </c>
      <c r="AF35" s="282">
        <v>0</v>
      </c>
      <c r="AG35" s="326">
        <v>0</v>
      </c>
      <c r="AH35" s="326">
        <v>0</v>
      </c>
      <c r="AI35" s="326">
        <v>0</v>
      </c>
      <c r="AJ35" s="326">
        <v>0</v>
      </c>
      <c r="AK35" s="276">
        <v>0</v>
      </c>
      <c r="AL35" s="276">
        <v>0</v>
      </c>
      <c r="AM35" s="276">
        <v>0</v>
      </c>
      <c r="AN35" s="276">
        <v>0</v>
      </c>
      <c r="AO35" s="28">
        <f t="shared" si="1"/>
        <v>0</v>
      </c>
      <c r="AP35" s="672">
        <f t="shared" si="2"/>
        <v>-835200</v>
      </c>
      <c r="AQ35" s="1"/>
      <c r="AR35" s="1"/>
      <c r="AS35" s="1"/>
      <c r="AT35" s="1"/>
      <c r="AU35" s="1"/>
      <c r="AV35" s="1"/>
    </row>
    <row r="36" spans="1:48" ht="99" customHeight="1">
      <c r="A36" s="31">
        <v>1</v>
      </c>
      <c r="B36" s="854" t="s">
        <v>596</v>
      </c>
      <c r="C36" s="854">
        <v>24</v>
      </c>
      <c r="D36" s="7" t="s">
        <v>932</v>
      </c>
      <c r="E36" s="39">
        <v>1</v>
      </c>
      <c r="F36" s="65" t="s">
        <v>933</v>
      </c>
      <c r="G36" s="7" t="s">
        <v>934</v>
      </c>
      <c r="H36" s="40" t="s">
        <v>127</v>
      </c>
      <c r="I36" s="31" t="s">
        <v>193</v>
      </c>
      <c r="J36" s="31" t="s">
        <v>193</v>
      </c>
      <c r="K36" s="31" t="s">
        <v>193</v>
      </c>
      <c r="L36" s="30" t="s">
        <v>193</v>
      </c>
      <c r="M36" s="31" t="s">
        <v>193</v>
      </c>
      <c r="N36" s="677">
        <v>850000</v>
      </c>
      <c r="O36" s="33">
        <v>1007650</v>
      </c>
      <c r="P36" s="677">
        <v>60000</v>
      </c>
      <c r="Q36" s="667">
        <f t="shared" si="3"/>
        <v>1917650</v>
      </c>
      <c r="R36" s="34">
        <v>0</v>
      </c>
      <c r="S36" s="34">
        <v>0</v>
      </c>
      <c r="T36" s="34">
        <v>0</v>
      </c>
      <c r="U36" s="34">
        <v>0</v>
      </c>
      <c r="V36" s="860">
        <v>52284</v>
      </c>
      <c r="W36" s="31">
        <v>26800</v>
      </c>
      <c r="X36" s="678">
        <f>W36/V36*100</f>
        <v>51.258511208017751</v>
      </c>
      <c r="Y36" s="98">
        <v>0</v>
      </c>
      <c r="Z36" s="29">
        <v>0</v>
      </c>
      <c r="AA36" s="98">
        <v>0</v>
      </c>
      <c r="AB36" s="30">
        <v>277</v>
      </c>
      <c r="AC36" s="210">
        <v>0</v>
      </c>
      <c r="AD36" s="210">
        <v>0</v>
      </c>
      <c r="AE36" s="210">
        <v>0</v>
      </c>
      <c r="AF36" s="210">
        <v>0</v>
      </c>
      <c r="AG36" s="35">
        <v>0</v>
      </c>
      <c r="AH36" s="35">
        <v>0</v>
      </c>
      <c r="AI36" s="35">
        <v>0</v>
      </c>
      <c r="AJ36" s="35">
        <v>0</v>
      </c>
      <c r="AK36" s="37">
        <v>0</v>
      </c>
      <c r="AL36" s="37">
        <v>0</v>
      </c>
      <c r="AM36" s="37">
        <v>0</v>
      </c>
      <c r="AN36" s="37">
        <v>0</v>
      </c>
      <c r="AO36" s="345">
        <f t="shared" si="1"/>
        <v>0</v>
      </c>
      <c r="AP36" s="679">
        <f t="shared" si="2"/>
        <v>-1917650</v>
      </c>
      <c r="AQ36" s="1"/>
      <c r="AR36" s="1"/>
      <c r="AS36" s="1"/>
      <c r="AT36" s="1"/>
      <c r="AU36" s="1"/>
      <c r="AV36" s="1"/>
    </row>
    <row r="37" spans="1:48" ht="99" customHeight="1">
      <c r="A37" s="39">
        <v>2</v>
      </c>
      <c r="B37" s="845"/>
      <c r="C37" s="845"/>
      <c r="D37" s="7" t="s">
        <v>932</v>
      </c>
      <c r="E37" s="39">
        <v>1</v>
      </c>
      <c r="F37" s="65" t="s">
        <v>935</v>
      </c>
      <c r="G37" s="7" t="s">
        <v>936</v>
      </c>
      <c r="H37" s="40" t="s">
        <v>127</v>
      </c>
      <c r="I37" s="39" t="s">
        <v>193</v>
      </c>
      <c r="J37" s="39" t="s">
        <v>193</v>
      </c>
      <c r="K37" s="39" t="s">
        <v>193</v>
      </c>
      <c r="L37" s="7" t="s">
        <v>193</v>
      </c>
      <c r="M37" s="39" t="s">
        <v>193</v>
      </c>
      <c r="N37" s="677">
        <v>870000</v>
      </c>
      <c r="O37" s="41">
        <v>531500</v>
      </c>
      <c r="P37" s="41">
        <v>60000</v>
      </c>
      <c r="Q37" s="667">
        <f t="shared" si="3"/>
        <v>1461500</v>
      </c>
      <c r="R37" s="43">
        <v>0</v>
      </c>
      <c r="S37" s="43">
        <v>0</v>
      </c>
      <c r="T37" s="43">
        <v>0</v>
      </c>
      <c r="U37" s="43">
        <v>0</v>
      </c>
      <c r="V37" s="861"/>
      <c r="W37" s="39">
        <v>38700</v>
      </c>
      <c r="X37" s="680">
        <f>W37/V36*100</f>
        <v>74.018820289189819</v>
      </c>
      <c r="Y37" s="39">
        <v>0</v>
      </c>
      <c r="Z37" s="39">
        <v>0</v>
      </c>
      <c r="AA37" s="39">
        <v>0</v>
      </c>
      <c r="AB37" s="39">
        <v>115</v>
      </c>
      <c r="AC37" s="47">
        <v>0</v>
      </c>
      <c r="AD37" s="47">
        <v>0</v>
      </c>
      <c r="AE37" s="47">
        <v>0</v>
      </c>
      <c r="AF37" s="47">
        <v>0</v>
      </c>
      <c r="AG37" s="44">
        <v>0</v>
      </c>
      <c r="AH37" s="44">
        <v>0</v>
      </c>
      <c r="AI37" s="44">
        <v>0</v>
      </c>
      <c r="AJ37" s="44">
        <v>0</v>
      </c>
      <c r="AK37" s="45">
        <v>0</v>
      </c>
      <c r="AL37" s="45">
        <v>0</v>
      </c>
      <c r="AM37" s="45">
        <v>0</v>
      </c>
      <c r="AN37" s="45">
        <v>0</v>
      </c>
      <c r="AO37" s="13">
        <f t="shared" si="1"/>
        <v>0</v>
      </c>
      <c r="AP37" s="681">
        <f t="shared" si="2"/>
        <v>-1461500</v>
      </c>
      <c r="AQ37" s="1"/>
      <c r="AR37" s="1"/>
      <c r="AS37" s="1"/>
      <c r="AT37" s="1"/>
      <c r="AU37" s="1"/>
      <c r="AV37" s="1"/>
    </row>
    <row r="38" spans="1:48" ht="99" customHeight="1">
      <c r="A38" s="39">
        <v>3</v>
      </c>
      <c r="B38" s="845"/>
      <c r="C38" s="845"/>
      <c r="D38" s="682" t="s">
        <v>937</v>
      </c>
      <c r="E38" s="65">
        <v>1</v>
      </c>
      <c r="F38" s="39" t="s">
        <v>938</v>
      </c>
      <c r="G38" s="39" t="s">
        <v>826</v>
      </c>
      <c r="H38" s="40" t="s">
        <v>127</v>
      </c>
      <c r="I38" s="39" t="s">
        <v>193</v>
      </c>
      <c r="J38" s="39" t="s">
        <v>193</v>
      </c>
      <c r="K38" s="39" t="s">
        <v>193</v>
      </c>
      <c r="L38" s="7" t="s">
        <v>193</v>
      </c>
      <c r="M38" s="39" t="s">
        <v>193</v>
      </c>
      <c r="N38" s="41">
        <v>668100</v>
      </c>
      <c r="O38" s="302">
        <v>484000</v>
      </c>
      <c r="P38" s="41">
        <v>60000</v>
      </c>
      <c r="Q38" s="667">
        <f t="shared" si="3"/>
        <v>1212100</v>
      </c>
      <c r="R38" s="43">
        <v>0</v>
      </c>
      <c r="S38" s="43">
        <v>0</v>
      </c>
      <c r="T38" s="43">
        <v>0</v>
      </c>
      <c r="U38" s="43">
        <v>0</v>
      </c>
      <c r="V38" s="861"/>
      <c r="W38" s="39">
        <v>37000</v>
      </c>
      <c r="X38" s="680">
        <f>W38/V36*100</f>
        <v>70.767347563308093</v>
      </c>
      <c r="Y38" s="39">
        <v>0</v>
      </c>
      <c r="Z38" s="39">
        <v>0</v>
      </c>
      <c r="AA38" s="47">
        <v>3948</v>
      </c>
      <c r="AB38" s="39">
        <v>0</v>
      </c>
      <c r="AC38" s="47">
        <v>0</v>
      </c>
      <c r="AD38" s="47">
        <v>0</v>
      </c>
      <c r="AE38" s="47">
        <v>0</v>
      </c>
      <c r="AF38" s="47">
        <v>0</v>
      </c>
      <c r="AG38" s="44">
        <v>0</v>
      </c>
      <c r="AH38" s="44">
        <v>0</v>
      </c>
      <c r="AI38" s="44">
        <v>0</v>
      </c>
      <c r="AJ38" s="44">
        <v>0</v>
      </c>
      <c r="AK38" s="45">
        <v>0</v>
      </c>
      <c r="AL38" s="45">
        <v>0</v>
      </c>
      <c r="AM38" s="45">
        <v>0</v>
      </c>
      <c r="AN38" s="45">
        <v>0</v>
      </c>
      <c r="AO38" s="13">
        <f t="shared" si="1"/>
        <v>0</v>
      </c>
      <c r="AP38" s="681">
        <f t="shared" si="2"/>
        <v>-1212100</v>
      </c>
      <c r="AQ38" s="1"/>
      <c r="AR38" s="1"/>
      <c r="AS38" s="1"/>
      <c r="AT38" s="1"/>
      <c r="AU38" s="1"/>
      <c r="AV38" s="1"/>
    </row>
    <row r="39" spans="1:48" ht="99" customHeight="1">
      <c r="A39" s="39">
        <v>4</v>
      </c>
      <c r="B39" s="845"/>
      <c r="C39" s="845"/>
      <c r="D39" s="682" t="s">
        <v>937</v>
      </c>
      <c r="E39" s="65">
        <v>1</v>
      </c>
      <c r="F39" s="39" t="s">
        <v>939</v>
      </c>
      <c r="G39" s="39" t="s">
        <v>826</v>
      </c>
      <c r="H39" s="40" t="s">
        <v>127</v>
      </c>
      <c r="I39" s="39" t="s">
        <v>193</v>
      </c>
      <c r="J39" s="39" t="s">
        <v>193</v>
      </c>
      <c r="K39" s="39" t="s">
        <v>193</v>
      </c>
      <c r="L39" s="7" t="s">
        <v>193</v>
      </c>
      <c r="M39" s="39" t="s">
        <v>193</v>
      </c>
      <c r="N39" s="41">
        <v>368100</v>
      </c>
      <c r="O39" s="302">
        <v>559500</v>
      </c>
      <c r="P39" s="41">
        <v>60000</v>
      </c>
      <c r="Q39" s="667">
        <f t="shared" si="3"/>
        <v>987600</v>
      </c>
      <c r="R39" s="43">
        <v>0</v>
      </c>
      <c r="S39" s="43">
        <v>0</v>
      </c>
      <c r="T39" s="43">
        <v>0</v>
      </c>
      <c r="U39" s="43">
        <v>0</v>
      </c>
      <c r="V39" s="861"/>
      <c r="W39" s="39">
        <v>25600</v>
      </c>
      <c r="X39" s="680">
        <f>W39/V36*100</f>
        <v>48.963353989748299</v>
      </c>
      <c r="Y39" s="39">
        <v>0</v>
      </c>
      <c r="Z39" s="39">
        <v>0</v>
      </c>
      <c r="AA39" s="47">
        <v>2345</v>
      </c>
      <c r="AB39" s="39">
        <v>0</v>
      </c>
      <c r="AC39" s="47">
        <v>0</v>
      </c>
      <c r="AD39" s="47">
        <v>0</v>
      </c>
      <c r="AE39" s="47">
        <v>0</v>
      </c>
      <c r="AF39" s="47">
        <v>0</v>
      </c>
      <c r="AG39" s="44">
        <v>0</v>
      </c>
      <c r="AH39" s="44">
        <v>0</v>
      </c>
      <c r="AI39" s="44">
        <v>0</v>
      </c>
      <c r="AJ39" s="44">
        <v>0</v>
      </c>
      <c r="AK39" s="45">
        <v>0</v>
      </c>
      <c r="AL39" s="45">
        <v>0</v>
      </c>
      <c r="AM39" s="45">
        <v>0</v>
      </c>
      <c r="AN39" s="45">
        <v>0</v>
      </c>
      <c r="AO39" s="13">
        <f t="shared" si="1"/>
        <v>0</v>
      </c>
      <c r="AP39" s="681">
        <f t="shared" si="2"/>
        <v>-987600</v>
      </c>
      <c r="AQ39" s="1"/>
      <c r="AR39" s="1"/>
      <c r="AS39" s="1"/>
      <c r="AT39" s="1"/>
      <c r="AU39" s="1"/>
      <c r="AV39" s="1"/>
    </row>
    <row r="40" spans="1:48" ht="99" customHeight="1">
      <c r="A40" s="39"/>
      <c r="B40" s="845"/>
      <c r="C40" s="845"/>
      <c r="D40" s="682" t="s">
        <v>940</v>
      </c>
      <c r="E40" s="65">
        <v>1</v>
      </c>
      <c r="F40" s="65" t="s">
        <v>935</v>
      </c>
      <c r="G40" s="66" t="s">
        <v>941</v>
      </c>
      <c r="H40" s="69" t="s">
        <v>127</v>
      </c>
      <c r="I40" s="39" t="s">
        <v>193</v>
      </c>
      <c r="J40" s="39" t="s">
        <v>193</v>
      </c>
      <c r="K40" s="39" t="s">
        <v>193</v>
      </c>
      <c r="L40" s="7" t="s">
        <v>193</v>
      </c>
      <c r="M40" s="39" t="s">
        <v>193</v>
      </c>
      <c r="N40" s="67">
        <v>587500</v>
      </c>
      <c r="O40" s="67">
        <v>1960500</v>
      </c>
      <c r="P40" s="67">
        <v>138000</v>
      </c>
      <c r="Q40" s="667">
        <f t="shared" si="3"/>
        <v>2686000</v>
      </c>
      <c r="R40" s="43">
        <v>0</v>
      </c>
      <c r="S40" s="43">
        <v>0</v>
      </c>
      <c r="T40" s="43">
        <v>0</v>
      </c>
      <c r="U40" s="43">
        <v>0</v>
      </c>
      <c r="V40" s="861"/>
      <c r="W40" s="65">
        <v>25500</v>
      </c>
      <c r="X40" s="680">
        <f>W40/V36*100</f>
        <v>48.772090888225847</v>
      </c>
      <c r="Y40" s="65">
        <v>0</v>
      </c>
      <c r="Z40" s="65">
        <v>253</v>
      </c>
      <c r="AA40" s="65">
        <v>1200</v>
      </c>
      <c r="AB40" s="65">
        <v>0</v>
      </c>
      <c r="AC40" s="47">
        <v>0</v>
      </c>
      <c r="AD40" s="47">
        <v>0</v>
      </c>
      <c r="AE40" s="47">
        <v>0</v>
      </c>
      <c r="AF40" s="47">
        <v>0</v>
      </c>
      <c r="AG40" s="44">
        <v>0</v>
      </c>
      <c r="AH40" s="44">
        <v>0</v>
      </c>
      <c r="AI40" s="44">
        <v>0</v>
      </c>
      <c r="AJ40" s="44">
        <v>0</v>
      </c>
      <c r="AK40" s="45">
        <v>0</v>
      </c>
      <c r="AL40" s="45">
        <v>0</v>
      </c>
      <c r="AM40" s="45">
        <v>0</v>
      </c>
      <c r="AN40" s="45">
        <v>0</v>
      </c>
      <c r="AO40" s="13">
        <f t="shared" si="1"/>
        <v>0</v>
      </c>
      <c r="AP40" s="681">
        <f t="shared" si="2"/>
        <v>-2686000</v>
      </c>
      <c r="AQ40" s="1"/>
      <c r="AR40" s="1"/>
      <c r="AS40" s="1"/>
      <c r="AT40" s="1"/>
      <c r="AU40" s="1"/>
      <c r="AV40" s="1"/>
    </row>
    <row r="41" spans="1:48" ht="99" customHeight="1">
      <c r="A41" s="39"/>
      <c r="B41" s="845"/>
      <c r="C41" s="845"/>
      <c r="D41" s="682" t="s">
        <v>942</v>
      </c>
      <c r="E41" s="65">
        <v>1</v>
      </c>
      <c r="F41" s="65" t="s">
        <v>943</v>
      </c>
      <c r="G41" s="66" t="s">
        <v>942</v>
      </c>
      <c r="H41" s="69" t="s">
        <v>127</v>
      </c>
      <c r="I41" s="39" t="s">
        <v>193</v>
      </c>
      <c r="J41" s="39" t="s">
        <v>193</v>
      </c>
      <c r="K41" s="39" t="s">
        <v>193</v>
      </c>
      <c r="L41" s="7" t="s">
        <v>193</v>
      </c>
      <c r="M41" s="39" t="s">
        <v>193</v>
      </c>
      <c r="N41" s="67">
        <v>251300</v>
      </c>
      <c r="O41" s="67">
        <v>2435000</v>
      </c>
      <c r="P41" s="67">
        <v>63100</v>
      </c>
      <c r="Q41" s="667">
        <f t="shared" si="3"/>
        <v>2749400</v>
      </c>
      <c r="R41" s="43">
        <v>0</v>
      </c>
      <c r="S41" s="43">
        <v>0</v>
      </c>
      <c r="T41" s="43">
        <v>0</v>
      </c>
      <c r="U41" s="43">
        <v>0</v>
      </c>
      <c r="V41" s="861"/>
      <c r="W41" s="65">
        <v>20500</v>
      </c>
      <c r="X41" s="680">
        <f>W41/V36*100</f>
        <v>39.208935812103128</v>
      </c>
      <c r="Y41" s="65">
        <v>0</v>
      </c>
      <c r="Z41" s="65">
        <v>232</v>
      </c>
      <c r="AA41" s="65">
        <v>1500</v>
      </c>
      <c r="AB41" s="65">
        <v>0</v>
      </c>
      <c r="AC41" s="47">
        <v>0</v>
      </c>
      <c r="AD41" s="47">
        <v>0</v>
      </c>
      <c r="AE41" s="47">
        <v>0</v>
      </c>
      <c r="AF41" s="47">
        <v>0</v>
      </c>
      <c r="AG41" s="44">
        <v>0</v>
      </c>
      <c r="AH41" s="44">
        <v>0</v>
      </c>
      <c r="AI41" s="44">
        <v>0</v>
      </c>
      <c r="AJ41" s="44">
        <v>0</v>
      </c>
      <c r="AK41" s="45">
        <v>0</v>
      </c>
      <c r="AL41" s="45">
        <v>0</v>
      </c>
      <c r="AM41" s="45">
        <v>0</v>
      </c>
      <c r="AN41" s="45">
        <v>0</v>
      </c>
      <c r="AO41" s="13">
        <f t="shared" si="1"/>
        <v>0</v>
      </c>
      <c r="AP41" s="681">
        <f t="shared" si="2"/>
        <v>-2749400</v>
      </c>
      <c r="AQ41" s="1"/>
      <c r="AR41" s="1"/>
      <c r="AS41" s="1"/>
      <c r="AT41" s="1"/>
      <c r="AU41" s="1"/>
      <c r="AV41" s="1"/>
    </row>
    <row r="42" spans="1:48" ht="99" customHeight="1">
      <c r="A42" s="39"/>
      <c r="B42" s="845"/>
      <c r="C42" s="845"/>
      <c r="D42" s="682" t="s">
        <v>944</v>
      </c>
      <c r="E42" s="65">
        <v>1</v>
      </c>
      <c r="F42" s="65" t="s">
        <v>945</v>
      </c>
      <c r="G42" s="66" t="s">
        <v>946</v>
      </c>
      <c r="H42" s="69" t="s">
        <v>127</v>
      </c>
      <c r="I42" s="39" t="s">
        <v>193</v>
      </c>
      <c r="J42" s="39" t="s">
        <v>193</v>
      </c>
      <c r="K42" s="39" t="s">
        <v>193</v>
      </c>
      <c r="L42" s="7" t="s">
        <v>193</v>
      </c>
      <c r="M42" s="39" t="s">
        <v>193</v>
      </c>
      <c r="N42" s="67">
        <v>188500</v>
      </c>
      <c r="O42" s="67">
        <v>1379500</v>
      </c>
      <c r="P42" s="67">
        <v>120000</v>
      </c>
      <c r="Q42" s="667">
        <f t="shared" si="3"/>
        <v>1688000</v>
      </c>
      <c r="R42" s="43">
        <v>0</v>
      </c>
      <c r="S42" s="43">
        <v>0</v>
      </c>
      <c r="T42" s="43">
        <v>0</v>
      </c>
      <c r="U42" s="43">
        <v>0</v>
      </c>
      <c r="V42" s="861"/>
      <c r="W42" s="65">
        <v>0</v>
      </c>
      <c r="X42" s="680">
        <f>W42/V36*100</f>
        <v>0</v>
      </c>
      <c r="Y42" s="65">
        <v>0</v>
      </c>
      <c r="Z42" s="65">
        <v>0</v>
      </c>
      <c r="AA42" s="65">
        <v>114</v>
      </c>
      <c r="AB42" s="65">
        <v>162</v>
      </c>
      <c r="AC42" s="47">
        <v>0</v>
      </c>
      <c r="AD42" s="47">
        <v>0</v>
      </c>
      <c r="AE42" s="47">
        <v>0</v>
      </c>
      <c r="AF42" s="47">
        <v>0</v>
      </c>
      <c r="AG42" s="44">
        <v>0</v>
      </c>
      <c r="AH42" s="44">
        <v>0</v>
      </c>
      <c r="AI42" s="44">
        <v>0</v>
      </c>
      <c r="AJ42" s="44">
        <v>0</v>
      </c>
      <c r="AK42" s="45">
        <v>0</v>
      </c>
      <c r="AL42" s="45">
        <v>0</v>
      </c>
      <c r="AM42" s="45">
        <v>0</v>
      </c>
      <c r="AN42" s="45">
        <v>0</v>
      </c>
      <c r="AO42" s="13">
        <f t="shared" si="1"/>
        <v>0</v>
      </c>
      <c r="AP42" s="681">
        <f t="shared" si="2"/>
        <v>-1688000</v>
      </c>
      <c r="AQ42" s="1"/>
      <c r="AR42" s="1"/>
      <c r="AS42" s="1"/>
      <c r="AT42" s="1"/>
      <c r="AU42" s="1"/>
      <c r="AV42" s="1"/>
    </row>
    <row r="43" spans="1:48" ht="99" customHeight="1">
      <c r="A43" s="39">
        <v>5</v>
      </c>
      <c r="B43" s="845"/>
      <c r="C43" s="845"/>
      <c r="D43" s="682" t="s">
        <v>947</v>
      </c>
      <c r="E43" s="65">
        <v>1</v>
      </c>
      <c r="F43" s="65" t="s">
        <v>948</v>
      </c>
      <c r="G43" s="66" t="s">
        <v>949</v>
      </c>
      <c r="H43" s="69" t="s">
        <v>127</v>
      </c>
      <c r="I43" s="39" t="s">
        <v>193</v>
      </c>
      <c r="J43" s="39" t="s">
        <v>193</v>
      </c>
      <c r="K43" s="39" t="s">
        <v>193</v>
      </c>
      <c r="L43" s="7" t="s">
        <v>193</v>
      </c>
      <c r="M43" s="39" t="s">
        <v>193</v>
      </c>
      <c r="N43" s="67">
        <v>188500</v>
      </c>
      <c r="O43" s="67">
        <v>956000</v>
      </c>
      <c r="P43" s="67">
        <v>120000</v>
      </c>
      <c r="Q43" s="667">
        <f t="shared" si="3"/>
        <v>1264500</v>
      </c>
      <c r="R43" s="43">
        <v>0</v>
      </c>
      <c r="S43" s="43">
        <v>0</v>
      </c>
      <c r="T43" s="43">
        <v>0</v>
      </c>
      <c r="U43" s="43">
        <v>0</v>
      </c>
      <c r="V43" s="861"/>
      <c r="W43" s="65">
        <v>0</v>
      </c>
      <c r="X43" s="680">
        <f>W43/V36*100</f>
        <v>0</v>
      </c>
      <c r="Y43" s="65">
        <v>0</v>
      </c>
      <c r="Z43" s="65">
        <v>0</v>
      </c>
      <c r="AA43" s="65">
        <v>79</v>
      </c>
      <c r="AB43" s="65">
        <v>332</v>
      </c>
      <c r="AC43" s="47">
        <v>0</v>
      </c>
      <c r="AD43" s="47">
        <v>0</v>
      </c>
      <c r="AE43" s="47">
        <v>0</v>
      </c>
      <c r="AF43" s="47">
        <v>0</v>
      </c>
      <c r="AG43" s="44">
        <v>0</v>
      </c>
      <c r="AH43" s="44">
        <v>0</v>
      </c>
      <c r="AI43" s="44">
        <v>0</v>
      </c>
      <c r="AJ43" s="44">
        <v>0</v>
      </c>
      <c r="AK43" s="45">
        <v>0</v>
      </c>
      <c r="AL43" s="45">
        <v>0</v>
      </c>
      <c r="AM43" s="45">
        <v>0</v>
      </c>
      <c r="AN43" s="45">
        <v>0</v>
      </c>
      <c r="AO43" s="13">
        <f t="shared" si="1"/>
        <v>0</v>
      </c>
      <c r="AP43" s="681">
        <f t="shared" si="2"/>
        <v>-1264500</v>
      </c>
      <c r="AQ43" s="1"/>
      <c r="AR43" s="1"/>
      <c r="AS43" s="1"/>
      <c r="AT43" s="1"/>
      <c r="AU43" s="1"/>
      <c r="AV43" s="1"/>
    </row>
    <row r="44" spans="1:48" ht="99" customHeight="1" thickBot="1">
      <c r="A44" s="65">
        <v>6</v>
      </c>
      <c r="B44" s="859"/>
      <c r="C44" s="859"/>
      <c r="D44" s="682" t="s">
        <v>950</v>
      </c>
      <c r="E44" s="65">
        <v>1</v>
      </c>
      <c r="F44" s="65" t="s">
        <v>935</v>
      </c>
      <c r="G44" s="66" t="s">
        <v>951</v>
      </c>
      <c r="H44" s="69" t="s">
        <v>127</v>
      </c>
      <c r="I44" s="65" t="s">
        <v>193</v>
      </c>
      <c r="J44" s="65" t="s">
        <v>193</v>
      </c>
      <c r="K44" s="65" t="s">
        <v>193</v>
      </c>
      <c r="L44" s="66" t="s">
        <v>193</v>
      </c>
      <c r="M44" s="65" t="s">
        <v>193</v>
      </c>
      <c r="N44" s="67">
        <v>100000</v>
      </c>
      <c r="O44" s="67">
        <v>312000</v>
      </c>
      <c r="P44" s="67">
        <v>120000</v>
      </c>
      <c r="Q44" s="667">
        <f t="shared" si="3"/>
        <v>532000</v>
      </c>
      <c r="R44" s="68">
        <v>0</v>
      </c>
      <c r="S44" s="68">
        <v>0</v>
      </c>
      <c r="T44" s="68">
        <v>0</v>
      </c>
      <c r="U44" s="68">
        <v>0</v>
      </c>
      <c r="V44" s="862"/>
      <c r="W44" s="272">
        <v>18000</v>
      </c>
      <c r="X44" s="683">
        <f>W44/V36*100</f>
        <v>34.427358274041772</v>
      </c>
      <c r="Y44" s="272">
        <v>0</v>
      </c>
      <c r="Z44" s="272">
        <v>0</v>
      </c>
      <c r="AA44" s="272">
        <v>6720</v>
      </c>
      <c r="AB44" s="272">
        <v>0</v>
      </c>
      <c r="AC44" s="282">
        <v>0</v>
      </c>
      <c r="AD44" s="282">
        <v>0</v>
      </c>
      <c r="AE44" s="282">
        <v>0</v>
      </c>
      <c r="AF44" s="282">
        <v>0</v>
      </c>
      <c r="AG44" s="326">
        <v>0</v>
      </c>
      <c r="AH44" s="326">
        <v>0</v>
      </c>
      <c r="AI44" s="326">
        <v>0</v>
      </c>
      <c r="AJ44" s="326">
        <v>0</v>
      </c>
      <c r="AK44" s="37">
        <v>0</v>
      </c>
      <c r="AL44" s="37">
        <v>0</v>
      </c>
      <c r="AM44" s="37">
        <v>0</v>
      </c>
      <c r="AN44" s="37">
        <v>0</v>
      </c>
      <c r="AO44" s="72">
        <f t="shared" si="1"/>
        <v>0</v>
      </c>
      <c r="AP44" s="684">
        <f t="shared" si="2"/>
        <v>-532000</v>
      </c>
      <c r="AQ44" s="1"/>
      <c r="AR44" s="1"/>
      <c r="AS44" s="1"/>
      <c r="AT44" s="1"/>
      <c r="AU44" s="1"/>
      <c r="AV44" s="1"/>
    </row>
    <row r="45" spans="1:48" ht="99" customHeight="1">
      <c r="A45" s="841">
        <v>5</v>
      </c>
      <c r="B45" s="844" t="s">
        <v>597</v>
      </c>
      <c r="C45" s="844">
        <v>25</v>
      </c>
      <c r="D45" s="220" t="s">
        <v>598</v>
      </c>
      <c r="E45" s="221">
        <v>2</v>
      </c>
      <c r="F45" s="220" t="s">
        <v>599</v>
      </c>
      <c r="G45" s="220" t="s">
        <v>600</v>
      </c>
      <c r="H45" s="847" t="s">
        <v>127</v>
      </c>
      <c r="I45" s="51" t="s">
        <v>193</v>
      </c>
      <c r="J45" s="51" t="s">
        <v>193</v>
      </c>
      <c r="K45" s="51" t="s">
        <v>193</v>
      </c>
      <c r="L45" s="685" t="s">
        <v>130</v>
      </c>
      <c r="M45" s="51" t="s">
        <v>193</v>
      </c>
      <c r="N45" s="686">
        <v>0</v>
      </c>
      <c r="O45" s="687">
        <v>200000</v>
      </c>
      <c r="P45" s="686">
        <v>0</v>
      </c>
      <c r="Q45" s="688">
        <f t="shared" si="3"/>
        <v>200000</v>
      </c>
      <c r="R45" s="689">
        <v>0</v>
      </c>
      <c r="S45" s="224">
        <v>0</v>
      </c>
      <c r="T45" s="689">
        <v>0</v>
      </c>
      <c r="U45" s="224">
        <v>7000</v>
      </c>
      <c r="V45" s="850">
        <v>12200</v>
      </c>
      <c r="W45" s="334">
        <v>5200</v>
      </c>
      <c r="X45" s="690">
        <f>W45/V45*100</f>
        <v>42.622950819672127</v>
      </c>
      <c r="Y45" s="334">
        <v>0</v>
      </c>
      <c r="Z45" s="335">
        <v>0</v>
      </c>
      <c r="AA45" s="334">
        <v>50</v>
      </c>
      <c r="AB45" s="335">
        <v>32000</v>
      </c>
      <c r="AC45" s="334">
        <v>0</v>
      </c>
      <c r="AD45" s="335">
        <v>2700</v>
      </c>
      <c r="AE45" s="334">
        <v>0</v>
      </c>
      <c r="AF45" s="335">
        <v>0</v>
      </c>
      <c r="AG45" s="334">
        <v>0</v>
      </c>
      <c r="AH45" s="335">
        <v>0</v>
      </c>
      <c r="AI45" s="334">
        <v>0</v>
      </c>
      <c r="AJ45" s="335">
        <v>1000000</v>
      </c>
      <c r="AK45" s="638">
        <v>0</v>
      </c>
      <c r="AL45" s="638">
        <v>0</v>
      </c>
      <c r="AM45" s="638">
        <v>0</v>
      </c>
      <c r="AN45" s="638">
        <v>1000000</v>
      </c>
      <c r="AO45" s="271">
        <f t="shared" si="1"/>
        <v>1000000</v>
      </c>
      <c r="AP45" s="639">
        <f t="shared" si="2"/>
        <v>800000</v>
      </c>
      <c r="AQ45" s="1"/>
      <c r="AR45" s="1"/>
      <c r="AS45" s="1"/>
      <c r="AT45" s="1"/>
      <c r="AU45" s="1"/>
      <c r="AV45" s="1"/>
    </row>
    <row r="46" spans="1:48" ht="99" customHeight="1">
      <c r="A46" s="842"/>
      <c r="B46" s="845"/>
      <c r="C46" s="845"/>
      <c r="D46" s="231" t="s">
        <v>601</v>
      </c>
      <c r="E46" s="232">
        <v>3</v>
      </c>
      <c r="F46" s="231" t="s">
        <v>602</v>
      </c>
      <c r="G46" s="231" t="s">
        <v>603</v>
      </c>
      <c r="H46" s="848"/>
      <c r="I46" s="39" t="s">
        <v>193</v>
      </c>
      <c r="J46" s="39" t="s">
        <v>193</v>
      </c>
      <c r="K46" s="39" t="s">
        <v>193</v>
      </c>
      <c r="L46" s="231" t="s">
        <v>130</v>
      </c>
      <c r="M46" s="39" t="s">
        <v>193</v>
      </c>
      <c r="N46" s="691">
        <v>0</v>
      </c>
      <c r="O46" s="691">
        <v>80000</v>
      </c>
      <c r="P46" s="692">
        <v>0</v>
      </c>
      <c r="Q46" s="327">
        <f t="shared" si="3"/>
        <v>80000</v>
      </c>
      <c r="R46" s="234">
        <v>0</v>
      </c>
      <c r="S46" s="234">
        <v>0</v>
      </c>
      <c r="T46" s="234">
        <v>0</v>
      </c>
      <c r="U46" s="234">
        <v>10000</v>
      </c>
      <c r="V46" s="851"/>
      <c r="W46" s="262">
        <v>2100</v>
      </c>
      <c r="X46" s="693">
        <f>W46/V45*100</f>
        <v>17.21311475409836</v>
      </c>
      <c r="Y46" s="262">
        <v>0</v>
      </c>
      <c r="Z46" s="262">
        <v>0</v>
      </c>
      <c r="AA46" s="262">
        <v>0</v>
      </c>
      <c r="AB46" s="262">
        <v>0</v>
      </c>
      <c r="AC46" s="262">
        <v>20</v>
      </c>
      <c r="AD46" s="262">
        <v>0</v>
      </c>
      <c r="AE46" s="262">
        <v>0</v>
      </c>
      <c r="AF46" s="262">
        <v>0</v>
      </c>
      <c r="AG46" s="236">
        <v>0</v>
      </c>
      <c r="AH46" s="236">
        <v>0</v>
      </c>
      <c r="AI46" s="236">
        <v>0</v>
      </c>
      <c r="AJ46" s="236">
        <v>200000</v>
      </c>
      <c r="AK46" s="45">
        <v>0</v>
      </c>
      <c r="AL46" s="45">
        <v>0</v>
      </c>
      <c r="AM46" s="45">
        <v>0</v>
      </c>
      <c r="AN46" s="45">
        <v>200000</v>
      </c>
      <c r="AO46" s="13">
        <f t="shared" si="1"/>
        <v>200000</v>
      </c>
      <c r="AP46" s="644">
        <f t="shared" si="2"/>
        <v>120000</v>
      </c>
      <c r="AQ46" s="1"/>
      <c r="AR46" s="1"/>
      <c r="AS46" s="1"/>
      <c r="AT46" s="1"/>
      <c r="AU46" s="1"/>
      <c r="AV46" s="1"/>
    </row>
    <row r="47" spans="1:48" ht="99" customHeight="1">
      <c r="A47" s="842"/>
      <c r="B47" s="845"/>
      <c r="C47" s="845"/>
      <c r="D47" s="231" t="s">
        <v>601</v>
      </c>
      <c r="E47" s="232">
        <v>2</v>
      </c>
      <c r="F47" s="231" t="s">
        <v>604</v>
      </c>
      <c r="G47" s="231" t="s">
        <v>605</v>
      </c>
      <c r="H47" s="848"/>
      <c r="I47" s="39" t="s">
        <v>193</v>
      </c>
      <c r="J47" s="39" t="s">
        <v>193</v>
      </c>
      <c r="K47" s="39" t="s">
        <v>193</v>
      </c>
      <c r="L47" s="231" t="s">
        <v>130</v>
      </c>
      <c r="M47" s="39" t="s">
        <v>193</v>
      </c>
      <c r="N47" s="691">
        <v>0</v>
      </c>
      <c r="O47" s="691">
        <v>115000</v>
      </c>
      <c r="P47" s="692">
        <v>0</v>
      </c>
      <c r="Q47" s="327">
        <f t="shared" si="3"/>
        <v>115000</v>
      </c>
      <c r="R47" s="234">
        <v>0</v>
      </c>
      <c r="S47" s="234">
        <v>0</v>
      </c>
      <c r="T47" s="234">
        <v>0</v>
      </c>
      <c r="U47" s="234">
        <v>10000</v>
      </c>
      <c r="V47" s="851"/>
      <c r="W47" s="262">
        <v>5000</v>
      </c>
      <c r="X47" s="693">
        <f>W47/V45*100</f>
        <v>40.983606557377051</v>
      </c>
      <c r="Y47" s="262">
        <v>0</v>
      </c>
      <c r="Z47" s="262">
        <v>0</v>
      </c>
      <c r="AA47" s="262">
        <v>0</v>
      </c>
      <c r="AB47" s="262">
        <v>0</v>
      </c>
      <c r="AC47" s="262">
        <v>39</v>
      </c>
      <c r="AD47" s="262">
        <v>0</v>
      </c>
      <c r="AE47" s="262">
        <v>0</v>
      </c>
      <c r="AF47" s="262">
        <v>0</v>
      </c>
      <c r="AG47" s="236">
        <v>0</v>
      </c>
      <c r="AH47" s="236">
        <v>0</v>
      </c>
      <c r="AI47" s="236">
        <v>0</v>
      </c>
      <c r="AJ47" s="236">
        <v>390000</v>
      </c>
      <c r="AK47" s="45">
        <v>0</v>
      </c>
      <c r="AL47" s="45">
        <v>0</v>
      </c>
      <c r="AM47" s="45">
        <v>0</v>
      </c>
      <c r="AN47" s="45">
        <v>390000</v>
      </c>
      <c r="AO47" s="13">
        <f t="shared" si="1"/>
        <v>390000</v>
      </c>
      <c r="AP47" s="644">
        <f t="shared" si="2"/>
        <v>275000</v>
      </c>
      <c r="AQ47" s="1"/>
      <c r="AR47" s="1"/>
      <c r="AS47" s="1"/>
      <c r="AT47" s="1"/>
      <c r="AU47" s="1"/>
      <c r="AV47" s="1"/>
    </row>
    <row r="48" spans="1:48" ht="99" customHeight="1">
      <c r="A48" s="842"/>
      <c r="B48" s="845"/>
      <c r="C48" s="845"/>
      <c r="D48" s="231" t="s">
        <v>236</v>
      </c>
      <c r="E48" s="232">
        <v>1</v>
      </c>
      <c r="F48" s="231" t="s">
        <v>606</v>
      </c>
      <c r="G48" s="231" t="s">
        <v>607</v>
      </c>
      <c r="H48" s="848"/>
      <c r="I48" s="39" t="s">
        <v>193</v>
      </c>
      <c r="J48" s="39" t="s">
        <v>193</v>
      </c>
      <c r="K48" s="39" t="s">
        <v>193</v>
      </c>
      <c r="L48" s="39" t="s">
        <v>193</v>
      </c>
      <c r="M48" s="232" t="s">
        <v>130</v>
      </c>
      <c r="N48" s="691">
        <v>0</v>
      </c>
      <c r="O48" s="691">
        <v>0</v>
      </c>
      <c r="P48" s="692">
        <v>0</v>
      </c>
      <c r="Q48" s="327">
        <f t="shared" si="3"/>
        <v>0</v>
      </c>
      <c r="R48" s="234">
        <v>0</v>
      </c>
      <c r="S48" s="234">
        <v>0</v>
      </c>
      <c r="T48" s="234">
        <v>0</v>
      </c>
      <c r="U48" s="234">
        <v>10000</v>
      </c>
      <c r="V48" s="851"/>
      <c r="W48" s="262">
        <v>0</v>
      </c>
      <c r="X48" s="693">
        <f>W48/V45*100</f>
        <v>0</v>
      </c>
      <c r="Y48" s="262">
        <v>0</v>
      </c>
      <c r="Z48" s="262">
        <v>0</v>
      </c>
      <c r="AA48" s="262">
        <v>0</v>
      </c>
      <c r="AB48" s="262">
        <v>0</v>
      </c>
      <c r="AC48" s="262">
        <v>0</v>
      </c>
      <c r="AD48" s="262">
        <v>0</v>
      </c>
      <c r="AE48" s="262">
        <v>0</v>
      </c>
      <c r="AF48" s="262">
        <v>0</v>
      </c>
      <c r="AG48" s="236">
        <v>0</v>
      </c>
      <c r="AH48" s="236">
        <v>0</v>
      </c>
      <c r="AI48" s="236">
        <v>0</v>
      </c>
      <c r="AJ48" s="236">
        <v>0</v>
      </c>
      <c r="AK48" s="45">
        <v>0</v>
      </c>
      <c r="AL48" s="45">
        <v>0</v>
      </c>
      <c r="AM48" s="45">
        <v>0</v>
      </c>
      <c r="AN48" s="45">
        <v>0</v>
      </c>
      <c r="AO48" s="13">
        <f t="shared" si="1"/>
        <v>0</v>
      </c>
      <c r="AP48" s="644">
        <f t="shared" si="2"/>
        <v>0</v>
      </c>
      <c r="AQ48" s="1"/>
      <c r="AR48" s="1"/>
      <c r="AS48" s="1"/>
      <c r="AT48" s="1"/>
      <c r="AU48" s="1"/>
      <c r="AV48" s="1"/>
    </row>
    <row r="49" spans="1:48" ht="99" customHeight="1">
      <c r="A49" s="842"/>
      <c r="B49" s="845"/>
      <c r="C49" s="845"/>
      <c r="D49" s="231" t="s">
        <v>50</v>
      </c>
      <c r="E49" s="232">
        <v>1</v>
      </c>
      <c r="F49" s="231" t="s">
        <v>608</v>
      </c>
      <c r="G49" s="231" t="s">
        <v>609</v>
      </c>
      <c r="H49" s="848"/>
      <c r="I49" s="39" t="s">
        <v>193</v>
      </c>
      <c r="J49" s="39" t="s">
        <v>193</v>
      </c>
      <c r="K49" s="39" t="s">
        <v>193</v>
      </c>
      <c r="L49" s="232" t="s">
        <v>130</v>
      </c>
      <c r="M49" s="39" t="s">
        <v>193</v>
      </c>
      <c r="N49" s="694">
        <v>0</v>
      </c>
      <c r="O49" s="694">
        <v>180000</v>
      </c>
      <c r="P49" s="692">
        <v>0</v>
      </c>
      <c r="Q49" s="327">
        <f t="shared" si="3"/>
        <v>180000</v>
      </c>
      <c r="R49" s="252">
        <v>0</v>
      </c>
      <c r="S49" s="252">
        <v>0</v>
      </c>
      <c r="T49" s="252">
        <v>0</v>
      </c>
      <c r="U49" s="252">
        <v>10000</v>
      </c>
      <c r="V49" s="851"/>
      <c r="W49" s="262">
        <v>2700</v>
      </c>
      <c r="X49" s="693">
        <f>W49/V45*100</f>
        <v>22.131147540983605</v>
      </c>
      <c r="Y49" s="336">
        <v>0</v>
      </c>
      <c r="Z49" s="336">
        <v>0</v>
      </c>
      <c r="AA49" s="336">
        <v>80</v>
      </c>
      <c r="AB49" s="336">
        <v>0</v>
      </c>
      <c r="AC49" s="336">
        <v>0</v>
      </c>
      <c r="AD49" s="336">
        <v>0</v>
      </c>
      <c r="AE49" s="336">
        <v>0</v>
      </c>
      <c r="AF49" s="336">
        <v>0</v>
      </c>
      <c r="AG49" s="236">
        <v>0</v>
      </c>
      <c r="AH49" s="236">
        <v>0</v>
      </c>
      <c r="AI49" s="236">
        <v>0</v>
      </c>
      <c r="AJ49" s="236">
        <v>0</v>
      </c>
      <c r="AK49" s="45">
        <v>0</v>
      </c>
      <c r="AL49" s="45">
        <v>0</v>
      </c>
      <c r="AM49" s="45">
        <v>0</v>
      </c>
      <c r="AN49" s="45">
        <v>0</v>
      </c>
      <c r="AO49" s="13">
        <f t="shared" si="1"/>
        <v>0</v>
      </c>
      <c r="AP49" s="644">
        <f t="shared" si="2"/>
        <v>-180000</v>
      </c>
      <c r="AQ49" s="1"/>
      <c r="AR49" s="1"/>
      <c r="AS49" s="1"/>
      <c r="AT49" s="1"/>
      <c r="AU49" s="1"/>
      <c r="AV49" s="1"/>
    </row>
    <row r="50" spans="1:48" ht="99" customHeight="1">
      <c r="A50" s="842"/>
      <c r="B50" s="845"/>
      <c r="C50" s="845"/>
      <c r="D50" s="231" t="s">
        <v>131</v>
      </c>
      <c r="E50" s="232">
        <v>1</v>
      </c>
      <c r="F50" s="231" t="s">
        <v>610</v>
      </c>
      <c r="G50" s="231" t="s">
        <v>611</v>
      </c>
      <c r="H50" s="848"/>
      <c r="I50" s="39" t="s">
        <v>193</v>
      </c>
      <c r="J50" s="39" t="s">
        <v>193</v>
      </c>
      <c r="K50" s="39" t="s">
        <v>193</v>
      </c>
      <c r="L50" s="232" t="s">
        <v>130</v>
      </c>
      <c r="M50" s="39" t="s">
        <v>193</v>
      </c>
      <c r="N50" s="694">
        <v>0</v>
      </c>
      <c r="O50" s="694">
        <v>164000</v>
      </c>
      <c r="P50" s="692">
        <v>0</v>
      </c>
      <c r="Q50" s="327">
        <f t="shared" si="3"/>
        <v>164000</v>
      </c>
      <c r="R50" s="252">
        <v>0</v>
      </c>
      <c r="S50" s="252">
        <v>0</v>
      </c>
      <c r="T50" s="252">
        <v>0</v>
      </c>
      <c r="U50" s="252">
        <v>100</v>
      </c>
      <c r="V50" s="851"/>
      <c r="W50" s="262">
        <v>4900</v>
      </c>
      <c r="X50" s="693">
        <f>W50/V45*100</f>
        <v>40.16393442622951</v>
      </c>
      <c r="Y50" s="336">
        <v>0</v>
      </c>
      <c r="Z50" s="336">
        <v>0</v>
      </c>
      <c r="AA50" s="336">
        <v>0</v>
      </c>
      <c r="AB50" s="336">
        <v>0</v>
      </c>
      <c r="AC50" s="336">
        <v>0</v>
      </c>
      <c r="AD50" s="336">
        <v>0</v>
      </c>
      <c r="AE50" s="336">
        <v>0</v>
      </c>
      <c r="AF50" s="336">
        <v>0</v>
      </c>
      <c r="AG50" s="236">
        <v>0</v>
      </c>
      <c r="AH50" s="236">
        <v>0</v>
      </c>
      <c r="AI50" s="236">
        <v>0</v>
      </c>
      <c r="AJ50" s="236">
        <v>0</v>
      </c>
      <c r="AK50" s="45">
        <v>0</v>
      </c>
      <c r="AL50" s="45">
        <v>0</v>
      </c>
      <c r="AM50" s="45">
        <v>0</v>
      </c>
      <c r="AN50" s="45">
        <v>0</v>
      </c>
      <c r="AO50" s="13">
        <f t="shared" si="1"/>
        <v>0</v>
      </c>
      <c r="AP50" s="644">
        <f t="shared" si="2"/>
        <v>-164000</v>
      </c>
      <c r="AQ50" s="1"/>
      <c r="AR50" s="1"/>
      <c r="AS50" s="1"/>
      <c r="AT50" s="1"/>
      <c r="AU50" s="1"/>
      <c r="AV50" s="1"/>
    </row>
    <row r="51" spans="1:48" ht="99" customHeight="1">
      <c r="A51" s="842"/>
      <c r="B51" s="845"/>
      <c r="C51" s="845"/>
      <c r="D51" s="231" t="s">
        <v>497</v>
      </c>
      <c r="E51" s="232">
        <v>1</v>
      </c>
      <c r="F51" s="231" t="s">
        <v>612</v>
      </c>
      <c r="G51" s="231" t="s">
        <v>613</v>
      </c>
      <c r="H51" s="848"/>
      <c r="I51" s="39" t="s">
        <v>193</v>
      </c>
      <c r="J51" s="39" t="s">
        <v>193</v>
      </c>
      <c r="K51" s="39" t="s">
        <v>193</v>
      </c>
      <c r="L51" s="232" t="s">
        <v>130</v>
      </c>
      <c r="M51" s="39" t="s">
        <v>193</v>
      </c>
      <c r="N51" s="694">
        <v>0</v>
      </c>
      <c r="O51" s="694">
        <v>0</v>
      </c>
      <c r="P51" s="692">
        <v>0</v>
      </c>
      <c r="Q51" s="327">
        <f t="shared" si="3"/>
        <v>0</v>
      </c>
      <c r="R51" s="252">
        <v>0</v>
      </c>
      <c r="S51" s="252">
        <v>0</v>
      </c>
      <c r="T51" s="252">
        <v>500</v>
      </c>
      <c r="U51" s="252">
        <v>500</v>
      </c>
      <c r="V51" s="851"/>
      <c r="W51" s="262">
        <v>2100</v>
      </c>
      <c r="X51" s="695">
        <f>W51/V45*100</f>
        <v>17.21311475409836</v>
      </c>
      <c r="Y51" s="336">
        <v>0</v>
      </c>
      <c r="Z51" s="336">
        <v>0</v>
      </c>
      <c r="AA51" s="336">
        <v>0</v>
      </c>
      <c r="AB51" s="336">
        <v>0</v>
      </c>
      <c r="AC51" s="336">
        <v>0</v>
      </c>
      <c r="AD51" s="336">
        <v>0</v>
      </c>
      <c r="AE51" s="336">
        <v>0</v>
      </c>
      <c r="AF51" s="336">
        <v>0</v>
      </c>
      <c r="AG51" s="236">
        <v>0</v>
      </c>
      <c r="AH51" s="236">
        <v>0</v>
      </c>
      <c r="AI51" s="236">
        <v>0</v>
      </c>
      <c r="AJ51" s="236">
        <v>250000</v>
      </c>
      <c r="AK51" s="45">
        <v>0</v>
      </c>
      <c r="AL51" s="45">
        <v>0</v>
      </c>
      <c r="AM51" s="45">
        <v>0</v>
      </c>
      <c r="AN51" s="45">
        <v>250000</v>
      </c>
      <c r="AO51" s="13">
        <f t="shared" si="1"/>
        <v>250000</v>
      </c>
      <c r="AP51" s="644">
        <f t="shared" si="2"/>
        <v>250000</v>
      </c>
      <c r="AQ51" s="1"/>
      <c r="AR51" s="1"/>
      <c r="AS51" s="1"/>
      <c r="AT51" s="1"/>
      <c r="AU51" s="1"/>
      <c r="AV51" s="1"/>
    </row>
    <row r="52" spans="1:48" ht="99" customHeight="1" thickBot="1">
      <c r="A52" s="843"/>
      <c r="B52" s="846"/>
      <c r="C52" s="846"/>
      <c r="D52" s="239" t="s">
        <v>601</v>
      </c>
      <c r="E52" s="240">
        <v>2</v>
      </c>
      <c r="F52" s="239" t="s">
        <v>614</v>
      </c>
      <c r="G52" s="239" t="s">
        <v>615</v>
      </c>
      <c r="H52" s="849"/>
      <c r="I52" s="308" t="s">
        <v>193</v>
      </c>
      <c r="J52" s="308" t="s">
        <v>193</v>
      </c>
      <c r="K52" s="308" t="s">
        <v>193</v>
      </c>
      <c r="L52" s="308" t="s">
        <v>193</v>
      </c>
      <c r="M52" s="368" t="s">
        <v>130</v>
      </c>
      <c r="N52" s="696">
        <v>0</v>
      </c>
      <c r="O52" s="696">
        <v>0</v>
      </c>
      <c r="P52" s="697">
        <v>0</v>
      </c>
      <c r="Q52" s="339">
        <f t="shared" si="3"/>
        <v>0</v>
      </c>
      <c r="R52" s="243">
        <v>0</v>
      </c>
      <c r="S52" s="243">
        <v>0</v>
      </c>
      <c r="T52" s="243">
        <v>0</v>
      </c>
      <c r="U52" s="243">
        <v>0</v>
      </c>
      <c r="V52" s="852"/>
      <c r="W52" s="262">
        <v>0</v>
      </c>
      <c r="X52" s="698">
        <f>W52/V45*100</f>
        <v>0</v>
      </c>
      <c r="Y52" s="336">
        <v>0</v>
      </c>
      <c r="Z52" s="336">
        <v>0</v>
      </c>
      <c r="AA52" s="336">
        <v>0</v>
      </c>
      <c r="AB52" s="336">
        <v>0</v>
      </c>
      <c r="AC52" s="336">
        <v>0</v>
      </c>
      <c r="AD52" s="336">
        <v>0</v>
      </c>
      <c r="AE52" s="336">
        <v>0</v>
      </c>
      <c r="AF52" s="336">
        <v>0</v>
      </c>
      <c r="AG52" s="236">
        <v>0</v>
      </c>
      <c r="AH52" s="236">
        <v>0</v>
      </c>
      <c r="AI52" s="236">
        <v>0</v>
      </c>
      <c r="AJ52" s="236">
        <v>0</v>
      </c>
      <c r="AK52" s="37">
        <v>0</v>
      </c>
      <c r="AL52" s="37">
        <v>0</v>
      </c>
      <c r="AM52" s="37">
        <v>0</v>
      </c>
      <c r="AN52" s="37">
        <v>0</v>
      </c>
      <c r="AO52" s="28">
        <f t="shared" si="1"/>
        <v>0</v>
      </c>
      <c r="AP52" s="672">
        <f t="shared" si="2"/>
        <v>0</v>
      </c>
      <c r="AQ52" s="1"/>
      <c r="AR52" s="1"/>
      <c r="AS52" s="1"/>
      <c r="AT52" s="1"/>
      <c r="AU52" s="1"/>
      <c r="AV52" s="1"/>
    </row>
    <row r="53" spans="1:48" ht="45" customHeight="1" thickBot="1">
      <c r="A53" s="136"/>
      <c r="B53" s="138" t="s">
        <v>115</v>
      </c>
      <c r="C53" s="138">
        <f>SUM(C7:C52)</f>
        <v>129</v>
      </c>
      <c r="D53" s="138" t="s">
        <v>193</v>
      </c>
      <c r="E53" s="138">
        <f>SUM(E7:E52)</f>
        <v>51</v>
      </c>
      <c r="F53" s="138" t="s">
        <v>193</v>
      </c>
      <c r="G53" s="138" t="s">
        <v>193</v>
      </c>
      <c r="H53" s="138" t="s">
        <v>193</v>
      </c>
      <c r="I53" s="138" t="s">
        <v>193</v>
      </c>
      <c r="J53" s="138" t="s">
        <v>193</v>
      </c>
      <c r="K53" s="138" t="s">
        <v>193</v>
      </c>
      <c r="L53" s="138" t="s">
        <v>193</v>
      </c>
      <c r="M53" s="138" t="s">
        <v>193</v>
      </c>
      <c r="N53" s="338">
        <f>SUM(N7:N52)</f>
        <v>23397620</v>
      </c>
      <c r="O53" s="298">
        <f>SUM(O7:O52)</f>
        <v>28816291</v>
      </c>
      <c r="P53" s="138">
        <f>SUM(P7:P52)</f>
        <v>1853240</v>
      </c>
      <c r="Q53" s="699">
        <f>N53+O53+P53</f>
        <v>54067151</v>
      </c>
      <c r="R53" s="138" t="s">
        <v>193</v>
      </c>
      <c r="S53" s="138" t="s">
        <v>193</v>
      </c>
      <c r="T53" s="138" t="s">
        <v>193</v>
      </c>
      <c r="U53" s="138" t="s">
        <v>193</v>
      </c>
      <c r="V53" s="138">
        <f>SUM(V7:V52)</f>
        <v>141961</v>
      </c>
      <c r="W53" s="138">
        <f t="shared" ref="W53:AN53" si="4">SUM(W7:W52)</f>
        <v>260624</v>
      </c>
      <c r="X53" s="138" t="s">
        <v>193</v>
      </c>
      <c r="Y53" s="138">
        <f t="shared" si="4"/>
        <v>0</v>
      </c>
      <c r="Z53" s="138">
        <f t="shared" si="4"/>
        <v>8287</v>
      </c>
      <c r="AA53" s="138">
        <f t="shared" si="4"/>
        <v>21561</v>
      </c>
      <c r="AB53" s="138">
        <f t="shared" si="4"/>
        <v>33617</v>
      </c>
      <c r="AC53" s="138">
        <f t="shared" si="4"/>
        <v>59</v>
      </c>
      <c r="AD53" s="138">
        <f t="shared" si="4"/>
        <v>2700</v>
      </c>
      <c r="AE53" s="138">
        <f t="shared" si="4"/>
        <v>0</v>
      </c>
      <c r="AF53" s="138">
        <f t="shared" si="4"/>
        <v>437500</v>
      </c>
      <c r="AG53" s="138">
        <f t="shared" si="4"/>
        <v>0</v>
      </c>
      <c r="AH53" s="138">
        <f t="shared" si="4"/>
        <v>0</v>
      </c>
      <c r="AI53" s="138">
        <f t="shared" si="4"/>
        <v>0</v>
      </c>
      <c r="AJ53" s="138">
        <f t="shared" si="4"/>
        <v>2341500</v>
      </c>
      <c r="AK53" s="138">
        <f t="shared" si="4"/>
        <v>0</v>
      </c>
      <c r="AL53" s="138">
        <f t="shared" si="4"/>
        <v>0</v>
      </c>
      <c r="AM53" s="138">
        <f t="shared" si="4"/>
        <v>0</v>
      </c>
      <c r="AN53" s="138">
        <f t="shared" si="4"/>
        <v>2341500</v>
      </c>
      <c r="AO53" s="138">
        <f>SUM(AO7:AO52)</f>
        <v>2341500</v>
      </c>
      <c r="AP53" s="138">
        <f>SUM(AP7:AP52)</f>
        <v>-51725651</v>
      </c>
      <c r="AQ53" s="1"/>
      <c r="AR53" s="1"/>
      <c r="AS53" s="1"/>
      <c r="AT53" s="1"/>
      <c r="AU53" s="1"/>
      <c r="AV53" s="1"/>
    </row>
    <row r="54" spans="1:48" ht="45" customHeight="1">
      <c r="B54" s="853" t="s">
        <v>116</v>
      </c>
      <c r="C54" s="853"/>
      <c r="D54" s="853"/>
      <c r="E54" s="853"/>
      <c r="F54" s="853"/>
      <c r="G54" s="853"/>
      <c r="H54" s="853"/>
      <c r="I54" s="853"/>
      <c r="J54" s="853"/>
      <c r="K54" s="853"/>
      <c r="L54" s="853"/>
      <c r="M54" s="853"/>
      <c r="N54" s="853"/>
      <c r="O54" s="853"/>
      <c r="P54" s="853"/>
      <c r="Q54" s="853"/>
      <c r="R54" s="853"/>
      <c r="S54" s="853"/>
      <c r="T54" s="853"/>
      <c r="U54" s="853"/>
      <c r="V54" s="853"/>
      <c r="W54" s="853"/>
      <c r="X54" s="853"/>
      <c r="Y54" s="853"/>
      <c r="Z54" s="853"/>
      <c r="AA54" s="853"/>
      <c r="AB54" s="853"/>
      <c r="AC54" s="853"/>
      <c r="AD54" s="853"/>
      <c r="AE54" s="853"/>
      <c r="AF54" s="853"/>
      <c r="AG54" s="340"/>
      <c r="AH54" s="340"/>
      <c r="AI54" s="340"/>
      <c r="AJ54" s="340"/>
      <c r="AK54" s="340"/>
      <c r="AL54" s="340"/>
      <c r="AM54" s="340"/>
      <c r="AN54" s="340"/>
    </row>
    <row r="55" spans="1:48" ht="14.25">
      <c r="B55" s="116"/>
      <c r="C55" s="116"/>
      <c r="D55" s="116"/>
      <c r="AG55" s="50"/>
      <c r="AH55" s="50"/>
      <c r="AI55" s="50"/>
      <c r="AJ55" s="50"/>
    </row>
    <row r="56" spans="1:48" ht="15" customHeight="1">
      <c r="B56" s="111"/>
      <c r="C56" s="111"/>
      <c r="D56" s="111"/>
      <c r="AG56" s="50"/>
      <c r="AH56" s="50"/>
      <c r="AI56" s="50"/>
      <c r="AJ56" s="50"/>
    </row>
    <row r="57" spans="1:48">
      <c r="AG57" s="50"/>
      <c r="AH57" s="50"/>
      <c r="AI57" s="50"/>
      <c r="AJ57" s="50"/>
    </row>
    <row r="58" spans="1:48">
      <c r="AG58" s="50"/>
      <c r="AH58" s="50"/>
      <c r="AI58" s="50"/>
      <c r="AJ58" s="50"/>
    </row>
    <row r="59" spans="1:48">
      <c r="AG59" s="50"/>
      <c r="AH59" s="50"/>
      <c r="AI59" s="50"/>
      <c r="AJ59" s="50"/>
    </row>
    <row r="60" spans="1:48">
      <c r="AG60" s="50"/>
      <c r="AH60" s="50"/>
      <c r="AI60" s="50"/>
      <c r="AJ60" s="50"/>
    </row>
    <row r="61" spans="1:48">
      <c r="AG61" s="50"/>
      <c r="AH61" s="50"/>
      <c r="AI61" s="50"/>
      <c r="AJ61" s="50"/>
    </row>
    <row r="62" spans="1:48">
      <c r="AG62" s="50"/>
      <c r="AH62" s="50"/>
      <c r="AI62" s="50"/>
      <c r="AJ62" s="50"/>
    </row>
    <row r="63" spans="1:48">
      <c r="AG63" s="50"/>
      <c r="AH63" s="50"/>
      <c r="AI63" s="50"/>
      <c r="AJ63" s="50"/>
    </row>
    <row r="64" spans="1:48">
      <c r="AG64" s="50"/>
      <c r="AH64" s="50"/>
      <c r="AI64" s="50"/>
      <c r="AJ64" s="50"/>
    </row>
    <row r="65" s="50" customFormat="1"/>
    <row r="66" s="50" customFormat="1"/>
    <row r="67" s="50" customFormat="1"/>
    <row r="68" s="50" customFormat="1"/>
    <row r="69" s="50" customFormat="1"/>
    <row r="70" s="50" customFormat="1"/>
    <row r="71" s="50" customFormat="1"/>
    <row r="72" s="50" customFormat="1"/>
    <row r="73" s="50" customFormat="1"/>
    <row r="74" s="50" customFormat="1"/>
    <row r="75" s="50" customFormat="1"/>
    <row r="76" s="50" customFormat="1"/>
    <row r="77" s="50" customFormat="1"/>
    <row r="78" s="50" customFormat="1"/>
    <row r="79" s="50" customFormat="1"/>
    <row r="80" s="50" customFormat="1"/>
    <row r="81" s="50" customFormat="1"/>
    <row r="82" s="50" customFormat="1"/>
    <row r="83" s="50" customFormat="1"/>
    <row r="84" s="50" customFormat="1"/>
    <row r="85" s="50" customFormat="1"/>
    <row r="86" s="50" customFormat="1"/>
    <row r="87" s="50" customFormat="1"/>
    <row r="88" s="50" customFormat="1"/>
    <row r="89" s="50" customFormat="1"/>
    <row r="90" s="50" customFormat="1"/>
    <row r="91" s="50" customFormat="1"/>
    <row r="92" s="50" customFormat="1"/>
    <row r="93" s="50" customFormat="1"/>
    <row r="94" s="50" customFormat="1"/>
    <row r="95" s="50" customFormat="1"/>
    <row r="96" s="50" customFormat="1"/>
    <row r="97" s="50" customFormat="1"/>
    <row r="98" s="50" customFormat="1"/>
    <row r="99" s="50" customFormat="1"/>
    <row r="100" s="50" customFormat="1"/>
    <row r="101" s="50" customFormat="1"/>
    <row r="102" s="50" customFormat="1"/>
    <row r="103" s="50" customFormat="1"/>
    <row r="104" s="50" customFormat="1"/>
    <row r="105" s="50" customFormat="1"/>
    <row r="106" s="50" customFormat="1"/>
    <row r="107" s="50" customFormat="1"/>
    <row r="108" s="50" customFormat="1"/>
    <row r="109" s="50" customFormat="1"/>
    <row r="110" s="50" customFormat="1"/>
    <row r="111" s="50" customFormat="1"/>
    <row r="112" s="50" customFormat="1"/>
    <row r="113" s="50" customFormat="1"/>
    <row r="114" s="50" customFormat="1"/>
    <row r="115" s="50" customFormat="1"/>
    <row r="116" s="50" customFormat="1"/>
    <row r="117" s="50" customFormat="1"/>
    <row r="118" s="50" customFormat="1"/>
    <row r="119" s="50" customFormat="1"/>
    <row r="120" s="50" customFormat="1"/>
    <row r="121" s="50" customFormat="1"/>
    <row r="122" s="50" customFormat="1"/>
    <row r="123" s="50" customFormat="1"/>
    <row r="124" s="50" customFormat="1"/>
    <row r="125" s="50" customFormat="1"/>
    <row r="126" s="50" customFormat="1"/>
    <row r="127" s="50" customFormat="1"/>
    <row r="128" s="50" customFormat="1"/>
    <row r="129" s="50" customFormat="1"/>
    <row r="130" s="50" customFormat="1"/>
    <row r="131" s="50" customFormat="1"/>
    <row r="132" s="50" customFormat="1"/>
    <row r="133" s="50" customFormat="1"/>
    <row r="134" s="50" customFormat="1"/>
    <row r="135" s="50" customFormat="1"/>
    <row r="136" s="50" customFormat="1"/>
    <row r="137" s="50" customFormat="1"/>
    <row r="138" s="50" customFormat="1"/>
    <row r="139" s="50" customFormat="1"/>
    <row r="140" s="50" customFormat="1"/>
    <row r="141" s="50" customFormat="1"/>
    <row r="142" s="50" customFormat="1"/>
    <row r="143" s="50" customFormat="1"/>
    <row r="144" s="50" customFormat="1"/>
    <row r="145" s="50" customFormat="1"/>
    <row r="146" s="50" customFormat="1"/>
    <row r="147" s="50" customFormat="1"/>
    <row r="148" s="50" customFormat="1"/>
    <row r="149" s="50" customFormat="1"/>
    <row r="150" s="50" customFormat="1"/>
    <row r="151" s="50" customFormat="1"/>
    <row r="152" s="50" customFormat="1"/>
    <row r="153" s="50" customFormat="1"/>
    <row r="154" s="50" customFormat="1"/>
    <row r="155" s="50" customFormat="1"/>
    <row r="156" s="50" customFormat="1"/>
    <row r="157" s="50" customFormat="1"/>
    <row r="158" s="50" customFormat="1"/>
    <row r="159" s="50" customFormat="1"/>
    <row r="160" s="50" customFormat="1"/>
    <row r="161" s="50" customFormat="1"/>
    <row r="162" s="50" customFormat="1"/>
    <row r="163" s="50" customFormat="1"/>
    <row r="164" s="50" customFormat="1"/>
    <row r="165" s="50" customFormat="1"/>
    <row r="166" s="50" customFormat="1"/>
    <row r="167" s="50" customFormat="1"/>
    <row r="168" s="50" customFormat="1"/>
    <row r="169" s="50" customFormat="1"/>
    <row r="170" s="50" customFormat="1"/>
    <row r="171" s="50" customFormat="1"/>
    <row r="172" s="50" customFormat="1"/>
    <row r="173" s="50" customFormat="1"/>
    <row r="174" s="50" customFormat="1"/>
    <row r="175" s="50" customFormat="1"/>
    <row r="176" s="50" customFormat="1"/>
    <row r="177" s="50" customFormat="1"/>
    <row r="178" s="50" customFormat="1"/>
    <row r="179" s="50" customFormat="1"/>
    <row r="180" s="50" customFormat="1"/>
    <row r="181" s="50" customFormat="1"/>
    <row r="182" s="50" customFormat="1"/>
    <row r="183" s="50" customFormat="1"/>
  </sheetData>
  <mergeCells count="50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B7:B26"/>
    <mergeCell ref="C7:C26"/>
    <mergeCell ref="V7:V26"/>
    <mergeCell ref="B27:B33"/>
    <mergeCell ref="C27:C33"/>
    <mergeCell ref="V27:V33"/>
    <mergeCell ref="B54:AF54"/>
    <mergeCell ref="B34:B35"/>
    <mergeCell ref="C34:C35"/>
    <mergeCell ref="V34:V35"/>
    <mergeCell ref="B36:B44"/>
    <mergeCell ref="C36:C44"/>
    <mergeCell ref="V36:V44"/>
    <mergeCell ref="A45:A52"/>
    <mergeCell ref="B45:B52"/>
    <mergeCell ref="C45:C52"/>
    <mergeCell ref="H45:H52"/>
    <mergeCell ref="V45:V52"/>
  </mergeCells>
  <pageMargins left="0.22" right="0.2" top="0.4" bottom="0.17" header="0.3" footer="0.17"/>
  <pageSetup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0B2D-780A-411E-B070-A0DDB0F06A51}">
  <dimension ref="A1:BVC76"/>
  <sheetViews>
    <sheetView topLeftCell="A73" zoomScaleNormal="100" workbookViewId="0">
      <selection activeCell="W26" sqref="W26"/>
    </sheetView>
  </sheetViews>
  <sheetFormatPr defaultRowHeight="13.5"/>
  <cols>
    <col min="1" max="1" width="4.7109375" style="702" customWidth="1"/>
    <col min="2" max="2" width="15.140625" style="702" customWidth="1"/>
    <col min="3" max="3" width="25.140625" style="739" customWidth="1"/>
    <col min="4" max="4" width="21.5703125" style="702" customWidth="1"/>
    <col min="5" max="5" width="9.5703125" style="739" customWidth="1"/>
    <col min="6" max="6" width="16.42578125" style="702" customWidth="1"/>
    <col min="7" max="7" width="14.85546875" style="702" customWidth="1"/>
    <col min="8" max="8" width="15.5703125" style="702" customWidth="1"/>
    <col min="9" max="9" width="12.42578125" style="702" customWidth="1"/>
    <col min="10" max="10" width="12.5703125" style="702" customWidth="1"/>
    <col min="11" max="12" width="11.85546875" style="702" customWidth="1"/>
    <col min="13" max="13" width="9.5703125" style="702" customWidth="1"/>
    <col min="14" max="14" width="11.28515625" style="702" customWidth="1"/>
    <col min="15" max="15" width="17.85546875" style="702" customWidth="1"/>
    <col min="16" max="16" width="12.7109375" style="702" customWidth="1"/>
    <col min="17" max="17" width="19.42578125" style="702" customWidth="1"/>
    <col min="18" max="32" width="10.42578125" style="702" customWidth="1"/>
    <col min="33" max="36" width="10.5703125" style="702" customWidth="1"/>
    <col min="37" max="37" width="11" style="702" customWidth="1"/>
    <col min="38" max="38" width="14.7109375" style="702" customWidth="1"/>
    <col min="39" max="40" width="11" style="702" customWidth="1"/>
    <col min="41" max="41" width="13.28515625" style="702" customWidth="1"/>
    <col min="42" max="42" width="14" style="702" customWidth="1"/>
    <col min="43" max="43" width="7.140625" style="702" customWidth="1"/>
    <col min="44" max="44" width="4.140625" style="702" customWidth="1"/>
    <col min="45" max="45" width="6.5703125" style="702" customWidth="1"/>
    <col min="46" max="46" width="5.42578125" style="702" customWidth="1"/>
    <col min="47" max="47" width="5" style="702" customWidth="1"/>
    <col min="48" max="48" width="8" style="702" customWidth="1"/>
    <col min="49" max="49" width="5" style="702" customWidth="1"/>
    <col min="50" max="50" width="6.140625" style="702" customWidth="1"/>
    <col min="51" max="51" width="4.28515625" style="702" customWidth="1"/>
    <col min="52" max="52" width="36.7109375" style="702" customWidth="1"/>
    <col min="53" max="16384" width="9.140625" style="702"/>
  </cols>
  <sheetData>
    <row r="1" spans="1:51" ht="41.25" customHeight="1">
      <c r="A1" s="993" t="s">
        <v>952</v>
      </c>
      <c r="B1" s="993"/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  <c r="W1" s="993"/>
      <c r="X1" s="993"/>
      <c r="Y1" s="993"/>
      <c r="Z1" s="993"/>
      <c r="AA1" s="993"/>
      <c r="AB1" s="993"/>
      <c r="AC1" s="993"/>
      <c r="AD1" s="993"/>
      <c r="AE1" s="993"/>
      <c r="AF1" s="993"/>
      <c r="AG1" s="993"/>
      <c r="AH1" s="993"/>
      <c r="AI1" s="993"/>
      <c r="AJ1" s="993"/>
      <c r="AK1" s="993"/>
      <c r="AL1" s="993"/>
      <c r="AM1" s="993"/>
      <c r="AN1" s="993"/>
      <c r="AO1" s="993"/>
      <c r="AP1" s="701"/>
      <c r="AQ1" s="701"/>
      <c r="AR1" s="701"/>
      <c r="AS1" s="701"/>
      <c r="AT1" s="701"/>
      <c r="AU1" s="701"/>
      <c r="AV1" s="701"/>
      <c r="AW1" s="701"/>
      <c r="AX1" s="701"/>
      <c r="AY1" s="701"/>
    </row>
    <row r="2" spans="1:51" ht="57" customHeight="1">
      <c r="A2" s="990" t="s">
        <v>0</v>
      </c>
      <c r="B2" s="990" t="s">
        <v>1</v>
      </c>
      <c r="C2" s="991" t="s">
        <v>953</v>
      </c>
      <c r="D2" s="990" t="s">
        <v>3</v>
      </c>
      <c r="E2" s="990"/>
      <c r="F2" s="990"/>
      <c r="G2" s="990"/>
      <c r="H2" s="990"/>
      <c r="I2" s="990" t="s">
        <v>4</v>
      </c>
      <c r="J2" s="990"/>
      <c r="K2" s="990"/>
      <c r="L2" s="990"/>
      <c r="M2" s="990"/>
      <c r="N2" s="990" t="s">
        <v>5</v>
      </c>
      <c r="O2" s="990"/>
      <c r="P2" s="990"/>
      <c r="Q2" s="990"/>
      <c r="R2" s="990" t="s">
        <v>6</v>
      </c>
      <c r="S2" s="990"/>
      <c r="T2" s="990"/>
      <c r="U2" s="990"/>
      <c r="V2" s="990" t="s">
        <v>7</v>
      </c>
      <c r="W2" s="990"/>
      <c r="X2" s="990"/>
      <c r="Y2" s="990" t="s">
        <v>8</v>
      </c>
      <c r="Z2" s="990"/>
      <c r="AA2" s="990"/>
      <c r="AB2" s="990"/>
      <c r="AC2" s="990"/>
      <c r="AD2" s="990"/>
      <c r="AE2" s="990"/>
      <c r="AF2" s="990"/>
      <c r="AG2" s="990" t="s">
        <v>9</v>
      </c>
      <c r="AH2" s="990"/>
      <c r="AI2" s="990"/>
      <c r="AJ2" s="990"/>
      <c r="AK2" s="990"/>
      <c r="AL2" s="990"/>
      <c r="AM2" s="990"/>
      <c r="AN2" s="990"/>
      <c r="AO2" s="990"/>
      <c r="AP2" s="990"/>
      <c r="AQ2" s="704"/>
      <c r="AR2" s="704"/>
      <c r="AS2" s="704"/>
      <c r="AT2" s="704"/>
      <c r="AU2" s="704"/>
    </row>
    <row r="3" spans="1:51" ht="87" customHeight="1">
      <c r="A3" s="990"/>
      <c r="B3" s="990"/>
      <c r="C3" s="991"/>
      <c r="D3" s="990" t="s">
        <v>10</v>
      </c>
      <c r="E3" s="991" t="s">
        <v>11</v>
      </c>
      <c r="F3" s="990" t="s">
        <v>12</v>
      </c>
      <c r="G3" s="990" t="s">
        <v>13</v>
      </c>
      <c r="H3" s="992" t="s">
        <v>954</v>
      </c>
      <c r="I3" s="990" t="s">
        <v>14</v>
      </c>
      <c r="J3" s="990" t="s">
        <v>15</v>
      </c>
      <c r="K3" s="990" t="s">
        <v>16</v>
      </c>
      <c r="L3" s="990" t="s">
        <v>17</v>
      </c>
      <c r="M3" s="990" t="s">
        <v>18</v>
      </c>
      <c r="N3" s="990" t="s">
        <v>19</v>
      </c>
      <c r="O3" s="990" t="s">
        <v>20</v>
      </c>
      <c r="P3" s="990" t="s">
        <v>21</v>
      </c>
      <c r="Q3" s="990" t="s">
        <v>22</v>
      </c>
      <c r="R3" s="990"/>
      <c r="S3" s="990"/>
      <c r="T3" s="990"/>
      <c r="U3" s="990"/>
      <c r="V3" s="990" t="s">
        <v>23</v>
      </c>
      <c r="W3" s="990"/>
      <c r="X3" s="990"/>
      <c r="Y3" s="990" t="s">
        <v>118</v>
      </c>
      <c r="Z3" s="990"/>
      <c r="AA3" s="990"/>
      <c r="AB3" s="990"/>
      <c r="AC3" s="990" t="s">
        <v>24</v>
      </c>
      <c r="AD3" s="990"/>
      <c r="AE3" s="990"/>
      <c r="AF3" s="990"/>
      <c r="AG3" s="990" t="s">
        <v>25</v>
      </c>
      <c r="AH3" s="990"/>
      <c r="AI3" s="990"/>
      <c r="AJ3" s="990"/>
      <c r="AK3" s="990" t="s">
        <v>26</v>
      </c>
      <c r="AL3" s="990"/>
      <c r="AM3" s="990"/>
      <c r="AN3" s="990"/>
      <c r="AO3" s="990" t="s">
        <v>22</v>
      </c>
      <c r="AP3" s="990" t="s">
        <v>27</v>
      </c>
      <c r="AQ3" s="704"/>
      <c r="AR3" s="704"/>
      <c r="AS3" s="704"/>
      <c r="AT3" s="704"/>
      <c r="AU3" s="704"/>
    </row>
    <row r="4" spans="1:51" ht="60" customHeight="1">
      <c r="A4" s="990"/>
      <c r="B4" s="990"/>
      <c r="C4" s="991"/>
      <c r="D4" s="990"/>
      <c r="E4" s="991"/>
      <c r="F4" s="990"/>
      <c r="G4" s="990"/>
      <c r="H4" s="992"/>
      <c r="I4" s="990"/>
      <c r="J4" s="990"/>
      <c r="K4" s="990"/>
      <c r="L4" s="990"/>
      <c r="M4" s="990"/>
      <c r="N4" s="990"/>
      <c r="O4" s="990"/>
      <c r="P4" s="990"/>
      <c r="Q4" s="990"/>
      <c r="R4" s="705" t="s">
        <v>28</v>
      </c>
      <c r="S4" s="705" t="s">
        <v>29</v>
      </c>
      <c r="T4" s="705" t="s">
        <v>30</v>
      </c>
      <c r="U4" s="705" t="s">
        <v>31</v>
      </c>
      <c r="V4" s="231" t="s">
        <v>119</v>
      </c>
      <c r="W4" s="231" t="s">
        <v>33</v>
      </c>
      <c r="X4" s="231" t="s">
        <v>34</v>
      </c>
      <c r="Y4" s="705" t="s">
        <v>35</v>
      </c>
      <c r="Z4" s="705" t="s">
        <v>36</v>
      </c>
      <c r="AA4" s="705" t="s">
        <v>37</v>
      </c>
      <c r="AB4" s="705" t="s">
        <v>18</v>
      </c>
      <c r="AC4" s="705" t="s">
        <v>35</v>
      </c>
      <c r="AD4" s="705" t="s">
        <v>36</v>
      </c>
      <c r="AE4" s="705" t="s">
        <v>37</v>
      </c>
      <c r="AF4" s="705" t="s">
        <v>18</v>
      </c>
      <c r="AG4" s="705" t="s">
        <v>35</v>
      </c>
      <c r="AH4" s="705" t="s">
        <v>36</v>
      </c>
      <c r="AI4" s="705" t="s">
        <v>37</v>
      </c>
      <c r="AJ4" s="705" t="s">
        <v>31</v>
      </c>
      <c r="AK4" s="705" t="s">
        <v>35</v>
      </c>
      <c r="AL4" s="705" t="s">
        <v>36</v>
      </c>
      <c r="AM4" s="705" t="s">
        <v>37</v>
      </c>
      <c r="AN4" s="705" t="s">
        <v>31</v>
      </c>
      <c r="AO4" s="990"/>
      <c r="AP4" s="990"/>
      <c r="AQ4" s="700"/>
      <c r="AR4" s="704"/>
      <c r="AS4" s="700"/>
      <c r="AT4" s="700"/>
      <c r="AU4" s="700"/>
    </row>
    <row r="5" spans="1:51" ht="23.25" customHeight="1">
      <c r="A5" s="990"/>
      <c r="B5" s="990"/>
      <c r="C5" s="703" t="s">
        <v>38</v>
      </c>
      <c r="D5" s="990"/>
      <c r="E5" s="703" t="s">
        <v>38</v>
      </c>
      <c r="F5" s="705"/>
      <c r="G5" s="705"/>
      <c r="H5" s="705"/>
      <c r="I5" s="231"/>
      <c r="J5" s="231"/>
      <c r="K5" s="231"/>
      <c r="L5" s="231"/>
      <c r="M5" s="231"/>
      <c r="N5" s="231" t="s">
        <v>39</v>
      </c>
      <c r="O5" s="231" t="s">
        <v>39</v>
      </c>
      <c r="P5" s="231" t="s">
        <v>39</v>
      </c>
      <c r="Q5" s="231" t="s">
        <v>39</v>
      </c>
      <c r="R5" s="705" t="s">
        <v>40</v>
      </c>
      <c r="S5" s="705" t="s">
        <v>40</v>
      </c>
      <c r="T5" s="705" t="s">
        <v>40</v>
      </c>
      <c r="U5" s="705" t="s">
        <v>40</v>
      </c>
      <c r="V5" s="231" t="s">
        <v>41</v>
      </c>
      <c r="W5" s="231" t="s">
        <v>38</v>
      </c>
      <c r="X5" s="231" t="s">
        <v>34</v>
      </c>
      <c r="Y5" s="705" t="s">
        <v>42</v>
      </c>
      <c r="Z5" s="705" t="s">
        <v>43</v>
      </c>
      <c r="AA5" s="705" t="s">
        <v>44</v>
      </c>
      <c r="AB5" s="705"/>
      <c r="AC5" s="705" t="s">
        <v>42</v>
      </c>
      <c r="AD5" s="705" t="s">
        <v>43</v>
      </c>
      <c r="AE5" s="705" t="s">
        <v>44</v>
      </c>
      <c r="AF5" s="705"/>
      <c r="AG5" s="705" t="s">
        <v>40</v>
      </c>
      <c r="AH5" s="705" t="s">
        <v>40</v>
      </c>
      <c r="AI5" s="705" t="s">
        <v>40</v>
      </c>
      <c r="AJ5" s="705" t="s">
        <v>40</v>
      </c>
      <c r="AK5" s="705" t="s">
        <v>40</v>
      </c>
      <c r="AL5" s="705" t="s">
        <v>40</v>
      </c>
      <c r="AM5" s="705" t="s">
        <v>40</v>
      </c>
      <c r="AN5" s="231" t="s">
        <v>39</v>
      </c>
      <c r="AO5" s="231" t="s">
        <v>39</v>
      </c>
      <c r="AP5" s="231" t="s">
        <v>39</v>
      </c>
      <c r="AQ5" s="700"/>
      <c r="AR5" s="700"/>
      <c r="AS5" s="700"/>
      <c r="AT5" s="700"/>
      <c r="AU5" s="700"/>
    </row>
    <row r="6" spans="1:51" ht="19.5" customHeight="1">
      <c r="A6" s="350">
        <v>1</v>
      </c>
      <c r="B6" s="350">
        <v>2</v>
      </c>
      <c r="C6" s="706">
        <v>3</v>
      </c>
      <c r="D6" s="350">
        <v>4</v>
      </c>
      <c r="E6" s="706">
        <v>5</v>
      </c>
      <c r="F6" s="350">
        <v>6</v>
      </c>
      <c r="G6" s="350">
        <v>7</v>
      </c>
      <c r="H6" s="350">
        <v>8</v>
      </c>
      <c r="I6" s="350">
        <v>9</v>
      </c>
      <c r="J6" s="350">
        <v>10</v>
      </c>
      <c r="K6" s="350">
        <v>11</v>
      </c>
      <c r="L6" s="350">
        <v>12</v>
      </c>
      <c r="M6" s="350">
        <v>13</v>
      </c>
      <c r="N6" s="350">
        <v>14</v>
      </c>
      <c r="O6" s="350">
        <v>15</v>
      </c>
      <c r="P6" s="350">
        <v>16</v>
      </c>
      <c r="Q6" s="350">
        <v>17</v>
      </c>
      <c r="R6" s="350">
        <v>18</v>
      </c>
      <c r="S6" s="350">
        <v>19</v>
      </c>
      <c r="T6" s="350">
        <v>20</v>
      </c>
      <c r="U6" s="350">
        <v>21</v>
      </c>
      <c r="V6" s="350">
        <v>22</v>
      </c>
      <c r="W6" s="350">
        <v>23</v>
      </c>
      <c r="X6" s="350">
        <v>24</v>
      </c>
      <c r="Y6" s="350">
        <v>25</v>
      </c>
      <c r="Z6" s="350">
        <v>26</v>
      </c>
      <c r="AA6" s="350">
        <v>27</v>
      </c>
      <c r="AB6" s="350">
        <v>28</v>
      </c>
      <c r="AC6" s="350">
        <v>29</v>
      </c>
      <c r="AD6" s="350">
        <v>30</v>
      </c>
      <c r="AE6" s="350">
        <v>31</v>
      </c>
      <c r="AF6" s="350">
        <v>32</v>
      </c>
      <c r="AG6" s="350">
        <v>33</v>
      </c>
      <c r="AH6" s="350">
        <v>34</v>
      </c>
      <c r="AI6" s="350">
        <v>35</v>
      </c>
      <c r="AJ6" s="350">
        <v>36</v>
      </c>
      <c r="AK6" s="350">
        <v>37</v>
      </c>
      <c r="AL6" s="350">
        <v>38</v>
      </c>
      <c r="AM6" s="350">
        <v>39</v>
      </c>
      <c r="AN6" s="350">
        <v>40</v>
      </c>
      <c r="AO6" s="350">
        <v>41</v>
      </c>
      <c r="AP6" s="350">
        <v>42</v>
      </c>
      <c r="AQ6" s="351"/>
      <c r="AR6" s="351"/>
      <c r="AS6" s="351"/>
      <c r="AT6" s="351"/>
      <c r="AU6" s="701"/>
    </row>
    <row r="7" spans="1:51" ht="175.5">
      <c r="A7" s="707">
        <v>1</v>
      </c>
      <c r="B7" s="983" t="s">
        <v>205</v>
      </c>
      <c r="C7" s="984">
        <v>10</v>
      </c>
      <c r="D7" s="707" t="s">
        <v>955</v>
      </c>
      <c r="E7" s="706">
        <v>11</v>
      </c>
      <c r="F7" s="350" t="s">
        <v>956</v>
      </c>
      <c r="G7" s="707" t="s">
        <v>957</v>
      </c>
      <c r="H7" s="707"/>
      <c r="I7" s="707"/>
      <c r="J7" s="350" t="s">
        <v>130</v>
      </c>
      <c r="K7" s="707"/>
      <c r="L7" s="707"/>
      <c r="M7" s="707"/>
      <c r="N7" s="350">
        <v>22054980</v>
      </c>
      <c r="O7" s="350">
        <v>17535500</v>
      </c>
      <c r="P7" s="350">
        <v>2032000</v>
      </c>
      <c r="Q7" s="707">
        <f>N7+O7+P7</f>
        <v>41622480</v>
      </c>
      <c r="R7" s="707"/>
      <c r="S7" s="350">
        <v>1620</v>
      </c>
      <c r="T7" s="350">
        <v>1500</v>
      </c>
      <c r="U7" s="350">
        <v>0</v>
      </c>
      <c r="V7" s="707">
        <v>29800</v>
      </c>
      <c r="W7" s="707">
        <v>29100</v>
      </c>
      <c r="X7" s="708">
        <f>+W7/V7*100</f>
        <v>97.651006711409394</v>
      </c>
      <c r="Y7" s="707">
        <v>0</v>
      </c>
      <c r="Z7" s="707">
        <v>26400</v>
      </c>
      <c r="AA7" s="707">
        <v>4.7</v>
      </c>
      <c r="AB7" s="707"/>
      <c r="AC7" s="707">
        <v>0</v>
      </c>
      <c r="AD7" s="707">
        <v>3900</v>
      </c>
      <c r="AE7" s="707">
        <v>0</v>
      </c>
      <c r="AF7" s="707">
        <v>0</v>
      </c>
      <c r="AG7" s="707">
        <v>0</v>
      </c>
      <c r="AH7" s="707">
        <v>1484000</v>
      </c>
      <c r="AI7" s="707"/>
      <c r="AJ7" s="707"/>
      <c r="AK7" s="707">
        <f>R7*Y7</f>
        <v>0</v>
      </c>
      <c r="AL7" s="707">
        <f t="shared" ref="AL7:AN8" si="0">S7*Z7</f>
        <v>42768000</v>
      </c>
      <c r="AM7" s="707">
        <f t="shared" si="0"/>
        <v>7050</v>
      </c>
      <c r="AN7" s="707">
        <f t="shared" si="0"/>
        <v>0</v>
      </c>
      <c r="AO7" s="350">
        <f>AK7+AL7+AM7+AN7</f>
        <v>42775050</v>
      </c>
      <c r="AP7" s="350">
        <f>AO7-Q7</f>
        <v>1152570</v>
      </c>
      <c r="AQ7" s="351"/>
      <c r="AR7" s="351"/>
      <c r="AS7" s="351"/>
      <c r="AT7" s="351"/>
      <c r="AU7" s="351"/>
    </row>
    <row r="8" spans="1:51" ht="35.25" customHeight="1">
      <c r="A8" s="983">
        <v>2</v>
      </c>
      <c r="B8" s="983"/>
      <c r="C8" s="984"/>
      <c r="D8" s="983" t="s">
        <v>958</v>
      </c>
      <c r="E8" s="984">
        <v>3</v>
      </c>
      <c r="F8" s="983" t="s">
        <v>206</v>
      </c>
      <c r="G8" s="983" t="s">
        <v>207</v>
      </c>
      <c r="H8" s="983" t="s">
        <v>142</v>
      </c>
      <c r="I8" s="983"/>
      <c r="J8" s="983" t="s">
        <v>130</v>
      </c>
      <c r="K8" s="983"/>
      <c r="L8" s="983"/>
      <c r="M8" s="983"/>
      <c r="N8" s="983">
        <v>575000</v>
      </c>
      <c r="O8" s="983">
        <v>2881900</v>
      </c>
      <c r="P8" s="983"/>
      <c r="Q8" s="983">
        <f>N8+O8+P8</f>
        <v>3456900</v>
      </c>
      <c r="R8" s="983"/>
      <c r="S8" s="983"/>
      <c r="T8" s="983"/>
      <c r="U8" s="983">
        <v>350</v>
      </c>
      <c r="V8" s="983">
        <v>29720</v>
      </c>
      <c r="W8" s="983">
        <v>26146</v>
      </c>
      <c r="X8" s="989">
        <v>87.97</v>
      </c>
      <c r="Y8" s="983"/>
      <c r="Z8" s="983"/>
      <c r="AA8" s="983"/>
      <c r="AB8" s="983"/>
      <c r="AC8" s="983"/>
      <c r="AD8" s="983"/>
      <c r="AE8" s="983"/>
      <c r="AF8" s="983"/>
      <c r="AG8" s="983"/>
      <c r="AH8" s="983"/>
      <c r="AI8" s="983"/>
      <c r="AJ8" s="983">
        <v>3712000</v>
      </c>
      <c r="AK8" s="983">
        <f t="shared" ref="AK8" si="1">R8*Y8</f>
        <v>0</v>
      </c>
      <c r="AL8" s="983">
        <f t="shared" si="0"/>
        <v>0</v>
      </c>
      <c r="AM8" s="983">
        <f t="shared" si="0"/>
        <v>0</v>
      </c>
      <c r="AN8" s="983">
        <f t="shared" si="0"/>
        <v>0</v>
      </c>
      <c r="AO8" s="983">
        <f t="shared" ref="AO8" si="2">AK8+AL8+AM8+AN8</f>
        <v>0</v>
      </c>
      <c r="AP8" s="983">
        <v>255100</v>
      </c>
      <c r="AQ8" s="351"/>
      <c r="AR8" s="351"/>
      <c r="AS8" s="351"/>
      <c r="AT8" s="351"/>
      <c r="AU8" s="351"/>
    </row>
    <row r="9" spans="1:51" ht="35.25" customHeight="1">
      <c r="A9" s="983"/>
      <c r="B9" s="983"/>
      <c r="C9" s="984"/>
      <c r="D9" s="983"/>
      <c r="E9" s="984"/>
      <c r="F9" s="983"/>
      <c r="G9" s="983"/>
      <c r="H9" s="983"/>
      <c r="I9" s="983"/>
      <c r="J9" s="983"/>
      <c r="K9" s="983"/>
      <c r="L9" s="983"/>
      <c r="M9" s="983"/>
      <c r="N9" s="983"/>
      <c r="O9" s="983"/>
      <c r="P9" s="983"/>
      <c r="Q9" s="983"/>
      <c r="R9" s="983"/>
      <c r="S9" s="983"/>
      <c r="T9" s="983"/>
      <c r="U9" s="983"/>
      <c r="V9" s="983"/>
      <c r="W9" s="983"/>
      <c r="X9" s="989"/>
      <c r="Y9" s="983"/>
      <c r="Z9" s="983"/>
      <c r="AA9" s="983"/>
      <c r="AB9" s="983"/>
      <c r="AC9" s="983"/>
      <c r="AD9" s="983"/>
      <c r="AE9" s="983"/>
      <c r="AF9" s="983"/>
      <c r="AG9" s="983"/>
      <c r="AH9" s="983"/>
      <c r="AI9" s="983"/>
      <c r="AJ9" s="983"/>
      <c r="AK9" s="983"/>
      <c r="AL9" s="983"/>
      <c r="AM9" s="983"/>
      <c r="AN9" s="983"/>
      <c r="AO9" s="983"/>
      <c r="AP9" s="983"/>
      <c r="AQ9" s="351"/>
      <c r="AR9" s="351"/>
      <c r="AS9" s="351"/>
      <c r="AT9" s="351"/>
      <c r="AU9" s="351"/>
    </row>
    <row r="10" spans="1:51" ht="35.25" customHeight="1">
      <c r="A10" s="352"/>
      <c r="B10" s="709" t="s">
        <v>115</v>
      </c>
      <c r="C10" s="710">
        <v>10</v>
      </c>
      <c r="D10" s="709"/>
      <c r="E10" s="710">
        <f t="shared" ref="E10:AP10" si="3">SUM(E7:E9)</f>
        <v>14</v>
      </c>
      <c r="F10" s="709"/>
      <c r="G10" s="709"/>
      <c r="H10" s="709"/>
      <c r="I10" s="709"/>
      <c r="J10" s="709"/>
      <c r="K10" s="709"/>
      <c r="L10" s="709"/>
      <c r="M10" s="709"/>
      <c r="N10" s="709">
        <f t="shared" si="3"/>
        <v>22629980</v>
      </c>
      <c r="O10" s="709">
        <f t="shared" si="3"/>
        <v>20417400</v>
      </c>
      <c r="P10" s="709">
        <f t="shared" si="3"/>
        <v>2032000</v>
      </c>
      <c r="Q10" s="709">
        <f>SUM(Q7:Q9)</f>
        <v>45079380</v>
      </c>
      <c r="R10" s="709">
        <f t="shared" si="3"/>
        <v>0</v>
      </c>
      <c r="S10" s="709">
        <f t="shared" si="3"/>
        <v>1620</v>
      </c>
      <c r="T10" s="709">
        <f t="shared" si="3"/>
        <v>1500</v>
      </c>
      <c r="U10" s="709">
        <f t="shared" si="3"/>
        <v>350</v>
      </c>
      <c r="V10" s="709">
        <v>29800</v>
      </c>
      <c r="W10" s="709">
        <v>29100</v>
      </c>
      <c r="X10" s="711">
        <v>97</v>
      </c>
      <c r="Y10" s="709">
        <f t="shared" si="3"/>
        <v>0</v>
      </c>
      <c r="Z10" s="709">
        <f t="shared" si="3"/>
        <v>26400</v>
      </c>
      <c r="AA10" s="709">
        <f t="shared" si="3"/>
        <v>4.7</v>
      </c>
      <c r="AB10" s="709">
        <f t="shared" si="3"/>
        <v>0</v>
      </c>
      <c r="AC10" s="709">
        <f t="shared" si="3"/>
        <v>0</v>
      </c>
      <c r="AD10" s="709">
        <f t="shared" si="3"/>
        <v>3900</v>
      </c>
      <c r="AE10" s="709">
        <f t="shared" si="3"/>
        <v>0</v>
      </c>
      <c r="AF10" s="709">
        <f t="shared" si="3"/>
        <v>0</v>
      </c>
      <c r="AG10" s="709">
        <f t="shared" si="3"/>
        <v>0</v>
      </c>
      <c r="AH10" s="709">
        <f t="shared" si="3"/>
        <v>1484000</v>
      </c>
      <c r="AI10" s="709">
        <f t="shared" si="3"/>
        <v>0</v>
      </c>
      <c r="AJ10" s="709">
        <f t="shared" si="3"/>
        <v>3712000</v>
      </c>
      <c r="AK10" s="709">
        <f t="shared" si="3"/>
        <v>0</v>
      </c>
      <c r="AL10" s="709">
        <f t="shared" si="3"/>
        <v>42768000</v>
      </c>
      <c r="AM10" s="709">
        <f t="shared" si="3"/>
        <v>7050</v>
      </c>
      <c r="AN10" s="709">
        <f t="shared" si="3"/>
        <v>0</v>
      </c>
      <c r="AO10" s="709">
        <f t="shared" si="3"/>
        <v>42775050</v>
      </c>
      <c r="AP10" s="709">
        <f t="shared" si="3"/>
        <v>1407670</v>
      </c>
      <c r="AQ10" s="351"/>
      <c r="AR10" s="351"/>
      <c r="AS10" s="351"/>
      <c r="AT10" s="351"/>
      <c r="AU10" s="351"/>
    </row>
    <row r="11" spans="1:51" ht="25.5" customHeight="1">
      <c r="A11" s="350">
        <v>1</v>
      </c>
      <c r="B11" s="983" t="s">
        <v>208</v>
      </c>
      <c r="C11" s="984">
        <v>39</v>
      </c>
      <c r="D11" s="712" t="s">
        <v>209</v>
      </c>
      <c r="E11" s="713">
        <v>1</v>
      </c>
      <c r="F11" s="219" t="s">
        <v>210</v>
      </c>
      <c r="G11" s="707" t="s">
        <v>211</v>
      </c>
      <c r="H11" s="707" t="s">
        <v>243</v>
      </c>
      <c r="I11" s="714"/>
      <c r="J11" s="350" t="s">
        <v>130</v>
      </c>
      <c r="K11" s="714"/>
      <c r="L11" s="350" t="s">
        <v>130</v>
      </c>
      <c r="M11" s="714"/>
      <c r="N11" s="350"/>
      <c r="O11" s="350">
        <v>1036000</v>
      </c>
      <c r="P11" s="350">
        <v>762800</v>
      </c>
      <c r="Q11" s="350">
        <v>1798800</v>
      </c>
      <c r="R11" s="219"/>
      <c r="S11" s="219"/>
      <c r="T11" s="219"/>
      <c r="U11" s="219"/>
      <c r="V11" s="985">
        <v>45433</v>
      </c>
      <c r="W11" s="350"/>
      <c r="X11" s="350"/>
      <c r="Y11" s="350"/>
      <c r="Z11" s="350"/>
      <c r="AA11" s="350"/>
      <c r="AB11" s="350"/>
      <c r="AC11" s="350"/>
      <c r="AD11" s="350"/>
      <c r="AE11" s="350"/>
      <c r="AF11" s="350"/>
      <c r="AG11" s="350"/>
      <c r="AH11" s="350"/>
      <c r="AI11" s="350"/>
      <c r="AJ11" s="350"/>
      <c r="AK11" s="350"/>
      <c r="AL11" s="350"/>
      <c r="AM11" s="350"/>
      <c r="AN11" s="350"/>
      <c r="AO11" s="350"/>
      <c r="AP11" s="350">
        <f t="shared" ref="AP11:AP26" si="4">AO11-Q11</f>
        <v>-1798800</v>
      </c>
      <c r="AQ11" s="351"/>
      <c r="AR11" s="351"/>
      <c r="AS11" s="351"/>
      <c r="AT11" s="351"/>
      <c r="AU11" s="351"/>
    </row>
    <row r="12" spans="1:51" ht="25.5" customHeight="1">
      <c r="A12" s="350">
        <v>2</v>
      </c>
      <c r="B12" s="983"/>
      <c r="C12" s="984"/>
      <c r="D12" s="712" t="s">
        <v>209</v>
      </c>
      <c r="E12" s="713">
        <v>1</v>
      </c>
      <c r="F12" s="219" t="s">
        <v>124</v>
      </c>
      <c r="G12" s="707" t="s">
        <v>212</v>
      </c>
      <c r="H12" s="707" t="s">
        <v>959</v>
      </c>
      <c r="I12" s="714"/>
      <c r="J12" s="350" t="s">
        <v>130</v>
      </c>
      <c r="K12" s="714"/>
      <c r="L12" s="350" t="s">
        <v>130</v>
      </c>
      <c r="M12" s="714"/>
      <c r="N12" s="350"/>
      <c r="O12" s="350">
        <v>1096000</v>
      </c>
      <c r="P12" s="350">
        <v>758870</v>
      </c>
      <c r="Q12" s="350">
        <v>1854870</v>
      </c>
      <c r="R12" s="219"/>
      <c r="S12" s="219"/>
      <c r="T12" s="219"/>
      <c r="U12" s="219"/>
      <c r="V12" s="985"/>
      <c r="W12" s="350"/>
      <c r="X12" s="350"/>
      <c r="Y12" s="350"/>
      <c r="Z12" s="350"/>
      <c r="AA12" s="350"/>
      <c r="AB12" s="350"/>
      <c r="AC12" s="350"/>
      <c r="AD12" s="350"/>
      <c r="AE12" s="350"/>
      <c r="AF12" s="350"/>
      <c r="AG12" s="350"/>
      <c r="AH12" s="350"/>
      <c r="AI12" s="350"/>
      <c r="AJ12" s="350"/>
      <c r="AK12" s="350"/>
      <c r="AL12" s="350"/>
      <c r="AM12" s="350"/>
      <c r="AN12" s="350"/>
      <c r="AO12" s="350"/>
      <c r="AP12" s="350">
        <f t="shared" si="4"/>
        <v>-1854870</v>
      </c>
      <c r="AQ12" s="351"/>
      <c r="AR12" s="351"/>
      <c r="AS12" s="351"/>
      <c r="AT12" s="351"/>
      <c r="AU12" s="351"/>
    </row>
    <row r="13" spans="1:51" ht="25.5" customHeight="1">
      <c r="A13" s="350">
        <v>3</v>
      </c>
      <c r="B13" s="983"/>
      <c r="C13" s="984"/>
      <c r="D13" s="707" t="s">
        <v>213</v>
      </c>
      <c r="E13" s="713">
        <v>1</v>
      </c>
      <c r="F13" s="219" t="s">
        <v>124</v>
      </c>
      <c r="G13" s="707" t="s">
        <v>214</v>
      </c>
      <c r="H13" s="707" t="s">
        <v>960</v>
      </c>
      <c r="I13" s="714"/>
      <c r="J13" s="350" t="s">
        <v>130</v>
      </c>
      <c r="K13" s="714"/>
      <c r="L13" s="350" t="s">
        <v>130</v>
      </c>
      <c r="M13" s="714"/>
      <c r="N13" s="350"/>
      <c r="O13" s="350">
        <v>65800</v>
      </c>
      <c r="P13" s="350">
        <v>533600</v>
      </c>
      <c r="Q13" s="350">
        <v>599400</v>
      </c>
      <c r="R13" s="219"/>
      <c r="S13" s="219"/>
      <c r="T13" s="219"/>
      <c r="U13" s="219"/>
      <c r="V13" s="985"/>
      <c r="W13" s="350"/>
      <c r="X13" s="350"/>
      <c r="Y13" s="350"/>
      <c r="Z13" s="350"/>
      <c r="AA13" s="350"/>
      <c r="AB13" s="350"/>
      <c r="AC13" s="350"/>
      <c r="AD13" s="350"/>
      <c r="AE13" s="350"/>
      <c r="AF13" s="350"/>
      <c r="AG13" s="350"/>
      <c r="AH13" s="350"/>
      <c r="AI13" s="350"/>
      <c r="AJ13" s="350"/>
      <c r="AK13" s="350"/>
      <c r="AL13" s="350"/>
      <c r="AM13" s="350"/>
      <c r="AN13" s="350"/>
      <c r="AO13" s="350"/>
      <c r="AP13" s="350">
        <f t="shared" si="4"/>
        <v>-599400</v>
      </c>
      <c r="AQ13" s="351"/>
      <c r="AR13" s="351"/>
      <c r="AS13" s="351"/>
      <c r="AT13" s="351"/>
      <c r="AU13" s="351"/>
    </row>
    <row r="14" spans="1:51" ht="33" customHeight="1">
      <c r="A14" s="350">
        <v>4</v>
      </c>
      <c r="B14" s="983"/>
      <c r="C14" s="984"/>
      <c r="D14" s="712" t="s">
        <v>209</v>
      </c>
      <c r="E14" s="713">
        <v>1</v>
      </c>
      <c r="F14" s="219" t="s">
        <v>215</v>
      </c>
      <c r="G14" s="712" t="s">
        <v>216</v>
      </c>
      <c r="H14" s="712" t="s">
        <v>217</v>
      </c>
      <c r="I14" s="714"/>
      <c r="J14" s="350" t="s">
        <v>130</v>
      </c>
      <c r="K14" s="714"/>
      <c r="L14" s="350" t="s">
        <v>130</v>
      </c>
      <c r="M14" s="714"/>
      <c r="N14" s="350"/>
      <c r="O14" s="350">
        <v>993000</v>
      </c>
      <c r="P14" s="350">
        <v>927300</v>
      </c>
      <c r="Q14" s="350">
        <v>1920300</v>
      </c>
      <c r="R14" s="219"/>
      <c r="S14" s="219"/>
      <c r="T14" s="219"/>
      <c r="U14" s="219"/>
      <c r="V14" s="985"/>
      <c r="W14" s="350"/>
      <c r="X14" s="350"/>
      <c r="Y14" s="350"/>
      <c r="Z14" s="350"/>
      <c r="AA14" s="350"/>
      <c r="AB14" s="350"/>
      <c r="AC14" s="350"/>
      <c r="AD14" s="350"/>
      <c r="AE14" s="350"/>
      <c r="AF14" s="350"/>
      <c r="AG14" s="350"/>
      <c r="AH14" s="350"/>
      <c r="AI14" s="350"/>
      <c r="AJ14" s="350"/>
      <c r="AK14" s="350"/>
      <c r="AL14" s="350"/>
      <c r="AM14" s="350"/>
      <c r="AN14" s="350"/>
      <c r="AO14" s="350"/>
      <c r="AP14" s="350">
        <f t="shared" si="4"/>
        <v>-1920300</v>
      </c>
      <c r="AQ14" s="351"/>
      <c r="AR14" s="351"/>
      <c r="AS14" s="351"/>
      <c r="AT14" s="351"/>
      <c r="AU14" s="351"/>
    </row>
    <row r="15" spans="1:51" ht="25.5" customHeight="1">
      <c r="A15" s="350">
        <v>5</v>
      </c>
      <c r="B15" s="983"/>
      <c r="C15" s="984"/>
      <c r="D15" s="712" t="s">
        <v>209</v>
      </c>
      <c r="E15" s="713">
        <v>1</v>
      </c>
      <c r="F15" s="219" t="s">
        <v>215</v>
      </c>
      <c r="G15" s="712" t="s">
        <v>218</v>
      </c>
      <c r="H15" s="707" t="s">
        <v>961</v>
      </c>
      <c r="I15" s="714"/>
      <c r="J15" s="350" t="s">
        <v>130</v>
      </c>
      <c r="K15" s="714"/>
      <c r="L15" s="350" t="s">
        <v>130</v>
      </c>
      <c r="M15" s="714"/>
      <c r="N15" s="350"/>
      <c r="O15" s="350">
        <v>537000</v>
      </c>
      <c r="P15" s="350">
        <v>210500</v>
      </c>
      <c r="Q15" s="350">
        <v>747500</v>
      </c>
      <c r="R15" s="219"/>
      <c r="S15" s="219"/>
      <c r="T15" s="219"/>
      <c r="U15" s="219"/>
      <c r="V15" s="985"/>
      <c r="W15" s="350"/>
      <c r="X15" s="350"/>
      <c r="Y15" s="350"/>
      <c r="Z15" s="350"/>
      <c r="AA15" s="350"/>
      <c r="AB15" s="350"/>
      <c r="AC15" s="350"/>
      <c r="AD15" s="350"/>
      <c r="AE15" s="350"/>
      <c r="AF15" s="350"/>
      <c r="AG15" s="350"/>
      <c r="AH15" s="350"/>
      <c r="AI15" s="350"/>
      <c r="AJ15" s="350"/>
      <c r="AK15" s="350"/>
      <c r="AL15" s="350"/>
      <c r="AM15" s="350"/>
      <c r="AN15" s="350"/>
      <c r="AO15" s="350"/>
      <c r="AP15" s="350">
        <f t="shared" si="4"/>
        <v>-747500</v>
      </c>
      <c r="AQ15" s="351"/>
      <c r="AR15" s="351"/>
      <c r="AS15" s="351"/>
      <c r="AT15" s="351"/>
      <c r="AU15" s="351"/>
    </row>
    <row r="16" spans="1:51" ht="25.5" customHeight="1">
      <c r="A16" s="350">
        <v>6</v>
      </c>
      <c r="B16" s="983"/>
      <c r="C16" s="984"/>
      <c r="D16" s="712" t="s">
        <v>209</v>
      </c>
      <c r="E16" s="713">
        <v>1</v>
      </c>
      <c r="F16" s="219" t="s">
        <v>215</v>
      </c>
      <c r="G16" s="712" t="s">
        <v>219</v>
      </c>
      <c r="H16" s="707" t="s">
        <v>961</v>
      </c>
      <c r="I16" s="714"/>
      <c r="J16" s="350" t="s">
        <v>130</v>
      </c>
      <c r="K16" s="714"/>
      <c r="L16" s="350" t="s">
        <v>130</v>
      </c>
      <c r="M16" s="714"/>
      <c r="N16" s="350"/>
      <c r="O16" s="350">
        <v>885000</v>
      </c>
      <c r="P16" s="350">
        <v>1102900</v>
      </c>
      <c r="Q16" s="350">
        <v>1987900</v>
      </c>
      <c r="R16" s="219"/>
      <c r="S16" s="219"/>
      <c r="T16" s="219"/>
      <c r="U16" s="219"/>
      <c r="V16" s="985"/>
      <c r="W16" s="350"/>
      <c r="X16" s="350"/>
      <c r="Y16" s="350"/>
      <c r="Z16" s="350"/>
      <c r="AA16" s="350"/>
      <c r="AB16" s="350"/>
      <c r="AC16" s="350"/>
      <c r="AD16" s="350"/>
      <c r="AE16" s="350"/>
      <c r="AF16" s="350"/>
      <c r="AG16" s="350"/>
      <c r="AH16" s="350"/>
      <c r="AI16" s="350"/>
      <c r="AJ16" s="350"/>
      <c r="AK16" s="350"/>
      <c r="AL16" s="350"/>
      <c r="AM16" s="350"/>
      <c r="AN16" s="350"/>
      <c r="AO16" s="350"/>
      <c r="AP16" s="350">
        <f t="shared" si="4"/>
        <v>-1987900</v>
      </c>
      <c r="AQ16" s="351"/>
      <c r="AR16" s="351"/>
      <c r="AS16" s="351"/>
      <c r="AT16" s="351"/>
      <c r="AU16" s="351"/>
    </row>
    <row r="17" spans="1:67" ht="25.5" customHeight="1">
      <c r="A17" s="350">
        <v>7</v>
      </c>
      <c r="B17" s="983"/>
      <c r="C17" s="984"/>
      <c r="D17" s="707" t="s">
        <v>220</v>
      </c>
      <c r="E17" s="713">
        <v>1</v>
      </c>
      <c r="F17" s="219" t="s">
        <v>215</v>
      </c>
      <c r="G17" s="712" t="s">
        <v>221</v>
      </c>
      <c r="H17" s="712" t="s">
        <v>222</v>
      </c>
      <c r="I17" s="714"/>
      <c r="J17" s="350" t="s">
        <v>130</v>
      </c>
      <c r="K17" s="714"/>
      <c r="L17" s="350" t="s">
        <v>130</v>
      </c>
      <c r="M17" s="714"/>
      <c r="N17" s="350"/>
      <c r="O17" s="350">
        <v>722000</v>
      </c>
      <c r="P17" s="350">
        <v>1472930</v>
      </c>
      <c r="Q17" s="350">
        <v>2194930</v>
      </c>
      <c r="R17" s="219"/>
      <c r="S17" s="219"/>
      <c r="T17" s="219"/>
      <c r="U17" s="219"/>
      <c r="V17" s="985"/>
      <c r="W17" s="350"/>
      <c r="X17" s="350"/>
      <c r="Y17" s="350"/>
      <c r="Z17" s="350"/>
      <c r="AA17" s="350"/>
      <c r="AB17" s="350"/>
      <c r="AC17" s="350"/>
      <c r="AD17" s="350"/>
      <c r="AE17" s="350"/>
      <c r="AF17" s="350"/>
      <c r="AG17" s="350"/>
      <c r="AH17" s="350"/>
      <c r="AI17" s="350"/>
      <c r="AJ17" s="350"/>
      <c r="AK17" s="350"/>
      <c r="AL17" s="350"/>
      <c r="AM17" s="350"/>
      <c r="AN17" s="350"/>
      <c r="AO17" s="350"/>
      <c r="AP17" s="350">
        <f t="shared" si="4"/>
        <v>-2194930</v>
      </c>
      <c r="AQ17" s="351"/>
      <c r="AR17" s="351"/>
      <c r="AS17" s="351"/>
      <c r="AT17" s="351"/>
      <c r="AU17" s="351"/>
    </row>
    <row r="18" spans="1:67" ht="25.5" customHeight="1">
      <c r="A18" s="350">
        <v>8</v>
      </c>
      <c r="B18" s="983"/>
      <c r="C18" s="984"/>
      <c r="D18" s="707" t="s">
        <v>48</v>
      </c>
      <c r="E18" s="713">
        <v>1</v>
      </c>
      <c r="F18" s="219" t="s">
        <v>215</v>
      </c>
      <c r="G18" s="712" t="s">
        <v>223</v>
      </c>
      <c r="H18" s="712" t="s">
        <v>222</v>
      </c>
      <c r="I18" s="714"/>
      <c r="J18" s="350" t="s">
        <v>130</v>
      </c>
      <c r="K18" s="714"/>
      <c r="L18" s="350" t="s">
        <v>130</v>
      </c>
      <c r="M18" s="714"/>
      <c r="N18" s="350"/>
      <c r="O18" s="350">
        <v>670000</v>
      </c>
      <c r="P18" s="350">
        <v>997600</v>
      </c>
      <c r="Q18" s="350">
        <v>1667600</v>
      </c>
      <c r="R18" s="219"/>
      <c r="S18" s="219"/>
      <c r="T18" s="219"/>
      <c r="U18" s="219"/>
      <c r="V18" s="985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50"/>
      <c r="AL18" s="350"/>
      <c r="AM18" s="350"/>
      <c r="AN18" s="350"/>
      <c r="AO18" s="350"/>
      <c r="AP18" s="350">
        <f t="shared" si="4"/>
        <v>-1667600</v>
      </c>
      <c r="AQ18" s="351"/>
      <c r="AR18" s="351"/>
      <c r="AS18" s="351"/>
      <c r="AT18" s="351"/>
      <c r="AU18" s="351"/>
    </row>
    <row r="19" spans="1:67" ht="25.5" customHeight="1">
      <c r="A19" s="350">
        <v>9</v>
      </c>
      <c r="B19" s="983"/>
      <c r="C19" s="984"/>
      <c r="D19" s="707" t="s">
        <v>224</v>
      </c>
      <c r="E19" s="713">
        <v>1</v>
      </c>
      <c r="F19" s="219" t="s">
        <v>215</v>
      </c>
      <c r="G19" s="712" t="s">
        <v>225</v>
      </c>
      <c r="H19" s="707" t="s">
        <v>222</v>
      </c>
      <c r="I19" s="714"/>
      <c r="J19" s="350" t="s">
        <v>130</v>
      </c>
      <c r="K19" s="714"/>
      <c r="L19" s="350" t="s">
        <v>130</v>
      </c>
      <c r="M19" s="714"/>
      <c r="N19" s="350"/>
      <c r="O19" s="350">
        <v>189000</v>
      </c>
      <c r="P19" s="350">
        <v>180000</v>
      </c>
      <c r="Q19" s="350">
        <v>369000</v>
      </c>
      <c r="R19" s="219"/>
      <c r="S19" s="219"/>
      <c r="T19" s="219"/>
      <c r="U19" s="219"/>
      <c r="V19" s="985"/>
      <c r="W19" s="350"/>
      <c r="X19" s="350"/>
      <c r="Y19" s="350"/>
      <c r="Z19" s="350"/>
      <c r="AA19" s="350"/>
      <c r="AB19" s="350"/>
      <c r="AC19" s="350"/>
      <c r="AD19" s="350"/>
      <c r="AE19" s="350"/>
      <c r="AF19" s="350"/>
      <c r="AG19" s="350"/>
      <c r="AH19" s="350"/>
      <c r="AI19" s="350"/>
      <c r="AJ19" s="350"/>
      <c r="AK19" s="350"/>
      <c r="AL19" s="350"/>
      <c r="AM19" s="350"/>
      <c r="AN19" s="350"/>
      <c r="AO19" s="350"/>
      <c r="AP19" s="350">
        <f t="shared" si="4"/>
        <v>-369000</v>
      </c>
      <c r="AQ19" s="351"/>
      <c r="AR19" s="351"/>
      <c r="AS19" s="351"/>
      <c r="AT19" s="351"/>
      <c r="AU19" s="351"/>
    </row>
    <row r="20" spans="1:67" ht="25.5" customHeight="1">
      <c r="A20" s="350">
        <v>10</v>
      </c>
      <c r="B20" s="983"/>
      <c r="C20" s="984"/>
      <c r="D20" s="707" t="s">
        <v>226</v>
      </c>
      <c r="E20" s="713">
        <v>1</v>
      </c>
      <c r="F20" s="350" t="s">
        <v>227</v>
      </c>
      <c r="G20" s="712" t="s">
        <v>228</v>
      </c>
      <c r="H20" s="707" t="s">
        <v>229</v>
      </c>
      <c r="I20" s="714"/>
      <c r="J20" s="350" t="s">
        <v>130</v>
      </c>
      <c r="K20" s="714"/>
      <c r="L20" s="350" t="s">
        <v>130</v>
      </c>
      <c r="M20" s="714"/>
      <c r="N20" s="350"/>
      <c r="O20" s="350">
        <v>0</v>
      </c>
      <c r="P20" s="350">
        <v>0</v>
      </c>
      <c r="Q20" s="350">
        <v>0</v>
      </c>
      <c r="R20" s="219"/>
      <c r="S20" s="219"/>
      <c r="T20" s="219"/>
      <c r="U20" s="219"/>
      <c r="V20" s="985"/>
      <c r="W20" s="350"/>
      <c r="X20" s="350"/>
      <c r="Y20" s="350"/>
      <c r="Z20" s="350"/>
      <c r="AA20" s="350"/>
      <c r="AB20" s="350"/>
      <c r="AC20" s="350"/>
      <c r="AD20" s="350"/>
      <c r="AE20" s="350"/>
      <c r="AF20" s="350"/>
      <c r="AG20" s="350"/>
      <c r="AH20" s="350"/>
      <c r="AI20" s="350"/>
      <c r="AJ20" s="350"/>
      <c r="AK20" s="350"/>
      <c r="AL20" s="350"/>
      <c r="AM20" s="350"/>
      <c r="AN20" s="350"/>
      <c r="AO20" s="350"/>
      <c r="AP20" s="350">
        <f t="shared" si="4"/>
        <v>0</v>
      </c>
      <c r="AQ20" s="351"/>
      <c r="AR20" s="351"/>
      <c r="AS20" s="351"/>
      <c r="AT20" s="351"/>
      <c r="AU20" s="351"/>
    </row>
    <row r="21" spans="1:67" ht="25.5" customHeight="1">
      <c r="A21" s="350">
        <v>11</v>
      </c>
      <c r="B21" s="983"/>
      <c r="C21" s="984"/>
      <c r="D21" s="707" t="s">
        <v>230</v>
      </c>
      <c r="E21" s="713">
        <v>1</v>
      </c>
      <c r="F21" s="350" t="s">
        <v>215</v>
      </c>
      <c r="G21" s="712" t="s">
        <v>231</v>
      </c>
      <c r="H21" s="707" t="s">
        <v>222</v>
      </c>
      <c r="I21" s="714"/>
      <c r="J21" s="350" t="s">
        <v>130</v>
      </c>
      <c r="K21" s="714"/>
      <c r="L21" s="350" t="s">
        <v>130</v>
      </c>
      <c r="M21" s="714"/>
      <c r="N21" s="350"/>
      <c r="O21" s="350">
        <v>0</v>
      </c>
      <c r="P21" s="350">
        <v>0</v>
      </c>
      <c r="Q21" s="350">
        <v>0</v>
      </c>
      <c r="R21" s="219"/>
      <c r="S21" s="219"/>
      <c r="T21" s="219"/>
      <c r="U21" s="219"/>
      <c r="V21" s="985"/>
      <c r="W21" s="350"/>
      <c r="X21" s="350"/>
      <c r="Y21" s="350"/>
      <c r="Z21" s="350"/>
      <c r="AA21" s="350"/>
      <c r="AB21" s="350"/>
      <c r="AC21" s="350"/>
      <c r="AD21" s="350"/>
      <c r="AE21" s="350"/>
      <c r="AF21" s="350"/>
      <c r="AG21" s="350"/>
      <c r="AH21" s="350"/>
      <c r="AI21" s="350"/>
      <c r="AJ21" s="350"/>
      <c r="AK21" s="350"/>
      <c r="AL21" s="350"/>
      <c r="AM21" s="350"/>
      <c r="AN21" s="350"/>
      <c r="AO21" s="350"/>
      <c r="AP21" s="350">
        <f t="shared" si="4"/>
        <v>0</v>
      </c>
      <c r="AQ21" s="351"/>
      <c r="AR21" s="351"/>
      <c r="AS21" s="351"/>
      <c r="AT21" s="351"/>
      <c r="AU21" s="351"/>
    </row>
    <row r="22" spans="1:67" ht="39" customHeight="1">
      <c r="A22" s="350">
        <v>12</v>
      </c>
      <c r="B22" s="983"/>
      <c r="C22" s="984"/>
      <c r="D22" s="707" t="s">
        <v>232</v>
      </c>
      <c r="E22" s="713">
        <v>1</v>
      </c>
      <c r="F22" s="219" t="s">
        <v>233</v>
      </c>
      <c r="G22" s="707" t="s">
        <v>234</v>
      </c>
      <c r="H22" s="707" t="s">
        <v>235</v>
      </c>
      <c r="I22" s="714"/>
      <c r="J22" s="350" t="s">
        <v>130</v>
      </c>
      <c r="K22" s="714"/>
      <c r="L22" s="350" t="s">
        <v>130</v>
      </c>
      <c r="M22" s="714"/>
      <c r="N22" s="350"/>
      <c r="O22" s="350">
        <v>44600</v>
      </c>
      <c r="P22" s="350">
        <v>178600</v>
      </c>
      <c r="Q22" s="350">
        <v>223200</v>
      </c>
      <c r="R22" s="219"/>
      <c r="S22" s="219"/>
      <c r="T22" s="219"/>
      <c r="U22" s="219"/>
      <c r="V22" s="985"/>
      <c r="W22" s="350"/>
      <c r="X22" s="350"/>
      <c r="Y22" s="350"/>
      <c r="Z22" s="350"/>
      <c r="AA22" s="350"/>
      <c r="AB22" s="350"/>
      <c r="AC22" s="350"/>
      <c r="AD22" s="350"/>
      <c r="AE22" s="350"/>
      <c r="AF22" s="350"/>
      <c r="AG22" s="350"/>
      <c r="AH22" s="350"/>
      <c r="AI22" s="350"/>
      <c r="AJ22" s="350"/>
      <c r="AK22" s="350"/>
      <c r="AL22" s="350"/>
      <c r="AM22" s="350"/>
      <c r="AN22" s="350"/>
      <c r="AO22" s="350"/>
      <c r="AP22" s="350">
        <f t="shared" si="4"/>
        <v>-223200</v>
      </c>
      <c r="AQ22" s="351"/>
      <c r="AR22" s="351"/>
      <c r="AS22" s="351"/>
      <c r="AT22" s="351"/>
      <c r="AU22" s="351"/>
    </row>
    <row r="23" spans="1:67" ht="41.25" customHeight="1">
      <c r="A23" s="350">
        <v>13</v>
      </c>
      <c r="B23" s="983"/>
      <c r="C23" s="984"/>
      <c r="D23" s="707" t="s">
        <v>236</v>
      </c>
      <c r="E23" s="713">
        <v>1</v>
      </c>
      <c r="F23" s="350" t="s">
        <v>237</v>
      </c>
      <c r="G23" s="707" t="s">
        <v>238</v>
      </c>
      <c r="H23" s="707" t="s">
        <v>235</v>
      </c>
      <c r="I23" s="714"/>
      <c r="J23" s="350" t="s">
        <v>130</v>
      </c>
      <c r="K23" s="714"/>
      <c r="L23" s="350" t="s">
        <v>130</v>
      </c>
      <c r="M23" s="714"/>
      <c r="N23" s="350"/>
      <c r="O23" s="350">
        <v>0</v>
      </c>
      <c r="P23" s="350">
        <v>0</v>
      </c>
      <c r="Q23" s="350">
        <v>0</v>
      </c>
      <c r="R23" s="219"/>
      <c r="S23" s="219"/>
      <c r="T23" s="219"/>
      <c r="U23" s="219"/>
      <c r="V23" s="985"/>
      <c r="W23" s="350"/>
      <c r="X23" s="350"/>
      <c r="Y23" s="350"/>
      <c r="Z23" s="350"/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0"/>
      <c r="AL23" s="350"/>
      <c r="AM23" s="350"/>
      <c r="AN23" s="350"/>
      <c r="AO23" s="350"/>
      <c r="AP23" s="350">
        <f t="shared" si="4"/>
        <v>0</v>
      </c>
      <c r="AQ23" s="351"/>
      <c r="AR23" s="351"/>
      <c r="AS23" s="351"/>
      <c r="AT23" s="351"/>
      <c r="AU23" s="351"/>
    </row>
    <row r="24" spans="1:67" ht="54" customHeight="1">
      <c r="A24" s="350">
        <v>14</v>
      </c>
      <c r="B24" s="983"/>
      <c r="C24" s="984"/>
      <c r="D24" s="707" t="s">
        <v>232</v>
      </c>
      <c r="E24" s="713">
        <v>1</v>
      </c>
      <c r="F24" s="350" t="s">
        <v>233</v>
      </c>
      <c r="G24" s="707" t="s">
        <v>239</v>
      </c>
      <c r="H24" s="707" t="s">
        <v>235</v>
      </c>
      <c r="I24" s="714"/>
      <c r="J24" s="350" t="s">
        <v>130</v>
      </c>
      <c r="K24" s="714"/>
      <c r="L24" s="350" t="s">
        <v>130</v>
      </c>
      <c r="M24" s="714"/>
      <c r="N24" s="350"/>
      <c r="O24" s="350">
        <v>0</v>
      </c>
      <c r="P24" s="350">
        <v>0</v>
      </c>
      <c r="Q24" s="350">
        <v>0</v>
      </c>
      <c r="R24" s="219"/>
      <c r="S24" s="219"/>
      <c r="T24" s="219"/>
      <c r="U24" s="219"/>
      <c r="V24" s="985"/>
      <c r="W24" s="350"/>
      <c r="X24" s="350"/>
      <c r="Y24" s="350"/>
      <c r="Z24" s="350"/>
      <c r="AA24" s="350"/>
      <c r="AB24" s="350"/>
      <c r="AC24" s="350"/>
      <c r="AD24" s="350"/>
      <c r="AE24" s="350"/>
      <c r="AF24" s="350"/>
      <c r="AG24" s="350"/>
      <c r="AH24" s="350"/>
      <c r="AI24" s="350"/>
      <c r="AJ24" s="350"/>
      <c r="AK24" s="350"/>
      <c r="AL24" s="350"/>
      <c r="AM24" s="350"/>
      <c r="AN24" s="350"/>
      <c r="AO24" s="350"/>
      <c r="AP24" s="350">
        <f t="shared" si="4"/>
        <v>0</v>
      </c>
      <c r="AQ24" s="351"/>
      <c r="AR24" s="351"/>
      <c r="AS24" s="351"/>
      <c r="AT24" s="351"/>
      <c r="AU24" s="351"/>
    </row>
    <row r="25" spans="1:67" ht="28.5" customHeight="1">
      <c r="A25" s="350">
        <v>15</v>
      </c>
      <c r="B25" s="983"/>
      <c r="C25" s="984"/>
      <c r="D25" s="707" t="s">
        <v>240</v>
      </c>
      <c r="E25" s="706">
        <v>1</v>
      </c>
      <c r="F25" s="350" t="s">
        <v>241</v>
      </c>
      <c r="G25" s="707" t="s">
        <v>242</v>
      </c>
      <c r="H25" s="707" t="s">
        <v>243</v>
      </c>
      <c r="I25" s="350"/>
      <c r="J25" s="350" t="s">
        <v>130</v>
      </c>
      <c r="K25" s="714"/>
      <c r="L25" s="350" t="s">
        <v>130</v>
      </c>
      <c r="M25" s="714"/>
      <c r="N25" s="350"/>
      <c r="O25" s="350">
        <v>100000</v>
      </c>
      <c r="P25" s="350">
        <v>187500</v>
      </c>
      <c r="Q25" s="350">
        <v>287500</v>
      </c>
      <c r="R25" s="219"/>
      <c r="S25" s="219"/>
      <c r="T25" s="219"/>
      <c r="U25" s="219"/>
      <c r="V25" s="985"/>
      <c r="W25" s="350"/>
      <c r="X25" s="350"/>
      <c r="Y25" s="350"/>
      <c r="Z25" s="350"/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>
        <f t="shared" si="4"/>
        <v>-287500</v>
      </c>
      <c r="AQ25" s="351"/>
      <c r="AR25" s="351"/>
      <c r="AS25" s="351"/>
      <c r="AT25" s="351"/>
      <c r="AU25" s="351"/>
    </row>
    <row r="26" spans="1:67" s="349" customFormat="1" ht="24.75" customHeight="1">
      <c r="A26" s="987" t="s">
        <v>330</v>
      </c>
      <c r="B26" s="987"/>
      <c r="C26" s="715">
        <v>39</v>
      </c>
      <c r="D26" s="353"/>
      <c r="E26" s="715">
        <f>SUM(E11:E25)</f>
        <v>15</v>
      </c>
      <c r="F26" s="353"/>
      <c r="G26" s="353"/>
      <c r="H26" s="353"/>
      <c r="I26" s="353"/>
      <c r="J26" s="353"/>
      <c r="K26" s="353"/>
      <c r="L26" s="353"/>
      <c r="M26" s="353"/>
      <c r="N26" s="353"/>
      <c r="O26" s="353">
        <f>SUM(O11:O25)</f>
        <v>6338400</v>
      </c>
      <c r="P26" s="353">
        <f t="shared" ref="P26:Q26" si="5">SUM(P11:P25)</f>
        <v>7312600</v>
      </c>
      <c r="Q26" s="353">
        <f t="shared" si="5"/>
        <v>13651000</v>
      </c>
      <c r="R26" s="353"/>
      <c r="S26" s="353"/>
      <c r="T26" s="353"/>
      <c r="U26" s="353"/>
      <c r="V26" s="353">
        <v>45433</v>
      </c>
      <c r="W26" s="353"/>
      <c r="X26" s="353"/>
      <c r="Y26" s="353"/>
      <c r="Z26" s="353"/>
      <c r="AA26" s="353"/>
      <c r="AB26" s="353"/>
      <c r="AC26" s="353"/>
      <c r="AD26" s="353"/>
      <c r="AE26" s="353"/>
      <c r="AF26" s="353"/>
      <c r="AG26" s="353"/>
      <c r="AH26" s="353"/>
      <c r="AI26" s="353"/>
      <c r="AJ26" s="353"/>
      <c r="AK26" s="353"/>
      <c r="AL26" s="353"/>
      <c r="AM26" s="353"/>
      <c r="AN26" s="353"/>
      <c r="AO26" s="353"/>
      <c r="AP26" s="352">
        <f t="shared" si="4"/>
        <v>-13651000</v>
      </c>
    </row>
    <row r="27" spans="1:67" s="718" customFormat="1" ht="66.75" customHeight="1">
      <c r="A27" s="716">
        <v>3</v>
      </c>
      <c r="B27" s="716" t="s">
        <v>962</v>
      </c>
      <c r="C27" s="715">
        <v>15</v>
      </c>
      <c r="D27" s="709" t="s">
        <v>963</v>
      </c>
      <c r="E27" s="715">
        <v>2</v>
      </c>
      <c r="F27" s="716" t="s">
        <v>964</v>
      </c>
      <c r="G27" s="716" t="s">
        <v>141</v>
      </c>
      <c r="H27" s="716" t="s">
        <v>136</v>
      </c>
      <c r="I27" s="716"/>
      <c r="J27" s="352" t="s">
        <v>15</v>
      </c>
      <c r="K27" s="716"/>
      <c r="L27" s="352" t="s">
        <v>965</v>
      </c>
      <c r="M27" s="716"/>
      <c r="N27" s="716">
        <v>9794646</v>
      </c>
      <c r="O27" s="716">
        <v>11223910</v>
      </c>
      <c r="P27" s="716">
        <v>10221500</v>
      </c>
      <c r="Q27" s="716">
        <f>N27+O27+P27</f>
        <v>31240056</v>
      </c>
      <c r="R27" s="716"/>
      <c r="S27" s="716"/>
      <c r="T27" s="716"/>
      <c r="U27" s="716"/>
      <c r="V27" s="716">
        <v>12919</v>
      </c>
      <c r="W27" s="716">
        <v>13</v>
      </c>
      <c r="X27" s="717">
        <f>W27*100/V27</f>
        <v>0.10062698351265578</v>
      </c>
      <c r="Y27" s="716"/>
      <c r="Z27" s="716"/>
      <c r="AA27" s="716"/>
      <c r="AB27" s="716">
        <v>2843</v>
      </c>
      <c r="AC27" s="716"/>
      <c r="AD27" s="716"/>
      <c r="AE27" s="716"/>
      <c r="AF27" s="716">
        <v>69</v>
      </c>
      <c r="AG27" s="716"/>
      <c r="AH27" s="716"/>
      <c r="AI27" s="716"/>
      <c r="AJ27" s="716">
        <v>1020000</v>
      </c>
      <c r="AK27" s="716"/>
      <c r="AL27" s="716"/>
      <c r="AM27" s="716"/>
      <c r="AN27" s="716"/>
      <c r="AO27" s="352">
        <f>AJ27</f>
        <v>1020000</v>
      </c>
      <c r="AP27" s="352">
        <f>AO27-Q27</f>
        <v>-30220056</v>
      </c>
      <c r="AQ27" s="351"/>
      <c r="AR27" s="351"/>
      <c r="AS27" s="351"/>
      <c r="AT27" s="351"/>
      <c r="AU27" s="351"/>
    </row>
    <row r="28" spans="1:67" s="349" customFormat="1" ht="42.75" customHeight="1">
      <c r="A28" s="219">
        <v>26</v>
      </c>
      <c r="B28" s="219" t="s">
        <v>245</v>
      </c>
      <c r="C28" s="713"/>
      <c r="D28" s="719" t="s">
        <v>246</v>
      </c>
      <c r="E28" s="720">
        <v>2</v>
      </c>
      <c r="F28" s="219" t="s">
        <v>247</v>
      </c>
      <c r="G28" s="219" t="s">
        <v>248</v>
      </c>
      <c r="H28" s="350" t="s">
        <v>249</v>
      </c>
      <c r="I28" s="219"/>
      <c r="J28" s="350" t="s">
        <v>130</v>
      </c>
      <c r="K28" s="350" t="s">
        <v>250</v>
      </c>
      <c r="L28" s="350" t="s">
        <v>251</v>
      </c>
      <c r="M28" s="219"/>
      <c r="N28" s="219">
        <v>0</v>
      </c>
      <c r="O28" s="219">
        <v>0</v>
      </c>
      <c r="P28" s="219">
        <v>0</v>
      </c>
      <c r="Q28" s="219">
        <f>N28+O28+P28</f>
        <v>0</v>
      </c>
      <c r="R28" s="219">
        <v>0</v>
      </c>
      <c r="S28" s="219">
        <v>0</v>
      </c>
      <c r="T28" s="219">
        <v>0</v>
      </c>
      <c r="U28" s="219">
        <v>0</v>
      </c>
      <c r="V28" s="219">
        <v>30415</v>
      </c>
      <c r="W28" s="219">
        <v>0</v>
      </c>
      <c r="X28" s="219">
        <v>0</v>
      </c>
      <c r="Y28" s="219">
        <v>0</v>
      </c>
      <c r="Z28" s="219">
        <v>0</v>
      </c>
      <c r="AA28" s="219">
        <v>0</v>
      </c>
      <c r="AB28" s="219">
        <v>0</v>
      </c>
      <c r="AC28" s="219">
        <v>0</v>
      </c>
      <c r="AD28" s="219">
        <v>0</v>
      </c>
      <c r="AE28" s="219">
        <v>0</v>
      </c>
      <c r="AF28" s="219">
        <v>0</v>
      </c>
      <c r="AG28" s="219">
        <v>0</v>
      </c>
      <c r="AH28" s="219">
        <v>0</v>
      </c>
      <c r="AI28" s="219">
        <v>0</v>
      </c>
      <c r="AJ28" s="219">
        <v>0</v>
      </c>
      <c r="AK28" s="219">
        <f>R28*Y28</f>
        <v>0</v>
      </c>
      <c r="AL28" s="219">
        <f t="shared" ref="AL28:AN30" si="6">S28*Z28</f>
        <v>0</v>
      </c>
      <c r="AM28" s="219">
        <f>T28*AF28</f>
        <v>0</v>
      </c>
      <c r="AN28" s="219">
        <f t="shared" si="6"/>
        <v>0</v>
      </c>
      <c r="AO28" s="350">
        <f t="shared" ref="AO28:AO30" si="7">AK28+AL28+AM28+AN28</f>
        <v>0</v>
      </c>
      <c r="AP28" s="350">
        <f t="shared" ref="AP28:AP41" si="8">AO28-Q28</f>
        <v>0</v>
      </c>
      <c r="AQ28" s="721"/>
      <c r="AR28" s="722"/>
      <c r="AS28" s="722"/>
      <c r="AT28" s="722"/>
      <c r="AU28" s="722"/>
      <c r="AV28" s="722"/>
      <c r="AW28" s="722"/>
      <c r="AX28" s="722"/>
      <c r="AY28" s="722"/>
      <c r="AZ28" s="722"/>
      <c r="BA28" s="722"/>
      <c r="BB28" s="722"/>
      <c r="BC28" s="722"/>
      <c r="BD28" s="722"/>
      <c r="BE28" s="722"/>
      <c r="BF28" s="723"/>
      <c r="BG28" s="724"/>
      <c r="BH28" s="725"/>
      <c r="BI28" s="725"/>
      <c r="BJ28" s="725"/>
      <c r="BK28" s="725"/>
      <c r="BL28" s="725"/>
      <c r="BM28" s="725"/>
      <c r="BN28" s="725"/>
      <c r="BO28" s="725"/>
    </row>
    <row r="29" spans="1:67" s="349" customFormat="1" ht="48.75" customHeight="1">
      <c r="A29" s="219">
        <v>27</v>
      </c>
      <c r="B29" s="219" t="s">
        <v>245</v>
      </c>
      <c r="C29" s="713"/>
      <c r="D29" s="350" t="s">
        <v>252</v>
      </c>
      <c r="E29" s="720">
        <v>2</v>
      </c>
      <c r="F29" s="219" t="s">
        <v>247</v>
      </c>
      <c r="G29" s="219" t="s">
        <v>253</v>
      </c>
      <c r="H29" s="350" t="s">
        <v>249</v>
      </c>
      <c r="I29" s="219"/>
      <c r="J29" s="350" t="s">
        <v>130</v>
      </c>
      <c r="K29" s="350" t="s">
        <v>250</v>
      </c>
      <c r="L29" s="350" t="s">
        <v>251</v>
      </c>
      <c r="M29" s="219"/>
      <c r="N29" s="219">
        <v>0</v>
      </c>
      <c r="O29" s="219">
        <v>0</v>
      </c>
      <c r="P29" s="219">
        <v>0</v>
      </c>
      <c r="Q29" s="219">
        <f t="shared" ref="Q29:Q30" si="9">N29+O29+P29</f>
        <v>0</v>
      </c>
      <c r="R29" s="219">
        <v>0</v>
      </c>
      <c r="S29" s="219">
        <v>0</v>
      </c>
      <c r="T29" s="219">
        <v>0</v>
      </c>
      <c r="U29" s="219">
        <v>0</v>
      </c>
      <c r="V29" s="219">
        <v>30415</v>
      </c>
      <c r="W29" s="219">
        <v>0</v>
      </c>
      <c r="X29" s="219">
        <v>0</v>
      </c>
      <c r="Y29" s="219">
        <v>0</v>
      </c>
      <c r="Z29" s="219">
        <v>0</v>
      </c>
      <c r="AA29" s="219">
        <v>0</v>
      </c>
      <c r="AB29" s="219">
        <v>0</v>
      </c>
      <c r="AC29" s="219">
        <v>0</v>
      </c>
      <c r="AD29" s="219">
        <v>0</v>
      </c>
      <c r="AE29" s="219">
        <v>0</v>
      </c>
      <c r="AF29" s="219">
        <v>0</v>
      </c>
      <c r="AG29" s="219">
        <v>0</v>
      </c>
      <c r="AH29" s="219">
        <v>0</v>
      </c>
      <c r="AI29" s="219">
        <v>0</v>
      </c>
      <c r="AJ29" s="219">
        <v>0</v>
      </c>
      <c r="AK29" s="219">
        <f>R29*Y29</f>
        <v>0</v>
      </c>
      <c r="AL29" s="219">
        <f t="shared" si="6"/>
        <v>0</v>
      </c>
      <c r="AM29" s="219">
        <f>T29*AF29</f>
        <v>0</v>
      </c>
      <c r="AN29" s="219">
        <f t="shared" si="6"/>
        <v>0</v>
      </c>
      <c r="AO29" s="350">
        <f t="shared" si="7"/>
        <v>0</v>
      </c>
      <c r="AP29" s="350">
        <f t="shared" si="8"/>
        <v>0</v>
      </c>
      <c r="AQ29" s="721"/>
      <c r="AR29" s="722"/>
      <c r="AS29" s="722"/>
      <c r="AT29" s="722"/>
      <c r="AU29" s="722"/>
      <c r="AV29" s="722"/>
      <c r="AW29" s="722"/>
      <c r="AX29" s="722"/>
      <c r="AY29" s="722"/>
      <c r="AZ29" s="722"/>
      <c r="BA29" s="722"/>
      <c r="BB29" s="722"/>
      <c r="BC29" s="722"/>
      <c r="BD29" s="722"/>
      <c r="BE29" s="722"/>
      <c r="BF29" s="723"/>
      <c r="BG29" s="724"/>
      <c r="BH29" s="725"/>
      <c r="BI29" s="725"/>
      <c r="BJ29" s="725"/>
      <c r="BK29" s="725"/>
      <c r="BL29" s="725"/>
      <c r="BM29" s="725"/>
      <c r="BN29" s="725"/>
      <c r="BO29" s="725"/>
    </row>
    <row r="30" spans="1:67" s="349" customFormat="1" ht="45.75" customHeight="1">
      <c r="A30" s="219">
        <v>28</v>
      </c>
      <c r="B30" s="219" t="s">
        <v>245</v>
      </c>
      <c r="C30" s="713"/>
      <c r="D30" s="350" t="s">
        <v>254</v>
      </c>
      <c r="E30" s="720">
        <v>1</v>
      </c>
      <c r="F30" s="219" t="s">
        <v>247</v>
      </c>
      <c r="G30" s="219" t="s">
        <v>255</v>
      </c>
      <c r="H30" s="350" t="s">
        <v>249</v>
      </c>
      <c r="I30" s="219"/>
      <c r="J30" s="350" t="s">
        <v>130</v>
      </c>
      <c r="K30" s="350" t="s">
        <v>250</v>
      </c>
      <c r="L30" s="350" t="s">
        <v>251</v>
      </c>
      <c r="M30" s="219"/>
      <c r="N30" s="219"/>
      <c r="O30" s="219"/>
      <c r="P30" s="219"/>
      <c r="Q30" s="219">
        <f t="shared" si="9"/>
        <v>0</v>
      </c>
      <c r="R30" s="219">
        <v>0</v>
      </c>
      <c r="S30" s="219">
        <v>0</v>
      </c>
      <c r="T30" s="219">
        <v>0</v>
      </c>
      <c r="U30" s="219">
        <v>0</v>
      </c>
      <c r="V30" s="219">
        <v>30415</v>
      </c>
      <c r="W30" s="219">
        <v>0</v>
      </c>
      <c r="X30" s="219">
        <v>0</v>
      </c>
      <c r="Y30" s="219">
        <v>0</v>
      </c>
      <c r="Z30" s="219">
        <v>0</v>
      </c>
      <c r="AA30" s="219">
        <v>0</v>
      </c>
      <c r="AB30" s="219">
        <v>0</v>
      </c>
      <c r="AC30" s="219">
        <v>0</v>
      </c>
      <c r="AD30" s="219">
        <v>0</v>
      </c>
      <c r="AE30" s="219">
        <v>0</v>
      </c>
      <c r="AF30" s="219">
        <v>0</v>
      </c>
      <c r="AG30" s="219">
        <v>0</v>
      </c>
      <c r="AH30" s="219">
        <v>0</v>
      </c>
      <c r="AI30" s="219">
        <v>0</v>
      </c>
      <c r="AJ30" s="219">
        <v>0</v>
      </c>
      <c r="AK30" s="219">
        <f>R30*Y30</f>
        <v>0</v>
      </c>
      <c r="AL30" s="219">
        <f t="shared" si="6"/>
        <v>0</v>
      </c>
      <c r="AM30" s="219">
        <f t="shared" si="6"/>
        <v>0</v>
      </c>
      <c r="AN30" s="219">
        <f t="shared" si="6"/>
        <v>0</v>
      </c>
      <c r="AO30" s="350">
        <f t="shared" si="7"/>
        <v>0</v>
      </c>
      <c r="AP30" s="350">
        <f t="shared" si="8"/>
        <v>0</v>
      </c>
      <c r="AQ30" s="721"/>
      <c r="AR30" s="722"/>
      <c r="AS30" s="722"/>
      <c r="AT30" s="722"/>
      <c r="AU30" s="722"/>
      <c r="AV30" s="722"/>
      <c r="AW30" s="722"/>
      <c r="AX30" s="722"/>
      <c r="AY30" s="722"/>
      <c r="AZ30" s="722"/>
      <c r="BA30" s="722"/>
      <c r="BB30" s="722"/>
      <c r="BC30" s="722"/>
      <c r="BD30" s="722"/>
      <c r="BE30" s="722"/>
      <c r="BF30" s="723"/>
      <c r="BG30" s="724"/>
      <c r="BH30" s="725"/>
      <c r="BI30" s="725"/>
      <c r="BJ30" s="725"/>
      <c r="BK30" s="725"/>
      <c r="BL30" s="725"/>
      <c r="BM30" s="725"/>
      <c r="BN30" s="725"/>
      <c r="BO30" s="725"/>
    </row>
    <row r="31" spans="1:67" s="349" customFormat="1" ht="44.25" customHeight="1">
      <c r="A31" s="219">
        <v>29</v>
      </c>
      <c r="B31" s="219" t="s">
        <v>245</v>
      </c>
      <c r="C31" s="713"/>
      <c r="D31" s="726" t="s">
        <v>256</v>
      </c>
      <c r="E31" s="727">
        <v>3</v>
      </c>
      <c r="F31" s="728" t="s">
        <v>257</v>
      </c>
      <c r="G31" s="728"/>
      <c r="H31" s="726" t="s">
        <v>249</v>
      </c>
      <c r="I31" s="728"/>
      <c r="J31" s="726" t="s">
        <v>130</v>
      </c>
      <c r="K31" s="726" t="s">
        <v>250</v>
      </c>
      <c r="L31" s="726" t="s">
        <v>251</v>
      </c>
      <c r="M31" s="728"/>
      <c r="N31" s="728">
        <v>506706</v>
      </c>
      <c r="O31" s="728">
        <f>1295*498</f>
        <v>644910</v>
      </c>
      <c r="P31" s="728">
        <f>607799+601883</f>
        <v>1209682</v>
      </c>
      <c r="Q31" s="728">
        <f>SUM(N31:P31)</f>
        <v>2361298</v>
      </c>
      <c r="R31" s="219">
        <v>0</v>
      </c>
      <c r="S31" s="219">
        <v>0</v>
      </c>
      <c r="T31" s="219">
        <v>0</v>
      </c>
      <c r="U31" s="219">
        <v>0</v>
      </c>
      <c r="V31" s="219">
        <v>30415</v>
      </c>
      <c r="W31" s="219">
        <v>0</v>
      </c>
      <c r="X31" s="219">
        <v>0</v>
      </c>
      <c r="Y31" s="219">
        <v>0</v>
      </c>
      <c r="Z31" s="219">
        <v>0</v>
      </c>
      <c r="AA31" s="219" t="s">
        <v>966</v>
      </c>
      <c r="AB31" s="219">
        <v>0</v>
      </c>
      <c r="AC31" s="219">
        <v>0</v>
      </c>
      <c r="AD31" s="219">
        <v>0</v>
      </c>
      <c r="AE31" s="219">
        <v>0</v>
      </c>
      <c r="AF31" s="219">
        <v>0</v>
      </c>
      <c r="AG31" s="219">
        <v>0</v>
      </c>
      <c r="AH31" s="219">
        <v>0</v>
      </c>
      <c r="AI31" s="219">
        <v>0</v>
      </c>
      <c r="AJ31" s="219">
        <v>0</v>
      </c>
      <c r="AK31" s="219">
        <v>0</v>
      </c>
      <c r="AL31" s="219">
        <v>0</v>
      </c>
      <c r="AM31" s="219">
        <v>0</v>
      </c>
      <c r="AN31" s="219">
        <v>0</v>
      </c>
      <c r="AO31" s="219">
        <v>0</v>
      </c>
      <c r="AP31" s="350">
        <f t="shared" si="8"/>
        <v>-2361298</v>
      </c>
      <c r="AQ31" s="721"/>
      <c r="AR31" s="722"/>
      <c r="AS31" s="722"/>
      <c r="AT31" s="722"/>
      <c r="AU31" s="722"/>
      <c r="AV31" s="722"/>
      <c r="AW31" s="722"/>
      <c r="AX31" s="722"/>
      <c r="AY31" s="722"/>
      <c r="AZ31" s="722"/>
      <c r="BA31" s="722"/>
      <c r="BB31" s="722"/>
      <c r="BC31" s="722"/>
      <c r="BD31" s="722"/>
      <c r="BE31" s="722"/>
      <c r="BF31" s="723"/>
      <c r="BG31" s="724"/>
      <c r="BH31" s="725"/>
      <c r="BI31" s="725"/>
      <c r="BJ31" s="725"/>
      <c r="BK31" s="725"/>
      <c r="BL31" s="725"/>
      <c r="BM31" s="725"/>
      <c r="BN31" s="725"/>
      <c r="BO31" s="725"/>
    </row>
    <row r="32" spans="1:67" s="349" customFormat="1" ht="45" customHeight="1">
      <c r="A32" s="219">
        <v>30</v>
      </c>
      <c r="B32" s="219" t="s">
        <v>245</v>
      </c>
      <c r="C32" s="713"/>
      <c r="D32" s="350" t="s">
        <v>258</v>
      </c>
      <c r="E32" s="720">
        <v>1</v>
      </c>
      <c r="F32" s="219" t="s">
        <v>259</v>
      </c>
      <c r="G32" s="219"/>
      <c r="H32" s="350" t="s">
        <v>249</v>
      </c>
      <c r="I32" s="219"/>
      <c r="J32" s="350" t="s">
        <v>130</v>
      </c>
      <c r="K32" s="350" t="s">
        <v>250</v>
      </c>
      <c r="L32" s="350" t="s">
        <v>251</v>
      </c>
      <c r="M32" s="219"/>
      <c r="N32" s="219"/>
      <c r="O32" s="219"/>
      <c r="P32" s="219"/>
      <c r="Q32" s="219"/>
      <c r="R32" s="219">
        <v>0</v>
      </c>
      <c r="S32" s="219">
        <v>0</v>
      </c>
      <c r="T32" s="219">
        <v>0</v>
      </c>
      <c r="U32" s="219">
        <v>90</v>
      </c>
      <c r="V32" s="219">
        <v>30415</v>
      </c>
      <c r="W32" s="219">
        <v>0</v>
      </c>
      <c r="X32" s="219">
        <v>0</v>
      </c>
      <c r="Y32" s="219">
        <v>0</v>
      </c>
      <c r="Z32" s="219">
        <v>0</v>
      </c>
      <c r="AA32" s="219">
        <v>0</v>
      </c>
      <c r="AB32" s="219">
        <v>0</v>
      </c>
      <c r="AC32" s="219">
        <v>0</v>
      </c>
      <c r="AD32" s="219">
        <v>0</v>
      </c>
      <c r="AE32" s="219">
        <v>0</v>
      </c>
      <c r="AF32" s="219">
        <v>0</v>
      </c>
      <c r="AG32" s="219">
        <v>0</v>
      </c>
      <c r="AH32" s="219">
        <v>0</v>
      </c>
      <c r="AI32" s="219">
        <v>0</v>
      </c>
      <c r="AJ32" s="219">
        <v>0</v>
      </c>
      <c r="AK32" s="219">
        <v>0</v>
      </c>
      <c r="AL32" s="219">
        <v>0</v>
      </c>
      <c r="AM32" s="219">
        <v>0</v>
      </c>
      <c r="AN32" s="219">
        <v>0</v>
      </c>
      <c r="AO32" s="219">
        <v>0</v>
      </c>
      <c r="AP32" s="350">
        <f t="shared" si="8"/>
        <v>0</v>
      </c>
      <c r="AQ32" s="721"/>
      <c r="AR32" s="722"/>
      <c r="AS32" s="722"/>
      <c r="AT32" s="722"/>
      <c r="AU32" s="722"/>
      <c r="AV32" s="722"/>
      <c r="AW32" s="722"/>
      <c r="AX32" s="722"/>
      <c r="AY32" s="722"/>
      <c r="AZ32" s="722"/>
      <c r="BA32" s="722"/>
      <c r="BB32" s="722"/>
      <c r="BC32" s="722"/>
      <c r="BD32" s="722"/>
      <c r="BE32" s="722"/>
      <c r="BF32" s="723"/>
      <c r="BG32" s="724"/>
      <c r="BH32" s="725"/>
      <c r="BI32" s="725"/>
      <c r="BJ32" s="725"/>
      <c r="BK32" s="725"/>
      <c r="BL32" s="725"/>
      <c r="BM32" s="725"/>
      <c r="BN32" s="725"/>
      <c r="BO32" s="725"/>
    </row>
    <row r="33" spans="1:67 1908:1927" s="349" customFormat="1" ht="42.75" customHeight="1">
      <c r="A33" s="219">
        <v>31</v>
      </c>
      <c r="B33" s="219" t="s">
        <v>245</v>
      </c>
      <c r="C33" s="713"/>
      <c r="D33" s="350" t="s">
        <v>260</v>
      </c>
      <c r="E33" s="720">
        <v>2</v>
      </c>
      <c r="F33" s="219" t="s">
        <v>261</v>
      </c>
      <c r="G33" s="219"/>
      <c r="H33" s="350" t="s">
        <v>249</v>
      </c>
      <c r="I33" s="219"/>
      <c r="J33" s="350" t="s">
        <v>130</v>
      </c>
      <c r="K33" s="350" t="s">
        <v>250</v>
      </c>
      <c r="L33" s="350" t="s">
        <v>251</v>
      </c>
      <c r="M33" s="219"/>
      <c r="N33" s="219"/>
      <c r="O33" s="219"/>
      <c r="P33" s="219"/>
      <c r="Q33" s="219"/>
      <c r="R33" s="219">
        <v>0</v>
      </c>
      <c r="S33" s="219">
        <v>0</v>
      </c>
      <c r="T33" s="219">
        <v>0</v>
      </c>
      <c r="U33" s="219">
        <v>0</v>
      </c>
      <c r="V33" s="219">
        <v>30415</v>
      </c>
      <c r="W33" s="219">
        <v>0</v>
      </c>
      <c r="X33" s="219">
        <v>0</v>
      </c>
      <c r="Y33" s="219">
        <v>0</v>
      </c>
      <c r="Z33" s="219">
        <v>0</v>
      </c>
      <c r="AA33" s="219">
        <v>0</v>
      </c>
      <c r="AB33" s="219">
        <v>0</v>
      </c>
      <c r="AC33" s="219">
        <v>0</v>
      </c>
      <c r="AD33" s="219">
        <v>0</v>
      </c>
      <c r="AE33" s="219">
        <v>0</v>
      </c>
      <c r="AF33" s="219">
        <v>0</v>
      </c>
      <c r="AG33" s="219">
        <v>0</v>
      </c>
      <c r="AH33" s="219">
        <v>0</v>
      </c>
      <c r="AI33" s="219">
        <v>0</v>
      </c>
      <c r="AJ33" s="219">
        <v>0</v>
      </c>
      <c r="AK33" s="219">
        <v>0</v>
      </c>
      <c r="AL33" s="219">
        <v>0</v>
      </c>
      <c r="AM33" s="219">
        <v>0</v>
      </c>
      <c r="AN33" s="219">
        <v>0</v>
      </c>
      <c r="AO33" s="219">
        <v>0</v>
      </c>
      <c r="AP33" s="350">
        <f t="shared" si="8"/>
        <v>0</v>
      </c>
      <c r="AQ33" s="721"/>
      <c r="AR33" s="722"/>
      <c r="AS33" s="722"/>
      <c r="AT33" s="722"/>
      <c r="AU33" s="722"/>
      <c r="AV33" s="722"/>
      <c r="AW33" s="722"/>
      <c r="AX33" s="722"/>
      <c r="AY33" s="722"/>
      <c r="AZ33" s="722"/>
      <c r="BA33" s="722"/>
      <c r="BB33" s="722"/>
      <c r="BC33" s="722"/>
      <c r="BD33" s="722"/>
      <c r="BE33" s="722"/>
      <c r="BF33" s="723"/>
      <c r="BG33" s="724"/>
      <c r="BH33" s="725"/>
      <c r="BI33" s="725"/>
      <c r="BJ33" s="725"/>
      <c r="BK33" s="725"/>
      <c r="BL33" s="725"/>
      <c r="BM33" s="725"/>
      <c r="BN33" s="725"/>
      <c r="BO33" s="725"/>
    </row>
    <row r="34" spans="1:67 1908:1927" s="349" customFormat="1" ht="48.75" customHeight="1">
      <c r="A34" s="219">
        <v>32</v>
      </c>
      <c r="B34" s="219" t="s">
        <v>245</v>
      </c>
      <c r="C34" s="713"/>
      <c r="D34" s="350" t="s">
        <v>262</v>
      </c>
      <c r="E34" s="720">
        <v>1</v>
      </c>
      <c r="F34" s="219" t="s">
        <v>263</v>
      </c>
      <c r="G34" s="219"/>
      <c r="H34" s="350" t="s">
        <v>249</v>
      </c>
      <c r="I34" s="219"/>
      <c r="J34" s="350" t="s">
        <v>130</v>
      </c>
      <c r="K34" s="350" t="s">
        <v>250</v>
      </c>
      <c r="L34" s="350" t="s">
        <v>251</v>
      </c>
      <c r="M34" s="219"/>
      <c r="N34" s="219"/>
      <c r="O34" s="219"/>
      <c r="P34" s="219"/>
      <c r="Q34" s="219"/>
      <c r="R34" s="219">
        <v>9500</v>
      </c>
      <c r="S34" s="219">
        <v>0</v>
      </c>
      <c r="T34" s="219">
        <v>0</v>
      </c>
      <c r="U34" s="219">
        <v>0</v>
      </c>
      <c r="V34" s="219">
        <v>30415</v>
      </c>
      <c r="W34" s="219">
        <v>0</v>
      </c>
      <c r="X34" s="219">
        <v>0</v>
      </c>
      <c r="Y34" s="219">
        <v>0</v>
      </c>
      <c r="Z34" s="219">
        <v>0</v>
      </c>
      <c r="AA34" s="219">
        <v>0</v>
      </c>
      <c r="AB34" s="219">
        <v>0</v>
      </c>
      <c r="AC34" s="219">
        <v>0</v>
      </c>
      <c r="AD34" s="219">
        <v>0</v>
      </c>
      <c r="AE34" s="219">
        <v>0</v>
      </c>
      <c r="AF34" s="219">
        <v>0</v>
      </c>
      <c r="AG34" s="219">
        <v>0</v>
      </c>
      <c r="AH34" s="219">
        <v>0</v>
      </c>
      <c r="AI34" s="219">
        <v>0</v>
      </c>
      <c r="AJ34" s="219">
        <v>0</v>
      </c>
      <c r="AK34" s="219">
        <v>0</v>
      </c>
      <c r="AL34" s="219">
        <v>0</v>
      </c>
      <c r="AM34" s="219">
        <v>0</v>
      </c>
      <c r="AN34" s="219">
        <v>0</v>
      </c>
      <c r="AO34" s="219">
        <v>0</v>
      </c>
      <c r="AP34" s="219">
        <v>0</v>
      </c>
      <c r="AQ34" s="721"/>
      <c r="AR34" s="722"/>
      <c r="AS34" s="722"/>
      <c r="AT34" s="722"/>
      <c r="AU34" s="722"/>
      <c r="AV34" s="722"/>
      <c r="AW34" s="722"/>
      <c r="AX34" s="722"/>
      <c r="AY34" s="722"/>
      <c r="AZ34" s="722"/>
      <c r="BA34" s="722"/>
      <c r="BB34" s="722"/>
      <c r="BC34" s="722"/>
      <c r="BD34" s="722"/>
      <c r="BE34" s="722"/>
      <c r="BF34" s="723"/>
      <c r="BG34" s="724"/>
      <c r="BH34" s="725"/>
      <c r="BI34" s="725"/>
      <c r="BJ34" s="725"/>
      <c r="BK34" s="725"/>
      <c r="BL34" s="725"/>
      <c r="BM34" s="725"/>
      <c r="BN34" s="725"/>
      <c r="BO34" s="725"/>
    </row>
    <row r="35" spans="1:67 1908:1927" s="349" customFormat="1" ht="40.5" customHeight="1">
      <c r="A35" s="219">
        <v>33</v>
      </c>
      <c r="B35" s="219" t="s">
        <v>245</v>
      </c>
      <c r="C35" s="713"/>
      <c r="D35" s="350" t="s">
        <v>264</v>
      </c>
      <c r="E35" s="720">
        <v>1</v>
      </c>
      <c r="F35" s="219" t="s">
        <v>263</v>
      </c>
      <c r="G35" s="219"/>
      <c r="H35" s="350" t="s">
        <v>249</v>
      </c>
      <c r="I35" s="219"/>
      <c r="J35" s="350" t="s">
        <v>130</v>
      </c>
      <c r="K35" s="350" t="s">
        <v>250</v>
      </c>
      <c r="L35" s="350" t="s">
        <v>251</v>
      </c>
      <c r="M35" s="219"/>
      <c r="N35" s="219"/>
      <c r="O35" s="219"/>
      <c r="P35" s="728"/>
      <c r="Q35" s="219">
        <f>+N35+O35+P35</f>
        <v>0</v>
      </c>
      <c r="R35" s="219">
        <v>11500</v>
      </c>
      <c r="S35" s="219">
        <v>0</v>
      </c>
      <c r="T35" s="219">
        <v>0</v>
      </c>
      <c r="U35" s="219">
        <v>0</v>
      </c>
      <c r="V35" s="219">
        <v>30415</v>
      </c>
      <c r="W35" s="219">
        <v>0</v>
      </c>
      <c r="X35" s="219">
        <v>0</v>
      </c>
      <c r="Y35" s="219">
        <v>0</v>
      </c>
      <c r="Z35" s="219">
        <v>0</v>
      </c>
      <c r="AA35" s="219">
        <v>0</v>
      </c>
      <c r="AB35" s="219">
        <v>0</v>
      </c>
      <c r="AC35" s="219">
        <v>0</v>
      </c>
      <c r="AD35" s="219">
        <v>0</v>
      </c>
      <c r="AE35" s="219">
        <v>0</v>
      </c>
      <c r="AF35" s="219">
        <v>0</v>
      </c>
      <c r="AG35" s="219">
        <v>0</v>
      </c>
      <c r="AH35" s="219">
        <v>0</v>
      </c>
      <c r="AI35" s="219">
        <v>0</v>
      </c>
      <c r="AJ35" s="219">
        <v>0</v>
      </c>
      <c r="AK35" s="219">
        <v>0</v>
      </c>
      <c r="AL35" s="219">
        <v>0</v>
      </c>
      <c r="AM35" s="219">
        <v>0</v>
      </c>
      <c r="AN35" s="219">
        <v>0</v>
      </c>
      <c r="AO35" s="219">
        <v>0</v>
      </c>
      <c r="AP35" s="219">
        <v>0</v>
      </c>
      <c r="AQ35" s="721"/>
      <c r="AR35" s="722"/>
      <c r="AS35" s="722"/>
      <c r="AT35" s="722"/>
      <c r="AU35" s="722"/>
      <c r="AV35" s="722"/>
      <c r="AW35" s="722"/>
      <c r="AX35" s="722"/>
      <c r="AY35" s="722"/>
      <c r="AZ35" s="722"/>
      <c r="BA35" s="722"/>
      <c r="BB35" s="722"/>
      <c r="BC35" s="722"/>
      <c r="BD35" s="722"/>
      <c r="BE35" s="722"/>
      <c r="BF35" s="723"/>
      <c r="BG35" s="724"/>
      <c r="BH35" s="725"/>
      <c r="BI35" s="725"/>
      <c r="BJ35" s="725"/>
      <c r="BK35" s="725"/>
      <c r="BL35" s="725"/>
      <c r="BM35" s="725"/>
      <c r="BN35" s="725"/>
      <c r="BO35" s="725"/>
    </row>
    <row r="36" spans="1:67 1908:1927" s="349" customFormat="1" ht="42.75" customHeight="1">
      <c r="A36" s="219">
        <v>34</v>
      </c>
      <c r="B36" s="219" t="s">
        <v>245</v>
      </c>
      <c r="C36" s="713"/>
      <c r="D36" s="726" t="s">
        <v>146</v>
      </c>
      <c r="E36" s="727">
        <v>1</v>
      </c>
      <c r="F36" s="728">
        <v>43788</v>
      </c>
      <c r="G36" s="728" t="s">
        <v>265</v>
      </c>
      <c r="H36" s="726" t="s">
        <v>266</v>
      </c>
      <c r="I36" s="728"/>
      <c r="J36" s="726" t="s">
        <v>130</v>
      </c>
      <c r="K36" s="726" t="s">
        <v>250</v>
      </c>
      <c r="L36" s="726" t="s">
        <v>251</v>
      </c>
      <c r="M36" s="728"/>
      <c r="N36" s="728">
        <v>447440</v>
      </c>
      <c r="O36" s="728"/>
      <c r="P36" s="728"/>
      <c r="Q36" s="728">
        <f>SUM(N36:P36)</f>
        <v>447440</v>
      </c>
      <c r="R36" s="219">
        <v>0</v>
      </c>
      <c r="S36" s="219">
        <v>0</v>
      </c>
      <c r="T36" s="219">
        <v>0</v>
      </c>
      <c r="U36" s="219">
        <v>7000</v>
      </c>
      <c r="V36" s="219">
        <v>30415</v>
      </c>
      <c r="W36" s="219">
        <v>0</v>
      </c>
      <c r="X36" s="219">
        <v>0</v>
      </c>
      <c r="Y36" s="219">
        <v>0</v>
      </c>
      <c r="Z36" s="219">
        <v>0</v>
      </c>
      <c r="AA36" s="219">
        <v>0</v>
      </c>
      <c r="AB36" s="219">
        <v>0</v>
      </c>
      <c r="AC36" s="219">
        <v>0</v>
      </c>
      <c r="AD36" s="219">
        <v>0</v>
      </c>
      <c r="AE36" s="219">
        <v>0</v>
      </c>
      <c r="AF36" s="219">
        <v>0</v>
      </c>
      <c r="AG36" s="219">
        <v>0</v>
      </c>
      <c r="AH36" s="219">
        <v>0</v>
      </c>
      <c r="AI36" s="219">
        <v>0</v>
      </c>
      <c r="AJ36" s="219">
        <v>0</v>
      </c>
      <c r="AK36" s="219">
        <v>0</v>
      </c>
      <c r="AL36" s="219">
        <v>0</v>
      </c>
      <c r="AM36" s="219">
        <v>0</v>
      </c>
      <c r="AN36" s="219">
        <v>0</v>
      </c>
      <c r="AO36" s="219">
        <v>0</v>
      </c>
      <c r="AP36" s="219">
        <v>0</v>
      </c>
      <c r="AQ36" s="721"/>
      <c r="AR36" s="722"/>
      <c r="AS36" s="722"/>
      <c r="AT36" s="722"/>
      <c r="AU36" s="722"/>
      <c r="AV36" s="722"/>
      <c r="AW36" s="722"/>
      <c r="AX36" s="722"/>
      <c r="AY36" s="722"/>
      <c r="AZ36" s="722"/>
      <c r="BA36" s="722"/>
      <c r="BB36" s="722"/>
      <c r="BC36" s="722"/>
      <c r="BD36" s="722"/>
      <c r="BE36" s="722"/>
      <c r="BF36" s="723"/>
      <c r="BG36" s="724"/>
      <c r="BH36" s="725"/>
      <c r="BI36" s="725"/>
      <c r="BJ36" s="725"/>
      <c r="BK36" s="725"/>
      <c r="BL36" s="725"/>
      <c r="BM36" s="725"/>
      <c r="BN36" s="725"/>
      <c r="BO36" s="725"/>
    </row>
    <row r="37" spans="1:67 1908:1927" s="349" customFormat="1" ht="45.75" customHeight="1">
      <c r="A37" s="219">
        <v>35</v>
      </c>
      <c r="B37" s="219" t="s">
        <v>245</v>
      </c>
      <c r="C37" s="713"/>
      <c r="D37" s="726" t="s">
        <v>267</v>
      </c>
      <c r="E37" s="727">
        <v>1</v>
      </c>
      <c r="F37" s="728">
        <v>43801</v>
      </c>
      <c r="G37" s="728" t="s">
        <v>268</v>
      </c>
      <c r="H37" s="726" t="s">
        <v>269</v>
      </c>
      <c r="I37" s="728"/>
      <c r="J37" s="726" t="s">
        <v>130</v>
      </c>
      <c r="K37" s="726" t="s">
        <v>250</v>
      </c>
      <c r="L37" s="726" t="s">
        <v>251</v>
      </c>
      <c r="M37" s="728"/>
      <c r="N37" s="728">
        <v>126900</v>
      </c>
      <c r="O37" s="728">
        <f>2371*170</f>
        <v>403070</v>
      </c>
      <c r="P37" s="728">
        <f>401200</f>
        <v>401200</v>
      </c>
      <c r="Q37" s="728">
        <f>SUM(N37:P37)</f>
        <v>931170</v>
      </c>
      <c r="R37" s="219">
        <v>0</v>
      </c>
      <c r="S37" s="219">
        <v>0</v>
      </c>
      <c r="T37" s="219">
        <v>0</v>
      </c>
      <c r="U37" s="219">
        <v>3000</v>
      </c>
      <c r="V37" s="219">
        <v>30415</v>
      </c>
      <c r="W37" s="219">
        <v>0</v>
      </c>
      <c r="X37" s="219">
        <v>0</v>
      </c>
      <c r="Y37" s="219">
        <v>0</v>
      </c>
      <c r="Z37" s="219">
        <v>0</v>
      </c>
      <c r="AA37" s="219" t="s">
        <v>967</v>
      </c>
      <c r="AB37" s="219">
        <v>0</v>
      </c>
      <c r="AC37" s="219">
        <v>0</v>
      </c>
      <c r="AD37" s="219">
        <v>0</v>
      </c>
      <c r="AE37" s="219">
        <v>0</v>
      </c>
      <c r="AF37" s="219">
        <v>0</v>
      </c>
      <c r="AG37" s="219">
        <v>0</v>
      </c>
      <c r="AH37" s="219">
        <v>0</v>
      </c>
      <c r="AI37" s="219">
        <v>0</v>
      </c>
      <c r="AJ37" s="219">
        <v>0</v>
      </c>
      <c r="AK37" s="219">
        <v>0</v>
      </c>
      <c r="AL37" s="219">
        <v>0</v>
      </c>
      <c r="AM37" s="219">
        <v>0</v>
      </c>
      <c r="AN37" s="219">
        <v>0</v>
      </c>
      <c r="AO37" s="219">
        <v>0</v>
      </c>
      <c r="AP37" s="219">
        <v>0</v>
      </c>
      <c r="AQ37" s="721"/>
      <c r="AR37" s="722"/>
      <c r="AS37" s="722"/>
      <c r="AT37" s="722"/>
      <c r="AU37" s="722"/>
      <c r="AV37" s="722"/>
      <c r="AW37" s="722"/>
      <c r="AX37" s="722"/>
      <c r="AY37" s="722"/>
      <c r="AZ37" s="722"/>
      <c r="BA37" s="722"/>
      <c r="BB37" s="722"/>
      <c r="BC37" s="722"/>
      <c r="BD37" s="722"/>
      <c r="BE37" s="722"/>
      <c r="BF37" s="723"/>
      <c r="BG37" s="724"/>
      <c r="BH37" s="725"/>
      <c r="BI37" s="725"/>
      <c r="BJ37" s="725"/>
      <c r="BK37" s="725"/>
      <c r="BL37" s="725"/>
      <c r="BM37" s="725"/>
      <c r="BN37" s="725"/>
      <c r="BO37" s="725"/>
    </row>
    <row r="38" spans="1:67 1908:1927" s="349" customFormat="1" ht="51" customHeight="1">
      <c r="A38" s="219">
        <v>36</v>
      </c>
      <c r="B38" s="219" t="s">
        <v>245</v>
      </c>
      <c r="C38" s="713"/>
      <c r="D38" s="726" t="s">
        <v>48</v>
      </c>
      <c r="E38" s="727">
        <v>3</v>
      </c>
      <c r="F38" s="728"/>
      <c r="G38" s="728" t="s">
        <v>270</v>
      </c>
      <c r="H38" s="726" t="s">
        <v>269</v>
      </c>
      <c r="I38" s="728"/>
      <c r="J38" s="726" t="s">
        <v>130</v>
      </c>
      <c r="K38" s="726" t="s">
        <v>271</v>
      </c>
      <c r="L38" s="726" t="s">
        <v>272</v>
      </c>
      <c r="M38" s="728"/>
      <c r="N38" s="728">
        <v>1466141</v>
      </c>
      <c r="O38" s="728">
        <f>3330*498</f>
        <v>1658340</v>
      </c>
      <c r="P38" s="728">
        <f>595000+595000+608076</f>
        <v>1798076</v>
      </c>
      <c r="Q38" s="728">
        <f>SUM(N38:P38)</f>
        <v>4922557</v>
      </c>
      <c r="R38" s="219">
        <v>0</v>
      </c>
      <c r="S38" s="219">
        <v>0</v>
      </c>
      <c r="T38" s="219">
        <v>0</v>
      </c>
      <c r="U38" s="219">
        <v>5000</v>
      </c>
      <c r="V38" s="219"/>
      <c r="W38" s="219">
        <v>0</v>
      </c>
      <c r="X38" s="219">
        <v>0</v>
      </c>
      <c r="Y38" s="219" t="s">
        <v>968</v>
      </c>
      <c r="Z38" s="219">
        <v>19</v>
      </c>
      <c r="AA38" s="219" t="s">
        <v>969</v>
      </c>
      <c r="AB38" s="219"/>
      <c r="AC38" s="219">
        <v>0</v>
      </c>
      <c r="AD38" s="219">
        <v>0</v>
      </c>
      <c r="AE38" s="219">
        <v>0</v>
      </c>
      <c r="AF38" s="219">
        <v>0</v>
      </c>
      <c r="AG38" s="219">
        <v>0</v>
      </c>
      <c r="AH38" s="219">
        <v>0</v>
      </c>
      <c r="AI38" s="219">
        <v>0</v>
      </c>
      <c r="AJ38" s="219">
        <v>2503800</v>
      </c>
      <c r="AK38" s="219">
        <v>0</v>
      </c>
      <c r="AL38" s="219">
        <v>0</v>
      </c>
      <c r="AM38" s="219">
        <v>0</v>
      </c>
      <c r="AN38" s="219">
        <v>2503800</v>
      </c>
      <c r="AO38" s="350">
        <v>2503800</v>
      </c>
      <c r="AP38" s="350">
        <f t="shared" si="8"/>
        <v>-2418757</v>
      </c>
      <c r="AQ38" s="721"/>
      <c r="AR38" s="722"/>
      <c r="AS38" s="722"/>
      <c r="AT38" s="722"/>
      <c r="AU38" s="722"/>
      <c r="AV38" s="722"/>
      <c r="AW38" s="722"/>
      <c r="AX38" s="722"/>
      <c r="AY38" s="722"/>
      <c r="AZ38" s="722"/>
      <c r="BA38" s="722"/>
      <c r="BB38" s="722"/>
      <c r="BC38" s="722"/>
      <c r="BD38" s="722"/>
      <c r="BE38" s="722"/>
      <c r="BF38" s="723"/>
      <c r="BG38" s="724"/>
      <c r="BH38" s="725"/>
      <c r="BI38" s="725"/>
      <c r="BJ38" s="725"/>
      <c r="BK38" s="725"/>
      <c r="BL38" s="725"/>
      <c r="BM38" s="725"/>
      <c r="BN38" s="725"/>
      <c r="BO38" s="725"/>
    </row>
    <row r="39" spans="1:67 1908:1927" s="349" customFormat="1" ht="45.75" customHeight="1">
      <c r="A39" s="219">
        <v>37</v>
      </c>
      <c r="B39" s="219" t="s">
        <v>245</v>
      </c>
      <c r="C39" s="713"/>
      <c r="D39" s="726" t="s">
        <v>138</v>
      </c>
      <c r="E39" s="727">
        <v>2</v>
      </c>
      <c r="F39" s="728"/>
      <c r="G39" s="726" t="s">
        <v>273</v>
      </c>
      <c r="H39" s="726" t="s">
        <v>269</v>
      </c>
      <c r="I39" s="728"/>
      <c r="J39" s="726" t="s">
        <v>130</v>
      </c>
      <c r="K39" s="726" t="s">
        <v>274</v>
      </c>
      <c r="L39" s="726" t="s">
        <v>275</v>
      </c>
      <c r="M39" s="728"/>
      <c r="N39" s="728">
        <v>609400</v>
      </c>
      <c r="O39" s="728">
        <f>410*498</f>
        <v>204180</v>
      </c>
      <c r="P39" s="728">
        <v>646000</v>
      </c>
      <c r="Q39" s="219">
        <f>SUM(N39:P39)</f>
        <v>1459580</v>
      </c>
      <c r="R39" s="219">
        <v>0</v>
      </c>
      <c r="S39" s="219">
        <v>0</v>
      </c>
      <c r="T39" s="219">
        <v>0</v>
      </c>
      <c r="U39" s="219">
        <v>8000</v>
      </c>
      <c r="V39" s="219">
        <v>0</v>
      </c>
      <c r="W39" s="219">
        <v>0</v>
      </c>
      <c r="X39" s="219">
        <v>0</v>
      </c>
      <c r="Y39" s="219">
        <v>0</v>
      </c>
      <c r="Z39" s="219">
        <v>0</v>
      </c>
      <c r="AA39" s="219" t="s">
        <v>970</v>
      </c>
      <c r="AB39" s="219">
        <v>0</v>
      </c>
      <c r="AC39" s="219">
        <v>0</v>
      </c>
      <c r="AD39" s="219">
        <v>0</v>
      </c>
      <c r="AE39" s="219">
        <v>0</v>
      </c>
      <c r="AF39" s="219">
        <v>0</v>
      </c>
      <c r="AG39" s="219">
        <v>0</v>
      </c>
      <c r="AH39" s="219">
        <v>0</v>
      </c>
      <c r="AI39" s="219">
        <v>0</v>
      </c>
      <c r="AJ39" s="219">
        <v>0</v>
      </c>
      <c r="AK39" s="219">
        <v>0</v>
      </c>
      <c r="AL39" s="219">
        <v>0</v>
      </c>
      <c r="AM39" s="219">
        <v>0</v>
      </c>
      <c r="AN39" s="219">
        <v>0</v>
      </c>
      <c r="AO39" s="219">
        <v>0</v>
      </c>
      <c r="AP39" s="350">
        <f t="shared" si="8"/>
        <v>-1459580</v>
      </c>
      <c r="AQ39" s="721"/>
      <c r="AR39" s="722"/>
      <c r="AS39" s="722"/>
      <c r="AT39" s="722"/>
      <c r="AU39" s="722"/>
      <c r="AV39" s="722"/>
      <c r="AW39" s="722"/>
      <c r="AX39" s="722"/>
      <c r="AY39" s="722"/>
      <c r="AZ39" s="722"/>
      <c r="BA39" s="722"/>
      <c r="BB39" s="722"/>
      <c r="BC39" s="722"/>
      <c r="BD39" s="722"/>
      <c r="BE39" s="722"/>
      <c r="BF39" s="723"/>
      <c r="BG39" s="724"/>
      <c r="BH39" s="725"/>
      <c r="BI39" s="725"/>
      <c r="BJ39" s="725"/>
      <c r="BK39" s="725"/>
      <c r="BL39" s="725"/>
      <c r="BM39" s="725"/>
      <c r="BN39" s="725"/>
      <c r="BO39" s="725"/>
    </row>
    <row r="40" spans="1:67 1908:1927" s="349" customFormat="1" ht="45" customHeight="1">
      <c r="A40" s="219">
        <v>38</v>
      </c>
      <c r="B40" s="219" t="s">
        <v>245</v>
      </c>
      <c r="C40" s="713"/>
      <c r="D40" s="726" t="s">
        <v>276</v>
      </c>
      <c r="E40" s="727">
        <v>1</v>
      </c>
      <c r="F40" s="728"/>
      <c r="G40" s="726" t="s">
        <v>277</v>
      </c>
      <c r="H40" s="726" t="s">
        <v>269</v>
      </c>
      <c r="I40" s="728"/>
      <c r="J40" s="726" t="s">
        <v>130</v>
      </c>
      <c r="K40" s="726" t="s">
        <v>274</v>
      </c>
      <c r="L40" s="726" t="s">
        <v>275</v>
      </c>
      <c r="M40" s="728"/>
      <c r="N40" s="728">
        <v>413434</v>
      </c>
      <c r="O40" s="728">
        <f>1580*498</f>
        <v>786840</v>
      </c>
      <c r="P40" s="728">
        <v>600829</v>
      </c>
      <c r="Q40" s="728">
        <f>N40+O40+P40</f>
        <v>1801103</v>
      </c>
      <c r="R40" s="219">
        <v>0</v>
      </c>
      <c r="S40" s="219">
        <v>0</v>
      </c>
      <c r="T40" s="219">
        <v>0</v>
      </c>
      <c r="U40" s="219">
        <v>8000</v>
      </c>
      <c r="V40" s="219">
        <v>0</v>
      </c>
      <c r="W40" s="219">
        <v>0</v>
      </c>
      <c r="X40" s="219">
        <v>0</v>
      </c>
      <c r="Y40" s="219">
        <v>0</v>
      </c>
      <c r="Z40" s="219">
        <v>0</v>
      </c>
      <c r="AA40" s="219" t="s">
        <v>971</v>
      </c>
      <c r="AB40" s="219">
        <v>0</v>
      </c>
      <c r="AC40" s="219">
        <v>0</v>
      </c>
      <c r="AD40" s="219">
        <v>0</v>
      </c>
      <c r="AE40" s="219">
        <v>0</v>
      </c>
      <c r="AF40" s="219">
        <v>0</v>
      </c>
      <c r="AG40" s="219">
        <v>0</v>
      </c>
      <c r="AH40" s="219">
        <v>0</v>
      </c>
      <c r="AI40" s="219">
        <v>0</v>
      </c>
      <c r="AJ40" s="219">
        <v>0</v>
      </c>
      <c r="AK40" s="219">
        <v>0</v>
      </c>
      <c r="AL40" s="219">
        <v>0</v>
      </c>
      <c r="AM40" s="219">
        <v>0</v>
      </c>
      <c r="AN40" s="219">
        <v>0</v>
      </c>
      <c r="AO40" s="219">
        <v>0</v>
      </c>
      <c r="AP40" s="350">
        <f t="shared" si="8"/>
        <v>-1801103</v>
      </c>
      <c r="AQ40" s="721"/>
      <c r="AR40" s="722"/>
      <c r="AS40" s="722"/>
      <c r="AT40" s="722"/>
      <c r="AU40" s="722"/>
      <c r="AV40" s="722"/>
      <c r="AW40" s="722"/>
      <c r="AX40" s="722"/>
      <c r="AY40" s="722"/>
      <c r="AZ40" s="722"/>
      <c r="BA40" s="722"/>
      <c r="BB40" s="722"/>
      <c r="BC40" s="722"/>
      <c r="BD40" s="722"/>
      <c r="BE40" s="722"/>
      <c r="BF40" s="723"/>
      <c r="BG40" s="724"/>
      <c r="BH40" s="725"/>
      <c r="BI40" s="725"/>
      <c r="BJ40" s="725"/>
      <c r="BK40" s="725"/>
      <c r="BL40" s="725"/>
      <c r="BM40" s="725"/>
      <c r="BN40" s="725"/>
      <c r="BO40" s="725"/>
    </row>
    <row r="41" spans="1:67 1908:1927" s="349" customFormat="1" ht="57" customHeight="1">
      <c r="A41" s="219">
        <v>39</v>
      </c>
      <c r="B41" s="219" t="s">
        <v>245</v>
      </c>
      <c r="C41" s="713"/>
      <c r="D41" s="726" t="s">
        <v>76</v>
      </c>
      <c r="E41" s="727">
        <v>4</v>
      </c>
      <c r="F41" s="728"/>
      <c r="G41" s="726" t="s">
        <v>278</v>
      </c>
      <c r="H41" s="726" t="s">
        <v>269</v>
      </c>
      <c r="I41" s="728"/>
      <c r="J41" s="726" t="s">
        <v>130</v>
      </c>
      <c r="K41" s="726" t="s">
        <v>274</v>
      </c>
      <c r="L41" s="726" t="s">
        <v>275</v>
      </c>
      <c r="M41" s="728"/>
      <c r="N41" s="728">
        <v>2968761</v>
      </c>
      <c r="O41" s="728">
        <f>5225*498</f>
        <v>2602050</v>
      </c>
      <c r="P41" s="728">
        <f>606102+608262+655605+600829</f>
        <v>2470798</v>
      </c>
      <c r="Q41" s="728">
        <f>SUM(N41:P41)</f>
        <v>8041609</v>
      </c>
      <c r="R41" s="219">
        <v>0</v>
      </c>
      <c r="S41" s="219">
        <v>0</v>
      </c>
      <c r="T41" s="219">
        <v>0</v>
      </c>
      <c r="U41" s="219">
        <v>0</v>
      </c>
      <c r="V41" s="219">
        <v>0</v>
      </c>
      <c r="W41" s="219">
        <v>0</v>
      </c>
      <c r="X41" s="219">
        <v>0</v>
      </c>
      <c r="Y41" s="219">
        <v>0</v>
      </c>
      <c r="Z41" s="219">
        <v>0</v>
      </c>
      <c r="AA41" s="219" t="s">
        <v>972</v>
      </c>
      <c r="AB41" s="219">
        <v>0</v>
      </c>
      <c r="AC41" s="219">
        <v>0</v>
      </c>
      <c r="AD41" s="219">
        <v>0</v>
      </c>
      <c r="AE41" s="219">
        <v>0</v>
      </c>
      <c r="AF41" s="219">
        <v>0</v>
      </c>
      <c r="AG41" s="219">
        <v>0</v>
      </c>
      <c r="AH41" s="219">
        <v>0</v>
      </c>
      <c r="AI41" s="219">
        <v>0</v>
      </c>
      <c r="AJ41" s="219">
        <v>0</v>
      </c>
      <c r="AK41" s="219">
        <v>0</v>
      </c>
      <c r="AL41" s="219">
        <v>0</v>
      </c>
      <c r="AM41" s="219">
        <v>0</v>
      </c>
      <c r="AN41" s="219">
        <v>0</v>
      </c>
      <c r="AO41" s="219">
        <v>0</v>
      </c>
      <c r="AP41" s="350">
        <f t="shared" si="8"/>
        <v>-8041609</v>
      </c>
      <c r="AQ41" s="721"/>
      <c r="AR41" s="722"/>
      <c r="AS41" s="722"/>
      <c r="AT41" s="722"/>
      <c r="AU41" s="722"/>
      <c r="AV41" s="722"/>
      <c r="AW41" s="722"/>
      <c r="AX41" s="722"/>
      <c r="AY41" s="722"/>
      <c r="AZ41" s="722"/>
      <c r="BA41" s="722"/>
      <c r="BB41" s="722"/>
      <c r="BC41" s="722"/>
      <c r="BD41" s="722"/>
      <c r="BE41" s="722"/>
      <c r="BF41" s="723"/>
      <c r="BG41" s="724"/>
      <c r="BH41" s="725"/>
      <c r="BI41" s="725"/>
      <c r="BJ41" s="725"/>
      <c r="BK41" s="725"/>
      <c r="BL41" s="725"/>
      <c r="BM41" s="725"/>
      <c r="BN41" s="725"/>
      <c r="BO41" s="725"/>
    </row>
    <row r="42" spans="1:67 1908:1927" s="337" customFormat="1" ht="24.75" customHeight="1">
      <c r="A42" s="353" t="s">
        <v>330</v>
      </c>
      <c r="B42" s="353"/>
      <c r="C42" s="715">
        <v>32</v>
      </c>
      <c r="D42" s="353"/>
      <c r="E42" s="715">
        <f>SUM(E28:E41)</f>
        <v>25</v>
      </c>
      <c r="F42" s="353"/>
      <c r="G42" s="353"/>
      <c r="H42" s="353"/>
      <c r="I42" s="353"/>
      <c r="J42" s="353"/>
      <c r="K42" s="353"/>
      <c r="L42" s="353"/>
      <c r="M42" s="353"/>
      <c r="N42" s="353">
        <f>SUM(N28:N41)</f>
        <v>6538782</v>
      </c>
      <c r="O42" s="353">
        <f t="shared" ref="O42:U42" si="10">SUM(O28:O41)</f>
        <v>6299390</v>
      </c>
      <c r="P42" s="353">
        <f>SUM(P28:P41)</f>
        <v>7126585</v>
      </c>
      <c r="Q42" s="353">
        <f>SUM(Q28:Q41)</f>
        <v>19964757</v>
      </c>
      <c r="R42" s="353">
        <f t="shared" si="10"/>
        <v>21000</v>
      </c>
      <c r="S42" s="353">
        <f t="shared" si="10"/>
        <v>0</v>
      </c>
      <c r="T42" s="353">
        <f t="shared" si="10"/>
        <v>0</v>
      </c>
      <c r="U42" s="353">
        <f t="shared" si="10"/>
        <v>31090</v>
      </c>
      <c r="V42" s="353">
        <v>30415</v>
      </c>
      <c r="W42" s="353">
        <v>0</v>
      </c>
      <c r="X42" s="353">
        <v>0</v>
      </c>
      <c r="Y42" s="353"/>
      <c r="Z42" s="353"/>
      <c r="AA42" s="353"/>
      <c r="AB42" s="353"/>
      <c r="AC42" s="353"/>
      <c r="AD42" s="353"/>
      <c r="AE42" s="353"/>
      <c r="AF42" s="353"/>
      <c r="AG42" s="353">
        <f t="shared" ref="AG42:AP42" si="11">SUM(AG28:AG41)</f>
        <v>0</v>
      </c>
      <c r="AH42" s="353">
        <f t="shared" si="11"/>
        <v>0</v>
      </c>
      <c r="AI42" s="353">
        <f t="shared" si="11"/>
        <v>0</v>
      </c>
      <c r="AJ42" s="353">
        <f t="shared" si="11"/>
        <v>2503800</v>
      </c>
      <c r="AK42" s="353">
        <f t="shared" si="11"/>
        <v>0</v>
      </c>
      <c r="AL42" s="353">
        <f t="shared" si="11"/>
        <v>0</v>
      </c>
      <c r="AM42" s="353">
        <f t="shared" si="11"/>
        <v>0</v>
      </c>
      <c r="AN42" s="353">
        <f t="shared" si="11"/>
        <v>2503800</v>
      </c>
      <c r="AO42" s="353">
        <f t="shared" si="11"/>
        <v>2503800</v>
      </c>
      <c r="AP42" s="353">
        <f t="shared" si="11"/>
        <v>-16082347</v>
      </c>
      <c r="AQ42" s="721"/>
      <c r="AR42" s="722"/>
      <c r="AS42" s="722"/>
      <c r="AT42" s="722"/>
      <c r="AU42" s="722"/>
      <c r="AV42" s="722"/>
      <c r="AW42" s="722"/>
      <c r="AX42" s="722"/>
      <c r="AY42" s="722"/>
      <c r="AZ42" s="722"/>
      <c r="BA42" s="722"/>
      <c r="BB42" s="722"/>
      <c r="BC42" s="722"/>
      <c r="BD42" s="722"/>
      <c r="BE42" s="722"/>
      <c r="BF42" s="723"/>
      <c r="BG42" s="729"/>
      <c r="BH42" s="730"/>
      <c r="BI42" s="730"/>
      <c r="BJ42" s="730"/>
      <c r="BK42" s="730"/>
      <c r="BL42" s="730"/>
      <c r="BM42" s="730"/>
      <c r="BN42" s="730"/>
      <c r="BO42" s="730"/>
      <c r="BUJ42" s="731"/>
      <c r="BUK42" s="349"/>
      <c r="BUL42" s="349"/>
      <c r="BUM42" s="349"/>
      <c r="BUN42" s="349"/>
      <c r="BUO42" s="349"/>
      <c r="BUP42" s="349"/>
      <c r="BUQ42" s="349"/>
      <c r="BUR42" s="349"/>
      <c r="BUS42" s="349"/>
      <c r="BUT42" s="349"/>
      <c r="BUU42" s="349"/>
      <c r="BUV42" s="349"/>
      <c r="BUW42" s="349"/>
      <c r="BUX42" s="349"/>
      <c r="BUY42" s="349"/>
      <c r="BUZ42" s="349"/>
      <c r="BVA42" s="349"/>
      <c r="BVB42" s="349"/>
      <c r="BVC42" s="732"/>
    </row>
    <row r="43" spans="1:67 1908:1927" ht="63.75" customHeight="1">
      <c r="A43" s="707">
        <v>1</v>
      </c>
      <c r="B43" s="988" t="s">
        <v>973</v>
      </c>
      <c r="C43" s="984">
        <v>8</v>
      </c>
      <c r="D43" s="350" t="s">
        <v>279</v>
      </c>
      <c r="E43" s="713">
        <v>1</v>
      </c>
      <c r="F43" s="350" t="s">
        <v>280</v>
      </c>
      <c r="G43" s="350" t="s">
        <v>281</v>
      </c>
      <c r="H43" s="350" t="s">
        <v>136</v>
      </c>
      <c r="I43" s="707"/>
      <c r="J43" s="707"/>
      <c r="K43" s="707"/>
      <c r="L43" s="707"/>
      <c r="M43" s="707"/>
      <c r="N43" s="707">
        <v>458</v>
      </c>
      <c r="O43" s="707">
        <v>833.9</v>
      </c>
      <c r="P43" s="707">
        <v>165</v>
      </c>
      <c r="Q43" s="707">
        <f>N43+O43+P43</f>
        <v>1456.9</v>
      </c>
      <c r="R43" s="707"/>
      <c r="S43" s="712">
        <v>12000</v>
      </c>
      <c r="T43" s="712"/>
      <c r="U43" s="712"/>
      <c r="V43" s="983">
        <v>5000</v>
      </c>
      <c r="W43" s="983">
        <v>4027</v>
      </c>
      <c r="X43" s="985">
        <f>+W43/V43*100</f>
        <v>80.540000000000006</v>
      </c>
      <c r="Y43" s="707"/>
      <c r="Z43" s="707">
        <v>212</v>
      </c>
      <c r="AA43" s="707"/>
      <c r="AB43" s="707"/>
      <c r="AC43" s="707"/>
      <c r="AD43" s="707">
        <v>85</v>
      </c>
      <c r="AE43" s="707"/>
      <c r="AF43" s="707"/>
      <c r="AG43" s="707"/>
      <c r="AH43" s="707">
        <v>382.6</v>
      </c>
      <c r="AI43" s="707"/>
      <c r="AJ43" s="707"/>
      <c r="AK43" s="707">
        <f>R43*Y43</f>
        <v>0</v>
      </c>
      <c r="AL43" s="707">
        <f t="shared" ref="AL43:AN47" si="12">S43*Z43</f>
        <v>2544000</v>
      </c>
      <c r="AM43" s="707">
        <f t="shared" si="12"/>
        <v>0</v>
      </c>
      <c r="AN43" s="707">
        <f t="shared" si="12"/>
        <v>0</v>
      </c>
      <c r="AO43" s="350">
        <f>AK43+AL43+AM43+AN43</f>
        <v>2544000</v>
      </c>
      <c r="AP43" s="350">
        <f>AO43-Q43</f>
        <v>2542543.1</v>
      </c>
      <c r="AQ43" s="351"/>
      <c r="AR43" s="351"/>
      <c r="AS43" s="351"/>
      <c r="AT43" s="351"/>
      <c r="AU43" s="351"/>
    </row>
    <row r="44" spans="1:67 1908:1927" ht="51" customHeight="1">
      <c r="A44" s="707">
        <v>2</v>
      </c>
      <c r="B44" s="988"/>
      <c r="C44" s="984"/>
      <c r="D44" s="350" t="s">
        <v>282</v>
      </c>
      <c r="E44" s="713">
        <v>1</v>
      </c>
      <c r="F44" s="350" t="s">
        <v>280</v>
      </c>
      <c r="G44" s="350" t="s">
        <v>283</v>
      </c>
      <c r="H44" s="350" t="s">
        <v>136</v>
      </c>
      <c r="I44" s="707"/>
      <c r="J44" s="707"/>
      <c r="K44" s="707"/>
      <c r="L44" s="707"/>
      <c r="M44" s="707"/>
      <c r="N44" s="707"/>
      <c r="O44" s="707">
        <v>646.70000000000005</v>
      </c>
      <c r="P44" s="707"/>
      <c r="Q44" s="707">
        <f t="shared" ref="Q44:Q45" si="13">N44+O44+P44</f>
        <v>646.70000000000005</v>
      </c>
      <c r="R44" s="707"/>
      <c r="S44" s="712"/>
      <c r="T44" s="712">
        <v>1500</v>
      </c>
      <c r="U44" s="712"/>
      <c r="V44" s="983"/>
      <c r="W44" s="983"/>
      <c r="X44" s="985"/>
      <c r="Y44" s="707"/>
      <c r="Z44" s="707"/>
      <c r="AA44" s="707"/>
      <c r="AB44" s="707"/>
      <c r="AC44" s="707"/>
      <c r="AD44" s="707"/>
      <c r="AE44" s="707"/>
      <c r="AF44" s="707"/>
      <c r="AG44" s="707"/>
      <c r="AH44" s="707">
        <v>6.1</v>
      </c>
      <c r="AI44" s="707"/>
      <c r="AJ44" s="707"/>
      <c r="AK44" s="707">
        <f t="shared" ref="AK44:AK47" si="14">R44*Y44</f>
        <v>0</v>
      </c>
      <c r="AL44" s="707">
        <f t="shared" si="12"/>
        <v>0</v>
      </c>
      <c r="AM44" s="707">
        <f t="shared" si="12"/>
        <v>0</v>
      </c>
      <c r="AN44" s="707">
        <f t="shared" si="12"/>
        <v>0</v>
      </c>
      <c r="AO44" s="350">
        <f t="shared" ref="AO44:AO47" si="15">AK44+AL44+AM44+AN44</f>
        <v>0</v>
      </c>
      <c r="AP44" s="350">
        <f t="shared" ref="AP44:AP47" si="16">AO44-Q44</f>
        <v>-646.70000000000005</v>
      </c>
      <c r="AQ44" s="351"/>
      <c r="AR44" s="351"/>
      <c r="AS44" s="351"/>
      <c r="AT44" s="351"/>
      <c r="AU44" s="351"/>
    </row>
    <row r="45" spans="1:67 1908:1927" ht="48.75" customHeight="1">
      <c r="A45" s="707">
        <v>3</v>
      </c>
      <c r="B45" s="988"/>
      <c r="C45" s="984"/>
      <c r="D45" s="350" t="s">
        <v>284</v>
      </c>
      <c r="E45" s="713">
        <v>1</v>
      </c>
      <c r="F45" s="350" t="s">
        <v>280</v>
      </c>
      <c r="G45" s="350" t="s">
        <v>285</v>
      </c>
      <c r="H45" s="350" t="s">
        <v>136</v>
      </c>
      <c r="I45" s="707"/>
      <c r="J45" s="707"/>
      <c r="K45" s="707"/>
      <c r="L45" s="707"/>
      <c r="M45" s="707"/>
      <c r="N45" s="707">
        <v>301</v>
      </c>
      <c r="O45" s="707">
        <v>1038.8</v>
      </c>
      <c r="P45" s="707">
        <v>241</v>
      </c>
      <c r="Q45" s="707">
        <f t="shared" si="13"/>
        <v>1580.8</v>
      </c>
      <c r="R45" s="707"/>
      <c r="S45" s="712"/>
      <c r="T45" s="712"/>
      <c r="U45" s="712">
        <v>100</v>
      </c>
      <c r="V45" s="983"/>
      <c r="W45" s="983"/>
      <c r="X45" s="985"/>
      <c r="Y45" s="707"/>
      <c r="Z45" s="707"/>
      <c r="AA45" s="707"/>
      <c r="AB45" s="707"/>
      <c r="AC45" s="707"/>
      <c r="AD45" s="707"/>
      <c r="AE45" s="707"/>
      <c r="AF45" s="707"/>
      <c r="AG45" s="707"/>
      <c r="AH45" s="707"/>
      <c r="AI45" s="707"/>
      <c r="AJ45" s="707"/>
      <c r="AK45" s="707">
        <f t="shared" si="14"/>
        <v>0</v>
      </c>
      <c r="AL45" s="707">
        <f t="shared" si="12"/>
        <v>0</v>
      </c>
      <c r="AM45" s="707">
        <f t="shared" si="12"/>
        <v>0</v>
      </c>
      <c r="AN45" s="707">
        <f t="shared" si="12"/>
        <v>0</v>
      </c>
      <c r="AO45" s="350">
        <f t="shared" si="15"/>
        <v>0</v>
      </c>
      <c r="AP45" s="350">
        <f t="shared" si="16"/>
        <v>-1580.8</v>
      </c>
      <c r="AQ45" s="351"/>
      <c r="AR45" s="351"/>
      <c r="AS45" s="351"/>
      <c r="AT45" s="351"/>
      <c r="AU45" s="351"/>
    </row>
    <row r="46" spans="1:67 1908:1927" ht="39" customHeight="1">
      <c r="A46" s="707">
        <v>4</v>
      </c>
      <c r="B46" s="988"/>
      <c r="C46" s="984"/>
      <c r="D46" s="350" t="s">
        <v>126</v>
      </c>
      <c r="E46" s="713">
        <v>1</v>
      </c>
      <c r="F46" s="350" t="s">
        <v>286</v>
      </c>
      <c r="G46" s="350" t="s">
        <v>287</v>
      </c>
      <c r="H46" s="350" t="s">
        <v>136</v>
      </c>
      <c r="I46" s="707"/>
      <c r="J46" s="707"/>
      <c r="K46" s="707"/>
      <c r="L46" s="707"/>
      <c r="M46" s="707"/>
      <c r="N46" s="707">
        <v>98</v>
      </c>
      <c r="O46" s="707">
        <v>134.80000000000001</v>
      </c>
      <c r="P46" s="707"/>
      <c r="Q46" s="707">
        <f>N46+O46+P46</f>
        <v>232.8</v>
      </c>
      <c r="R46" s="707"/>
      <c r="S46" s="712"/>
      <c r="T46" s="712"/>
      <c r="U46" s="712">
        <v>10000</v>
      </c>
      <c r="V46" s="983"/>
      <c r="W46" s="983"/>
      <c r="X46" s="985"/>
      <c r="Y46" s="707"/>
      <c r="Z46" s="707"/>
      <c r="AA46" s="707">
        <v>48</v>
      </c>
      <c r="AB46" s="707"/>
      <c r="AC46" s="707"/>
      <c r="AD46" s="707"/>
      <c r="AE46" s="707">
        <v>27</v>
      </c>
      <c r="AF46" s="707"/>
      <c r="AG46" s="707"/>
      <c r="AH46" s="707"/>
      <c r="AI46" s="707"/>
      <c r="AJ46" s="707"/>
      <c r="AK46" s="707">
        <f t="shared" si="14"/>
        <v>0</v>
      </c>
      <c r="AL46" s="707">
        <f t="shared" si="12"/>
        <v>0</v>
      </c>
      <c r="AM46" s="707">
        <f t="shared" si="12"/>
        <v>0</v>
      </c>
      <c r="AN46" s="707">
        <f t="shared" si="12"/>
        <v>0</v>
      </c>
      <c r="AO46" s="350">
        <f t="shared" si="15"/>
        <v>0</v>
      </c>
      <c r="AP46" s="350">
        <f t="shared" si="16"/>
        <v>-232.8</v>
      </c>
      <c r="AQ46" s="351"/>
      <c r="AR46" s="351"/>
      <c r="AS46" s="351"/>
      <c r="AT46" s="351"/>
      <c r="AU46" s="351"/>
    </row>
    <row r="47" spans="1:67 1908:1927" ht="132.75" customHeight="1">
      <c r="A47" s="707">
        <v>5</v>
      </c>
      <c r="B47" s="988"/>
      <c r="C47" s="984"/>
      <c r="D47" s="350" t="s">
        <v>288</v>
      </c>
      <c r="E47" s="713">
        <v>2</v>
      </c>
      <c r="F47" s="350" t="s">
        <v>286</v>
      </c>
      <c r="G47" s="350" t="s">
        <v>289</v>
      </c>
      <c r="H47" s="350" t="s">
        <v>136</v>
      </c>
      <c r="I47" s="707"/>
      <c r="J47" s="707"/>
      <c r="K47" s="707"/>
      <c r="L47" s="707"/>
      <c r="M47" s="707"/>
      <c r="N47" s="707"/>
      <c r="O47" s="707"/>
      <c r="P47" s="707"/>
      <c r="Q47" s="707">
        <f>N47+O47+P47</f>
        <v>0</v>
      </c>
      <c r="R47" s="707"/>
      <c r="S47" s="712"/>
      <c r="T47" s="712"/>
      <c r="U47" s="712">
        <v>10000</v>
      </c>
      <c r="V47" s="983"/>
      <c r="W47" s="983"/>
      <c r="X47" s="985"/>
      <c r="Y47" s="707"/>
      <c r="Z47" s="707"/>
      <c r="AA47" s="707"/>
      <c r="AB47" s="707"/>
      <c r="AC47" s="707"/>
      <c r="AD47" s="707"/>
      <c r="AE47" s="707"/>
      <c r="AF47" s="707"/>
      <c r="AG47" s="707"/>
      <c r="AH47" s="707"/>
      <c r="AI47" s="707"/>
      <c r="AJ47" s="707"/>
      <c r="AK47" s="707">
        <f t="shared" si="14"/>
        <v>0</v>
      </c>
      <c r="AL47" s="707">
        <f t="shared" si="12"/>
        <v>0</v>
      </c>
      <c r="AM47" s="707">
        <f t="shared" si="12"/>
        <v>0</v>
      </c>
      <c r="AN47" s="707">
        <f t="shared" si="12"/>
        <v>0</v>
      </c>
      <c r="AO47" s="350">
        <f t="shared" si="15"/>
        <v>0</v>
      </c>
      <c r="AP47" s="350">
        <f t="shared" si="16"/>
        <v>0</v>
      </c>
      <c r="AQ47" s="351"/>
      <c r="AR47" s="351"/>
      <c r="AS47" s="351"/>
      <c r="AT47" s="351"/>
      <c r="AU47" s="351"/>
    </row>
    <row r="48" spans="1:67 1908:1927" ht="35.25" customHeight="1">
      <c r="A48" s="352"/>
      <c r="B48" s="709" t="s">
        <v>115</v>
      </c>
      <c r="C48" s="710">
        <v>8</v>
      </c>
      <c r="D48" s="709"/>
      <c r="E48" s="710">
        <f t="shared" ref="E48:AP48" si="17">SUM(E43:E47)</f>
        <v>6</v>
      </c>
      <c r="F48" s="709"/>
      <c r="G48" s="709"/>
      <c r="H48" s="709"/>
      <c r="I48" s="709"/>
      <c r="J48" s="709"/>
      <c r="K48" s="709"/>
      <c r="L48" s="709"/>
      <c r="M48" s="709"/>
      <c r="N48" s="709">
        <f t="shared" si="17"/>
        <v>857</v>
      </c>
      <c r="O48" s="709">
        <f t="shared" si="17"/>
        <v>2654.2</v>
      </c>
      <c r="P48" s="709">
        <f t="shared" si="17"/>
        <v>406</v>
      </c>
      <c r="Q48" s="709">
        <f>SUM(Q43:Q47)</f>
        <v>3917.2000000000007</v>
      </c>
      <c r="R48" s="709">
        <f t="shared" si="17"/>
        <v>0</v>
      </c>
      <c r="S48" s="709">
        <f t="shared" si="17"/>
        <v>12000</v>
      </c>
      <c r="T48" s="709">
        <f t="shared" si="17"/>
        <v>1500</v>
      </c>
      <c r="U48" s="709">
        <f t="shared" si="17"/>
        <v>20100</v>
      </c>
      <c r="V48" s="709">
        <f t="shared" si="17"/>
        <v>5000</v>
      </c>
      <c r="W48" s="709">
        <f t="shared" si="17"/>
        <v>4027</v>
      </c>
      <c r="X48" s="711">
        <f t="shared" si="17"/>
        <v>80.540000000000006</v>
      </c>
      <c r="Y48" s="709">
        <f t="shared" si="17"/>
        <v>0</v>
      </c>
      <c r="Z48" s="709">
        <f t="shared" si="17"/>
        <v>212</v>
      </c>
      <c r="AA48" s="709">
        <f t="shared" si="17"/>
        <v>48</v>
      </c>
      <c r="AB48" s="709">
        <f t="shared" si="17"/>
        <v>0</v>
      </c>
      <c r="AC48" s="709">
        <f t="shared" si="17"/>
        <v>0</v>
      </c>
      <c r="AD48" s="709">
        <f t="shared" si="17"/>
        <v>85</v>
      </c>
      <c r="AE48" s="709">
        <f t="shared" si="17"/>
        <v>27</v>
      </c>
      <c r="AF48" s="709">
        <f t="shared" si="17"/>
        <v>0</v>
      </c>
      <c r="AG48" s="709">
        <f t="shared" si="17"/>
        <v>0</v>
      </c>
      <c r="AH48" s="709">
        <f t="shared" si="17"/>
        <v>388.70000000000005</v>
      </c>
      <c r="AI48" s="709">
        <f t="shared" si="17"/>
        <v>0</v>
      </c>
      <c r="AJ48" s="709">
        <f t="shared" si="17"/>
        <v>0</v>
      </c>
      <c r="AK48" s="709">
        <f t="shared" si="17"/>
        <v>0</v>
      </c>
      <c r="AL48" s="709">
        <f t="shared" si="17"/>
        <v>2544000</v>
      </c>
      <c r="AM48" s="709">
        <f t="shared" si="17"/>
        <v>0</v>
      </c>
      <c r="AN48" s="709">
        <f t="shared" si="17"/>
        <v>0</v>
      </c>
      <c r="AO48" s="709">
        <f t="shared" si="17"/>
        <v>2544000</v>
      </c>
      <c r="AP48" s="709">
        <f t="shared" si="17"/>
        <v>2540082.8000000003</v>
      </c>
      <c r="AQ48" s="351"/>
      <c r="AR48" s="351"/>
      <c r="AS48" s="351"/>
      <c r="AT48" s="351"/>
      <c r="AU48" s="351"/>
    </row>
    <row r="49" spans="1:47" s="349" customFormat="1" ht="28.5" customHeight="1">
      <c r="A49" s="219">
        <v>1</v>
      </c>
      <c r="B49" s="985" t="s">
        <v>290</v>
      </c>
      <c r="C49" s="986">
        <v>7</v>
      </c>
      <c r="D49" s="733" t="s">
        <v>291</v>
      </c>
      <c r="E49" s="713">
        <v>1</v>
      </c>
      <c r="F49" s="219">
        <v>2018</v>
      </c>
      <c r="G49" s="219" t="s">
        <v>292</v>
      </c>
      <c r="H49" s="219" t="s">
        <v>136</v>
      </c>
      <c r="I49" s="219" t="s">
        <v>293</v>
      </c>
      <c r="J49" s="350" t="s">
        <v>15</v>
      </c>
      <c r="K49" s="219" t="s">
        <v>293</v>
      </c>
      <c r="L49" s="350" t="s">
        <v>17</v>
      </c>
      <c r="M49" s="219" t="s">
        <v>293</v>
      </c>
      <c r="N49" s="219">
        <v>0</v>
      </c>
      <c r="O49" s="219">
        <v>193200</v>
      </c>
      <c r="P49" s="219">
        <v>127000</v>
      </c>
      <c r="Q49" s="219">
        <f>+N49+O49+P49</f>
        <v>320200</v>
      </c>
      <c r="R49" s="219">
        <v>0</v>
      </c>
      <c r="S49" s="219">
        <v>0</v>
      </c>
      <c r="T49" s="219">
        <v>0</v>
      </c>
      <c r="U49" s="219">
        <v>0</v>
      </c>
      <c r="V49" s="985">
        <v>5460</v>
      </c>
      <c r="W49" s="219">
        <v>28</v>
      </c>
      <c r="X49" s="734">
        <f t="shared" ref="X49:X51" si="18">+W49/$V$7</f>
        <v>9.395973154362416E-4</v>
      </c>
      <c r="Y49" s="219">
        <v>0</v>
      </c>
      <c r="Z49" s="219">
        <v>0</v>
      </c>
      <c r="AA49" s="219">
        <v>0</v>
      </c>
      <c r="AB49" s="219">
        <v>62.1</v>
      </c>
      <c r="AC49" s="219">
        <v>0</v>
      </c>
      <c r="AD49" s="219">
        <v>0</v>
      </c>
      <c r="AE49" s="219">
        <v>0</v>
      </c>
      <c r="AF49" s="219">
        <v>62.1</v>
      </c>
      <c r="AG49" s="219">
        <v>0</v>
      </c>
      <c r="AH49" s="219">
        <v>0</v>
      </c>
      <c r="AI49" s="219">
        <v>0</v>
      </c>
      <c r="AJ49" s="219">
        <v>745200</v>
      </c>
      <c r="AK49" s="219">
        <v>0</v>
      </c>
      <c r="AL49" s="219">
        <v>0</v>
      </c>
      <c r="AM49" s="219">
        <v>0</v>
      </c>
      <c r="AN49" s="219">
        <v>745200</v>
      </c>
      <c r="AO49" s="219">
        <f>+AK49+AL49+AM49+AN49</f>
        <v>745200</v>
      </c>
      <c r="AP49" s="219">
        <f>+AO49-Q49</f>
        <v>425000</v>
      </c>
    </row>
    <row r="50" spans="1:47" s="349" customFormat="1" ht="28.5" customHeight="1">
      <c r="A50" s="219">
        <v>2</v>
      </c>
      <c r="B50" s="985"/>
      <c r="C50" s="986"/>
      <c r="D50" s="733" t="s">
        <v>48</v>
      </c>
      <c r="E50" s="713">
        <v>1</v>
      </c>
      <c r="F50" s="219">
        <v>2018</v>
      </c>
      <c r="G50" s="219" t="s">
        <v>294</v>
      </c>
      <c r="H50" s="219" t="s">
        <v>136</v>
      </c>
      <c r="I50" s="219" t="s">
        <v>293</v>
      </c>
      <c r="J50" s="350" t="s">
        <v>15</v>
      </c>
      <c r="K50" s="219" t="s">
        <v>293</v>
      </c>
      <c r="L50" s="350" t="s">
        <v>17</v>
      </c>
      <c r="M50" s="219" t="s">
        <v>293</v>
      </c>
      <c r="N50" s="219">
        <v>120000</v>
      </c>
      <c r="O50" s="219">
        <v>1860300</v>
      </c>
      <c r="P50" s="219">
        <v>865300</v>
      </c>
      <c r="Q50" s="219">
        <f t="shared" ref="Q50:Q60" si="19">+N50+O50+P50</f>
        <v>2845600</v>
      </c>
      <c r="R50" s="219">
        <v>0</v>
      </c>
      <c r="S50" s="219">
        <v>0</v>
      </c>
      <c r="T50" s="219">
        <v>0</v>
      </c>
      <c r="U50" s="219">
        <v>0</v>
      </c>
      <c r="V50" s="985"/>
      <c r="W50" s="219">
        <v>52</v>
      </c>
      <c r="X50" s="734">
        <f t="shared" si="18"/>
        <v>1.7449664429530201E-3</v>
      </c>
      <c r="Y50" s="219">
        <v>0</v>
      </c>
      <c r="Z50" s="219">
        <v>645.4</v>
      </c>
      <c r="AA50" s="219">
        <v>0</v>
      </c>
      <c r="AB50" s="219">
        <v>0</v>
      </c>
      <c r="AC50" s="219">
        <v>0</v>
      </c>
      <c r="AD50" s="219">
        <v>110.6</v>
      </c>
      <c r="AE50" s="219">
        <v>0</v>
      </c>
      <c r="AF50" s="219">
        <v>0</v>
      </c>
      <c r="AG50" s="219">
        <v>0</v>
      </c>
      <c r="AH50" s="219">
        <v>2301600</v>
      </c>
      <c r="AI50" s="219">
        <v>0</v>
      </c>
      <c r="AJ50" s="219">
        <v>0</v>
      </c>
      <c r="AK50" s="219">
        <v>0</v>
      </c>
      <c r="AL50" s="219">
        <v>7881600</v>
      </c>
      <c r="AM50" s="219">
        <v>0</v>
      </c>
      <c r="AN50" s="219">
        <v>0</v>
      </c>
      <c r="AO50" s="219">
        <f>+AK50+AL50+AM50+AN50</f>
        <v>7881600</v>
      </c>
      <c r="AP50" s="219">
        <f>+AO50-Q50</f>
        <v>5036000</v>
      </c>
    </row>
    <row r="51" spans="1:47" s="349" customFormat="1" ht="28.5" customHeight="1">
      <c r="A51" s="219">
        <v>3</v>
      </c>
      <c r="B51" s="985"/>
      <c r="C51" s="986"/>
      <c r="D51" s="733" t="s">
        <v>126</v>
      </c>
      <c r="E51" s="713">
        <v>1</v>
      </c>
      <c r="F51" s="219">
        <v>2018</v>
      </c>
      <c r="G51" s="219" t="s">
        <v>295</v>
      </c>
      <c r="H51" s="219" t="s">
        <v>136</v>
      </c>
      <c r="I51" s="219" t="s">
        <v>293</v>
      </c>
      <c r="J51" s="350" t="s">
        <v>15</v>
      </c>
      <c r="K51" s="219" t="s">
        <v>293</v>
      </c>
      <c r="L51" s="350" t="s">
        <v>17</v>
      </c>
      <c r="M51" s="219" t="s">
        <v>293</v>
      </c>
      <c r="N51" s="219">
        <v>120000</v>
      </c>
      <c r="O51" s="219">
        <v>762520</v>
      </c>
      <c r="P51" s="219">
        <v>238000</v>
      </c>
      <c r="Q51" s="219">
        <f t="shared" si="19"/>
        <v>1120520</v>
      </c>
      <c r="R51" s="219">
        <v>0</v>
      </c>
      <c r="S51" s="219">
        <v>0</v>
      </c>
      <c r="T51" s="219">
        <v>0</v>
      </c>
      <c r="U51" s="219">
        <v>0</v>
      </c>
      <c r="V51" s="985"/>
      <c r="W51" s="219">
        <v>0</v>
      </c>
      <c r="X51" s="734">
        <f t="shared" si="18"/>
        <v>0</v>
      </c>
      <c r="Y51" s="219">
        <v>0</v>
      </c>
      <c r="Z51" s="219">
        <v>0</v>
      </c>
      <c r="AA51" s="219">
        <v>300.60000000000002</v>
      </c>
      <c r="AB51" s="219">
        <v>0</v>
      </c>
      <c r="AC51" s="219">
        <v>0</v>
      </c>
      <c r="AD51" s="219">
        <v>0</v>
      </c>
      <c r="AE51" s="219">
        <v>0</v>
      </c>
      <c r="AF51" s="219">
        <v>0</v>
      </c>
      <c r="AG51" s="219">
        <v>0</v>
      </c>
      <c r="AH51" s="219">
        <v>0</v>
      </c>
      <c r="AI51" s="219">
        <v>0</v>
      </c>
      <c r="AJ51" s="219">
        <v>0</v>
      </c>
      <c r="AK51" s="219">
        <v>0</v>
      </c>
      <c r="AL51" s="219">
        <v>0</v>
      </c>
      <c r="AM51" s="219">
        <v>3907800</v>
      </c>
      <c r="AN51" s="219">
        <v>0</v>
      </c>
      <c r="AO51" s="219">
        <f t="shared" ref="AO51:AO60" si="20">+AK51+AL51+AM51+AN51</f>
        <v>3907800</v>
      </c>
      <c r="AP51" s="219">
        <f>+AO51-Q51</f>
        <v>2787280</v>
      </c>
    </row>
    <row r="52" spans="1:47" s="349" customFormat="1" ht="28.5" customHeight="1">
      <c r="A52" s="219">
        <v>4</v>
      </c>
      <c r="B52" s="985"/>
      <c r="C52" s="986"/>
      <c r="D52" s="733" t="s">
        <v>236</v>
      </c>
      <c r="E52" s="713">
        <v>1</v>
      </c>
      <c r="F52" s="219">
        <v>2023</v>
      </c>
      <c r="G52" s="219" t="s">
        <v>296</v>
      </c>
      <c r="H52" s="219" t="s">
        <v>136</v>
      </c>
      <c r="I52" s="219" t="s">
        <v>293</v>
      </c>
      <c r="J52" s="350" t="s">
        <v>15</v>
      </c>
      <c r="K52" s="219" t="s">
        <v>293</v>
      </c>
      <c r="L52" s="350" t="s">
        <v>17</v>
      </c>
      <c r="M52" s="219" t="s">
        <v>293</v>
      </c>
      <c r="N52" s="219">
        <v>45000</v>
      </c>
      <c r="O52" s="219">
        <v>1343260</v>
      </c>
      <c r="P52" s="219">
        <v>267000</v>
      </c>
      <c r="Q52" s="219">
        <f t="shared" si="19"/>
        <v>1655260</v>
      </c>
      <c r="R52" s="219">
        <v>0</v>
      </c>
      <c r="S52" s="219">
        <v>0</v>
      </c>
      <c r="T52" s="219">
        <v>0</v>
      </c>
      <c r="U52" s="219">
        <v>0</v>
      </c>
      <c r="V52" s="985"/>
      <c r="W52" s="219">
        <v>86</v>
      </c>
      <c r="X52" s="734">
        <f>+W52/$V$7</f>
        <v>2.8859060402684563E-3</v>
      </c>
      <c r="Y52" s="219">
        <v>0</v>
      </c>
      <c r="Z52" s="219">
        <v>0</v>
      </c>
      <c r="AA52" s="219">
        <v>0</v>
      </c>
      <c r="AB52" s="219">
        <v>138.5</v>
      </c>
      <c r="AC52" s="219">
        <v>0</v>
      </c>
      <c r="AD52" s="219">
        <v>0</v>
      </c>
      <c r="AE52" s="219">
        <v>0</v>
      </c>
      <c r="AF52" s="219">
        <v>138.5</v>
      </c>
      <c r="AG52" s="219">
        <v>0</v>
      </c>
      <c r="AH52" s="219">
        <v>0</v>
      </c>
      <c r="AI52" s="219">
        <v>0</v>
      </c>
      <c r="AJ52" s="219">
        <v>2493000</v>
      </c>
      <c r="AK52" s="219">
        <v>0</v>
      </c>
      <c r="AL52" s="219">
        <v>0</v>
      </c>
      <c r="AM52" s="219">
        <v>0</v>
      </c>
      <c r="AN52" s="219">
        <v>2493000</v>
      </c>
      <c r="AO52" s="219">
        <f t="shared" si="20"/>
        <v>2493000</v>
      </c>
      <c r="AP52" s="219">
        <f t="shared" ref="AP52:AP60" si="21">+AO52-Q52</f>
        <v>837740</v>
      </c>
    </row>
    <row r="53" spans="1:47" s="349" customFormat="1" ht="28.5" customHeight="1">
      <c r="A53" s="219">
        <v>5</v>
      </c>
      <c r="B53" s="985"/>
      <c r="C53" s="986"/>
      <c r="D53" s="733" t="s">
        <v>297</v>
      </c>
      <c r="E53" s="713">
        <v>1</v>
      </c>
      <c r="F53" s="219">
        <v>2023</v>
      </c>
      <c r="G53" s="219" t="s">
        <v>298</v>
      </c>
      <c r="H53" s="219" t="s">
        <v>136</v>
      </c>
      <c r="I53" s="219" t="s">
        <v>293</v>
      </c>
      <c r="J53" s="350" t="s">
        <v>15</v>
      </c>
      <c r="K53" s="219" t="s">
        <v>293</v>
      </c>
      <c r="L53" s="350" t="s">
        <v>17</v>
      </c>
      <c r="M53" s="219" t="s">
        <v>293</v>
      </c>
      <c r="N53" s="219">
        <v>0</v>
      </c>
      <c r="O53" s="219">
        <v>358800</v>
      </c>
      <c r="P53" s="219">
        <v>27000</v>
      </c>
      <c r="Q53" s="219">
        <f t="shared" si="19"/>
        <v>385800</v>
      </c>
      <c r="R53" s="219">
        <v>0</v>
      </c>
      <c r="S53" s="219">
        <v>0</v>
      </c>
      <c r="T53" s="219">
        <v>0</v>
      </c>
      <c r="U53" s="219">
        <v>0</v>
      </c>
      <c r="V53" s="985"/>
      <c r="W53" s="219">
        <v>10</v>
      </c>
      <c r="X53" s="734">
        <f t="shared" ref="X53:X60" si="22">+W53/$V$7</f>
        <v>3.355704697986577E-4</v>
      </c>
      <c r="Y53" s="219">
        <v>0</v>
      </c>
      <c r="Z53" s="219">
        <v>0</v>
      </c>
      <c r="AA53" s="219">
        <v>57.8</v>
      </c>
      <c r="AB53" s="219">
        <v>1972</v>
      </c>
      <c r="AC53" s="219">
        <v>0</v>
      </c>
      <c r="AD53" s="219">
        <v>0</v>
      </c>
      <c r="AE53" s="219">
        <v>57.8</v>
      </c>
      <c r="AF53" s="219">
        <v>1972</v>
      </c>
      <c r="AG53" s="219">
        <v>0</v>
      </c>
      <c r="AH53" s="219">
        <v>0</v>
      </c>
      <c r="AI53" s="219">
        <v>703500</v>
      </c>
      <c r="AJ53" s="219">
        <v>177480</v>
      </c>
      <c r="AK53" s="219">
        <v>0</v>
      </c>
      <c r="AL53" s="219">
        <v>0</v>
      </c>
      <c r="AM53" s="219">
        <v>703500</v>
      </c>
      <c r="AN53" s="219">
        <v>177480</v>
      </c>
      <c r="AO53" s="219">
        <f t="shared" si="20"/>
        <v>880980</v>
      </c>
      <c r="AP53" s="219">
        <f t="shared" si="21"/>
        <v>495180</v>
      </c>
    </row>
    <row r="54" spans="1:47" s="349" customFormat="1" ht="28.5" customHeight="1">
      <c r="A54" s="219">
        <v>6</v>
      </c>
      <c r="B54" s="985"/>
      <c r="C54" s="986"/>
      <c r="D54" s="733" t="s">
        <v>299</v>
      </c>
      <c r="E54" s="713">
        <v>1</v>
      </c>
      <c r="F54" s="219">
        <v>2023</v>
      </c>
      <c r="G54" s="219" t="s">
        <v>300</v>
      </c>
      <c r="H54" s="219" t="s">
        <v>136</v>
      </c>
      <c r="I54" s="219" t="s">
        <v>293</v>
      </c>
      <c r="J54" s="350" t="s">
        <v>15</v>
      </c>
      <c r="K54" s="219" t="s">
        <v>293</v>
      </c>
      <c r="L54" s="350" t="s">
        <v>17</v>
      </c>
      <c r="M54" s="219" t="s">
        <v>293</v>
      </c>
      <c r="N54" s="219">
        <v>0</v>
      </c>
      <c r="O54" s="219">
        <v>0</v>
      </c>
      <c r="P54" s="219">
        <v>0</v>
      </c>
      <c r="Q54" s="219">
        <f t="shared" si="19"/>
        <v>0</v>
      </c>
      <c r="R54" s="219">
        <v>0</v>
      </c>
      <c r="S54" s="219">
        <v>0</v>
      </c>
      <c r="T54" s="219">
        <v>0</v>
      </c>
      <c r="U54" s="219">
        <v>0</v>
      </c>
      <c r="V54" s="985"/>
      <c r="W54" s="219">
        <v>0</v>
      </c>
      <c r="X54" s="734">
        <f t="shared" si="22"/>
        <v>0</v>
      </c>
      <c r="Y54" s="219">
        <v>0</v>
      </c>
      <c r="Z54" s="219">
        <v>0</v>
      </c>
      <c r="AA54" s="219">
        <v>0</v>
      </c>
      <c r="AB54" s="219">
        <v>0</v>
      </c>
      <c r="AC54" s="219">
        <v>0</v>
      </c>
      <c r="AD54" s="219">
        <v>0</v>
      </c>
      <c r="AE54" s="219">
        <v>0</v>
      </c>
      <c r="AF54" s="219">
        <v>0</v>
      </c>
      <c r="AG54" s="219">
        <v>0</v>
      </c>
      <c r="AH54" s="219">
        <v>0</v>
      </c>
      <c r="AI54" s="219">
        <v>0</v>
      </c>
      <c r="AJ54" s="219">
        <v>0</v>
      </c>
      <c r="AK54" s="219">
        <v>0</v>
      </c>
      <c r="AL54" s="219">
        <v>0</v>
      </c>
      <c r="AM54" s="219">
        <v>0</v>
      </c>
      <c r="AN54" s="219">
        <v>0</v>
      </c>
      <c r="AO54" s="219">
        <f t="shared" si="20"/>
        <v>0</v>
      </c>
      <c r="AP54" s="219">
        <f t="shared" si="21"/>
        <v>0</v>
      </c>
    </row>
    <row r="55" spans="1:47" s="349" customFormat="1" ht="28.5" customHeight="1">
      <c r="A55" s="219">
        <v>7</v>
      </c>
      <c r="B55" s="985"/>
      <c r="C55" s="986"/>
      <c r="D55" s="733" t="s">
        <v>301</v>
      </c>
      <c r="E55" s="713">
        <v>1</v>
      </c>
      <c r="F55" s="219">
        <v>2023</v>
      </c>
      <c r="G55" s="219" t="s">
        <v>302</v>
      </c>
      <c r="H55" s="219" t="s">
        <v>136</v>
      </c>
      <c r="I55" s="219" t="s">
        <v>293</v>
      </c>
      <c r="J55" s="350" t="s">
        <v>15</v>
      </c>
      <c r="K55" s="219" t="s">
        <v>293</v>
      </c>
      <c r="L55" s="350" t="s">
        <v>17</v>
      </c>
      <c r="M55" s="219" t="s">
        <v>293</v>
      </c>
      <c r="N55" s="219">
        <v>0</v>
      </c>
      <c r="O55" s="219">
        <v>0</v>
      </c>
      <c r="P55" s="219">
        <v>0</v>
      </c>
      <c r="Q55" s="219">
        <f t="shared" si="19"/>
        <v>0</v>
      </c>
      <c r="R55" s="219">
        <v>0</v>
      </c>
      <c r="S55" s="219">
        <v>0</v>
      </c>
      <c r="T55" s="219">
        <v>0</v>
      </c>
      <c r="U55" s="219">
        <v>0</v>
      </c>
      <c r="V55" s="985"/>
      <c r="W55" s="219">
        <v>0</v>
      </c>
      <c r="X55" s="734">
        <f t="shared" si="22"/>
        <v>0</v>
      </c>
      <c r="Y55" s="219">
        <v>0</v>
      </c>
      <c r="Z55" s="219">
        <v>0</v>
      </c>
      <c r="AA55" s="219">
        <v>0</v>
      </c>
      <c r="AB55" s="219">
        <v>0</v>
      </c>
      <c r="AC55" s="219">
        <v>0</v>
      </c>
      <c r="AD55" s="219">
        <v>0</v>
      </c>
      <c r="AE55" s="219">
        <v>0</v>
      </c>
      <c r="AF55" s="219">
        <v>0</v>
      </c>
      <c r="AG55" s="219">
        <v>0</v>
      </c>
      <c r="AH55" s="219">
        <v>0</v>
      </c>
      <c r="AI55" s="219">
        <v>0</v>
      </c>
      <c r="AJ55" s="219">
        <v>0</v>
      </c>
      <c r="AK55" s="219">
        <v>0</v>
      </c>
      <c r="AL55" s="219">
        <v>0</v>
      </c>
      <c r="AM55" s="219">
        <v>0</v>
      </c>
      <c r="AN55" s="219">
        <v>0</v>
      </c>
      <c r="AO55" s="219">
        <f t="shared" si="20"/>
        <v>0</v>
      </c>
      <c r="AP55" s="219">
        <f t="shared" si="21"/>
        <v>0</v>
      </c>
    </row>
    <row r="56" spans="1:47" s="349" customFormat="1" ht="28.5" customHeight="1">
      <c r="A56" s="219">
        <v>8</v>
      </c>
      <c r="B56" s="985"/>
      <c r="C56" s="986"/>
      <c r="D56" s="733" t="s">
        <v>254</v>
      </c>
      <c r="E56" s="713">
        <v>1</v>
      </c>
      <c r="F56" s="219">
        <v>2023</v>
      </c>
      <c r="G56" s="219" t="s">
        <v>303</v>
      </c>
      <c r="H56" s="219" t="s">
        <v>136</v>
      </c>
      <c r="I56" s="219" t="s">
        <v>293</v>
      </c>
      <c r="J56" s="350" t="s">
        <v>15</v>
      </c>
      <c r="K56" s="219" t="s">
        <v>293</v>
      </c>
      <c r="L56" s="350" t="s">
        <v>17</v>
      </c>
      <c r="M56" s="219" t="s">
        <v>293</v>
      </c>
      <c r="N56" s="219">
        <v>0</v>
      </c>
      <c r="O56" s="219">
        <v>0</v>
      </c>
      <c r="P56" s="219">
        <v>0</v>
      </c>
      <c r="Q56" s="219">
        <f t="shared" si="19"/>
        <v>0</v>
      </c>
      <c r="R56" s="219">
        <v>0</v>
      </c>
      <c r="S56" s="219">
        <v>0</v>
      </c>
      <c r="T56" s="219">
        <v>0</v>
      </c>
      <c r="U56" s="219">
        <v>0</v>
      </c>
      <c r="V56" s="985"/>
      <c r="W56" s="219">
        <v>0</v>
      </c>
      <c r="X56" s="734">
        <f t="shared" si="22"/>
        <v>0</v>
      </c>
      <c r="Y56" s="219">
        <v>0</v>
      </c>
      <c r="Z56" s="219">
        <v>0</v>
      </c>
      <c r="AA56" s="219">
        <v>0</v>
      </c>
      <c r="AB56" s="219">
        <v>0</v>
      </c>
      <c r="AC56" s="219">
        <v>0</v>
      </c>
      <c r="AD56" s="219">
        <v>0</v>
      </c>
      <c r="AE56" s="219">
        <v>0</v>
      </c>
      <c r="AF56" s="219">
        <v>0</v>
      </c>
      <c r="AG56" s="219">
        <v>0</v>
      </c>
      <c r="AH56" s="219">
        <v>0</v>
      </c>
      <c r="AI56" s="219">
        <v>0</v>
      </c>
      <c r="AJ56" s="219">
        <v>0</v>
      </c>
      <c r="AK56" s="219">
        <v>0</v>
      </c>
      <c r="AL56" s="219">
        <v>0</v>
      </c>
      <c r="AM56" s="219">
        <v>0</v>
      </c>
      <c r="AN56" s="219">
        <v>0</v>
      </c>
      <c r="AO56" s="219">
        <f t="shared" si="20"/>
        <v>0</v>
      </c>
      <c r="AP56" s="219">
        <f t="shared" si="21"/>
        <v>0</v>
      </c>
    </row>
    <row r="57" spans="1:47" s="349" customFormat="1" ht="28.5" customHeight="1">
      <c r="A57" s="219">
        <v>9</v>
      </c>
      <c r="B57" s="985"/>
      <c r="C57" s="986"/>
      <c r="D57" s="733" t="s">
        <v>304</v>
      </c>
      <c r="E57" s="713">
        <v>1</v>
      </c>
      <c r="F57" s="219">
        <v>2023</v>
      </c>
      <c r="G57" s="219" t="s">
        <v>305</v>
      </c>
      <c r="H57" s="219" t="s">
        <v>136</v>
      </c>
      <c r="I57" s="219" t="s">
        <v>293</v>
      </c>
      <c r="J57" s="350" t="s">
        <v>15</v>
      </c>
      <c r="K57" s="219" t="s">
        <v>293</v>
      </c>
      <c r="L57" s="350" t="s">
        <v>17</v>
      </c>
      <c r="M57" s="219" t="s">
        <v>293</v>
      </c>
      <c r="N57" s="219">
        <v>0</v>
      </c>
      <c r="O57" s="219">
        <v>0</v>
      </c>
      <c r="P57" s="219">
        <v>0</v>
      </c>
      <c r="Q57" s="219">
        <f t="shared" si="19"/>
        <v>0</v>
      </c>
      <c r="R57" s="219">
        <v>0</v>
      </c>
      <c r="S57" s="219">
        <v>0</v>
      </c>
      <c r="T57" s="219">
        <v>0</v>
      </c>
      <c r="U57" s="219">
        <v>0</v>
      </c>
      <c r="V57" s="985"/>
      <c r="W57" s="219">
        <v>0</v>
      </c>
      <c r="X57" s="734">
        <f t="shared" si="22"/>
        <v>0</v>
      </c>
      <c r="Y57" s="219">
        <v>0</v>
      </c>
      <c r="Z57" s="219">
        <v>0</v>
      </c>
      <c r="AA57" s="219">
        <v>0</v>
      </c>
      <c r="AB57" s="219">
        <v>0</v>
      </c>
      <c r="AC57" s="219">
        <v>0</v>
      </c>
      <c r="AD57" s="219">
        <v>0</v>
      </c>
      <c r="AE57" s="219">
        <v>0</v>
      </c>
      <c r="AF57" s="219">
        <v>0</v>
      </c>
      <c r="AG57" s="219">
        <v>0</v>
      </c>
      <c r="AH57" s="219">
        <v>0</v>
      </c>
      <c r="AI57" s="219">
        <v>0</v>
      </c>
      <c r="AJ57" s="219">
        <v>0</v>
      </c>
      <c r="AK57" s="219">
        <v>0</v>
      </c>
      <c r="AL57" s="219">
        <v>0</v>
      </c>
      <c r="AM57" s="219">
        <v>0</v>
      </c>
      <c r="AN57" s="219">
        <v>0</v>
      </c>
      <c r="AO57" s="219">
        <f t="shared" si="20"/>
        <v>0</v>
      </c>
      <c r="AP57" s="219">
        <f t="shared" si="21"/>
        <v>0</v>
      </c>
    </row>
    <row r="58" spans="1:47" s="349" customFormat="1" ht="28.5" customHeight="1">
      <c r="A58" s="219">
        <v>10</v>
      </c>
      <c r="B58" s="985"/>
      <c r="C58" s="986"/>
      <c r="D58" s="733" t="s">
        <v>297</v>
      </c>
      <c r="E58" s="713">
        <v>1</v>
      </c>
      <c r="F58" s="219">
        <v>2023</v>
      </c>
      <c r="G58" s="219" t="s">
        <v>306</v>
      </c>
      <c r="H58" s="219" t="s">
        <v>136</v>
      </c>
      <c r="I58" s="219" t="s">
        <v>293</v>
      </c>
      <c r="J58" s="350" t="s">
        <v>15</v>
      </c>
      <c r="K58" s="219" t="s">
        <v>293</v>
      </c>
      <c r="L58" s="350" t="s">
        <v>17</v>
      </c>
      <c r="M58" s="219" t="s">
        <v>293</v>
      </c>
      <c r="N58" s="219">
        <v>120000</v>
      </c>
      <c r="O58" s="219">
        <v>2377900</v>
      </c>
      <c r="P58" s="219">
        <v>117000</v>
      </c>
      <c r="Q58" s="219">
        <f>+N58+O58+P58</f>
        <v>2614900</v>
      </c>
      <c r="R58" s="219">
        <v>0</v>
      </c>
      <c r="S58" s="219">
        <v>0</v>
      </c>
      <c r="T58" s="219">
        <v>0</v>
      </c>
      <c r="U58" s="219">
        <v>0</v>
      </c>
      <c r="V58" s="985"/>
      <c r="W58" s="219">
        <v>57</v>
      </c>
      <c r="X58" s="734">
        <f t="shared" si="22"/>
        <v>1.912751677852349E-3</v>
      </c>
      <c r="Y58" s="219">
        <v>143.6</v>
      </c>
      <c r="Z58" s="219">
        <v>0</v>
      </c>
      <c r="AA58" s="219">
        <v>0</v>
      </c>
      <c r="AB58" s="219">
        <v>0</v>
      </c>
      <c r="AC58" s="219">
        <v>124.6</v>
      </c>
      <c r="AD58" s="219">
        <v>0</v>
      </c>
      <c r="AE58" s="219">
        <v>0</v>
      </c>
      <c r="AF58" s="219">
        <v>0</v>
      </c>
      <c r="AG58" s="219">
        <v>2741200</v>
      </c>
      <c r="AH58" s="219">
        <v>0</v>
      </c>
      <c r="AI58" s="219">
        <v>0</v>
      </c>
      <c r="AJ58" s="219">
        <v>0</v>
      </c>
      <c r="AK58" s="219">
        <v>3159200</v>
      </c>
      <c r="AL58" s="219">
        <v>0</v>
      </c>
      <c r="AM58" s="219">
        <v>0</v>
      </c>
      <c r="AN58" s="219">
        <v>0</v>
      </c>
      <c r="AO58" s="219">
        <f>+AK58+AL58+AM58+AN58</f>
        <v>3159200</v>
      </c>
      <c r="AP58" s="219">
        <f t="shared" si="21"/>
        <v>544300</v>
      </c>
    </row>
    <row r="59" spans="1:47" s="349" customFormat="1" ht="28.5" customHeight="1">
      <c r="A59" s="219">
        <v>11</v>
      </c>
      <c r="B59" s="985"/>
      <c r="C59" s="986"/>
      <c r="D59" s="733" t="s">
        <v>307</v>
      </c>
      <c r="E59" s="713">
        <v>1</v>
      </c>
      <c r="F59" s="219">
        <v>2023</v>
      </c>
      <c r="G59" s="219" t="s">
        <v>308</v>
      </c>
      <c r="H59" s="219" t="s">
        <v>136</v>
      </c>
      <c r="I59" s="219" t="s">
        <v>293</v>
      </c>
      <c r="J59" s="350" t="s">
        <v>15</v>
      </c>
      <c r="K59" s="219" t="s">
        <v>293</v>
      </c>
      <c r="L59" s="350" t="s">
        <v>17</v>
      </c>
      <c r="M59" s="219" t="s">
        <v>293</v>
      </c>
      <c r="N59" s="219">
        <v>0</v>
      </c>
      <c r="O59" s="219">
        <v>0</v>
      </c>
      <c r="P59" s="219">
        <v>0</v>
      </c>
      <c r="Q59" s="219">
        <f t="shared" si="19"/>
        <v>0</v>
      </c>
      <c r="R59" s="219">
        <v>0</v>
      </c>
      <c r="S59" s="219">
        <v>0</v>
      </c>
      <c r="T59" s="219">
        <v>0</v>
      </c>
      <c r="U59" s="219">
        <v>0</v>
      </c>
      <c r="V59" s="985"/>
      <c r="W59" s="219">
        <v>0</v>
      </c>
      <c r="X59" s="734">
        <f t="shared" si="22"/>
        <v>0</v>
      </c>
      <c r="Y59" s="219">
        <v>0</v>
      </c>
      <c r="Z59" s="219">
        <v>0</v>
      </c>
      <c r="AA59" s="219">
        <v>0</v>
      </c>
      <c r="AB59" s="219">
        <v>0</v>
      </c>
      <c r="AC59" s="219">
        <v>0</v>
      </c>
      <c r="AD59" s="219">
        <v>0</v>
      </c>
      <c r="AE59" s="219">
        <v>0</v>
      </c>
      <c r="AF59" s="219">
        <v>0</v>
      </c>
      <c r="AG59" s="219">
        <v>0</v>
      </c>
      <c r="AH59" s="219">
        <v>0</v>
      </c>
      <c r="AI59" s="219">
        <v>0</v>
      </c>
      <c r="AJ59" s="219">
        <v>0</v>
      </c>
      <c r="AK59" s="219">
        <v>0</v>
      </c>
      <c r="AL59" s="219">
        <v>0</v>
      </c>
      <c r="AM59" s="219">
        <v>0</v>
      </c>
      <c r="AN59" s="219">
        <v>0</v>
      </c>
      <c r="AO59" s="219">
        <f t="shared" si="20"/>
        <v>0</v>
      </c>
      <c r="AP59" s="219">
        <f t="shared" si="21"/>
        <v>0</v>
      </c>
    </row>
    <row r="60" spans="1:47" s="349" customFormat="1" ht="28.5" customHeight="1">
      <c r="A60" s="219">
        <v>12</v>
      </c>
      <c r="B60" s="985"/>
      <c r="C60" s="986"/>
      <c r="D60" s="733" t="s">
        <v>309</v>
      </c>
      <c r="E60" s="713">
        <v>1</v>
      </c>
      <c r="F60" s="219">
        <v>2023</v>
      </c>
      <c r="G60" s="219" t="s">
        <v>310</v>
      </c>
      <c r="H60" s="219" t="s">
        <v>136</v>
      </c>
      <c r="I60" s="219" t="s">
        <v>293</v>
      </c>
      <c r="J60" s="350" t="s">
        <v>15</v>
      </c>
      <c r="K60" s="219" t="s">
        <v>293</v>
      </c>
      <c r="L60" s="350" t="s">
        <v>17</v>
      </c>
      <c r="M60" s="219" t="s">
        <v>293</v>
      </c>
      <c r="N60" s="219">
        <v>0</v>
      </c>
      <c r="O60" s="219">
        <v>0</v>
      </c>
      <c r="P60" s="219">
        <v>0</v>
      </c>
      <c r="Q60" s="219">
        <f t="shared" si="19"/>
        <v>0</v>
      </c>
      <c r="R60" s="219">
        <v>0</v>
      </c>
      <c r="S60" s="219">
        <v>0</v>
      </c>
      <c r="T60" s="219">
        <v>0</v>
      </c>
      <c r="U60" s="219">
        <v>0</v>
      </c>
      <c r="V60" s="985"/>
      <c r="W60" s="219">
        <v>0</v>
      </c>
      <c r="X60" s="734">
        <f t="shared" si="22"/>
        <v>0</v>
      </c>
      <c r="Y60" s="219">
        <v>0</v>
      </c>
      <c r="Z60" s="219">
        <v>0</v>
      </c>
      <c r="AA60" s="219">
        <v>0</v>
      </c>
      <c r="AB60" s="219">
        <v>0</v>
      </c>
      <c r="AC60" s="219">
        <v>0</v>
      </c>
      <c r="AD60" s="219">
        <v>0</v>
      </c>
      <c r="AE60" s="219">
        <v>0</v>
      </c>
      <c r="AF60" s="219">
        <v>0</v>
      </c>
      <c r="AG60" s="219">
        <v>0</v>
      </c>
      <c r="AH60" s="219">
        <v>0</v>
      </c>
      <c r="AI60" s="219">
        <v>0</v>
      </c>
      <c r="AJ60" s="219">
        <v>0</v>
      </c>
      <c r="AK60" s="219">
        <v>0</v>
      </c>
      <c r="AL60" s="219">
        <v>0</v>
      </c>
      <c r="AM60" s="219">
        <v>0</v>
      </c>
      <c r="AN60" s="219">
        <v>0</v>
      </c>
      <c r="AO60" s="219">
        <f t="shared" si="20"/>
        <v>0</v>
      </c>
      <c r="AP60" s="219">
        <f t="shared" si="21"/>
        <v>0</v>
      </c>
    </row>
    <row r="61" spans="1:47" s="349" customFormat="1" ht="26.25" customHeight="1">
      <c r="A61" s="987" t="s">
        <v>22</v>
      </c>
      <c r="B61" s="987"/>
      <c r="C61" s="715">
        <v>7</v>
      </c>
      <c r="D61" s="352"/>
      <c r="E61" s="715">
        <v>12</v>
      </c>
      <c r="F61" s="353"/>
      <c r="G61" s="353"/>
      <c r="H61" s="353"/>
      <c r="I61" s="353"/>
      <c r="J61" s="352"/>
      <c r="K61" s="353"/>
      <c r="L61" s="352"/>
      <c r="M61" s="353"/>
      <c r="N61" s="353">
        <f>SUM(N49:N60)</f>
        <v>405000</v>
      </c>
      <c r="O61" s="353">
        <f t="shared" ref="O61:AP61" si="23">SUM(O49:O60)</f>
        <v>6895980</v>
      </c>
      <c r="P61" s="353">
        <f t="shared" si="23"/>
        <v>1641300</v>
      </c>
      <c r="Q61" s="353">
        <f t="shared" si="23"/>
        <v>8942280</v>
      </c>
      <c r="R61" s="353">
        <f t="shared" si="23"/>
        <v>0</v>
      </c>
      <c r="S61" s="353">
        <f t="shared" si="23"/>
        <v>0</v>
      </c>
      <c r="T61" s="353">
        <f t="shared" si="23"/>
        <v>0</v>
      </c>
      <c r="U61" s="353">
        <f t="shared" si="23"/>
        <v>0</v>
      </c>
      <c r="V61" s="353">
        <f t="shared" si="23"/>
        <v>5460</v>
      </c>
      <c r="W61" s="353">
        <f t="shared" si="23"/>
        <v>233</v>
      </c>
      <c r="X61" s="717">
        <f>W61/V61*100</f>
        <v>4.2673992673992673</v>
      </c>
      <c r="Y61" s="353">
        <f t="shared" si="23"/>
        <v>143.6</v>
      </c>
      <c r="Z61" s="353">
        <f t="shared" si="23"/>
        <v>645.4</v>
      </c>
      <c r="AA61" s="353">
        <f t="shared" si="23"/>
        <v>358.40000000000003</v>
      </c>
      <c r="AB61" s="353">
        <f t="shared" si="23"/>
        <v>2172.6</v>
      </c>
      <c r="AC61" s="353">
        <f t="shared" si="23"/>
        <v>124.6</v>
      </c>
      <c r="AD61" s="353">
        <f t="shared" si="23"/>
        <v>110.6</v>
      </c>
      <c r="AE61" s="353">
        <f t="shared" si="23"/>
        <v>57.8</v>
      </c>
      <c r="AF61" s="353">
        <f t="shared" si="23"/>
        <v>2172.6</v>
      </c>
      <c r="AG61" s="353">
        <f t="shared" si="23"/>
        <v>2741200</v>
      </c>
      <c r="AH61" s="353">
        <f t="shared" si="23"/>
        <v>2301600</v>
      </c>
      <c r="AI61" s="353">
        <f t="shared" si="23"/>
        <v>703500</v>
      </c>
      <c r="AJ61" s="353">
        <f t="shared" si="23"/>
        <v>3415680</v>
      </c>
      <c r="AK61" s="353">
        <f t="shared" si="23"/>
        <v>3159200</v>
      </c>
      <c r="AL61" s="353">
        <f t="shared" si="23"/>
        <v>7881600</v>
      </c>
      <c r="AM61" s="353">
        <f t="shared" si="23"/>
        <v>4611300</v>
      </c>
      <c r="AN61" s="353">
        <f t="shared" si="23"/>
        <v>3415680</v>
      </c>
      <c r="AO61" s="353">
        <f t="shared" si="23"/>
        <v>19067780</v>
      </c>
      <c r="AP61" s="353">
        <f t="shared" si="23"/>
        <v>10125500</v>
      </c>
    </row>
    <row r="62" spans="1:47" ht="123.6" customHeight="1">
      <c r="A62" s="707">
        <v>1</v>
      </c>
      <c r="B62" s="983" t="s">
        <v>311</v>
      </c>
      <c r="C62" s="984">
        <v>21</v>
      </c>
      <c r="D62" s="707" t="s">
        <v>974</v>
      </c>
      <c r="E62" s="706">
        <v>1</v>
      </c>
      <c r="F62" s="707" t="s">
        <v>975</v>
      </c>
      <c r="G62" s="707" t="s">
        <v>976</v>
      </c>
      <c r="H62" s="707" t="s">
        <v>977</v>
      </c>
      <c r="I62" s="707" t="s">
        <v>193</v>
      </c>
      <c r="J62" s="707" t="s">
        <v>193</v>
      </c>
      <c r="K62" s="707" t="s">
        <v>193</v>
      </c>
      <c r="L62" s="707" t="s">
        <v>193</v>
      </c>
      <c r="M62" s="707" t="s">
        <v>978</v>
      </c>
      <c r="N62" s="707">
        <v>0</v>
      </c>
      <c r="O62" s="707">
        <v>0</v>
      </c>
      <c r="P62" s="707">
        <v>0</v>
      </c>
      <c r="Q62" s="707">
        <f>N62+O62+P62</f>
        <v>0</v>
      </c>
      <c r="R62" s="707">
        <v>0</v>
      </c>
      <c r="S62" s="707">
        <v>0</v>
      </c>
      <c r="T62" s="707">
        <v>0</v>
      </c>
      <c r="U62" s="707" t="s">
        <v>979</v>
      </c>
      <c r="V62" s="707">
        <v>8450</v>
      </c>
      <c r="W62" s="707" t="s">
        <v>193</v>
      </c>
      <c r="X62" s="707" t="s">
        <v>193</v>
      </c>
      <c r="Y62" s="707" t="s">
        <v>193</v>
      </c>
      <c r="Z62" s="707" t="s">
        <v>193</v>
      </c>
      <c r="AA62" s="707" t="s">
        <v>193</v>
      </c>
      <c r="AB62" s="707" t="s">
        <v>193</v>
      </c>
      <c r="AC62" s="707" t="s">
        <v>193</v>
      </c>
      <c r="AD62" s="707" t="s">
        <v>193</v>
      </c>
      <c r="AE62" s="707" t="s">
        <v>193</v>
      </c>
      <c r="AF62" s="707" t="s">
        <v>193</v>
      </c>
      <c r="AG62" s="707" t="s">
        <v>193</v>
      </c>
      <c r="AH62" s="707" t="s">
        <v>193</v>
      </c>
      <c r="AI62" s="707" t="s">
        <v>193</v>
      </c>
      <c r="AJ62" s="707" t="s">
        <v>193</v>
      </c>
      <c r="AK62" s="707">
        <v>0</v>
      </c>
      <c r="AL62" s="707">
        <v>0</v>
      </c>
      <c r="AM62" s="707">
        <v>0</v>
      </c>
      <c r="AN62" s="707">
        <v>0</v>
      </c>
      <c r="AO62" s="707">
        <v>0</v>
      </c>
      <c r="AP62" s="707">
        <v>0</v>
      </c>
      <c r="AQ62" s="351"/>
      <c r="AR62" s="351"/>
      <c r="AS62" s="351"/>
      <c r="AT62" s="351"/>
      <c r="AU62" s="351"/>
    </row>
    <row r="63" spans="1:47" ht="103.9" customHeight="1">
      <c r="A63" s="707">
        <v>2</v>
      </c>
      <c r="B63" s="983"/>
      <c r="C63" s="984"/>
      <c r="D63" s="350" t="s">
        <v>312</v>
      </c>
      <c r="E63" s="713">
        <v>1</v>
      </c>
      <c r="F63" s="350">
        <v>44799</v>
      </c>
      <c r="G63" s="350" t="s">
        <v>313</v>
      </c>
      <c r="H63" s="350"/>
      <c r="I63" s="350"/>
      <c r="J63" s="350" t="s">
        <v>15</v>
      </c>
      <c r="K63" s="350"/>
      <c r="L63" s="350" t="s">
        <v>244</v>
      </c>
      <c r="M63" s="350"/>
      <c r="N63" s="350">
        <v>181283</v>
      </c>
      <c r="O63" s="350">
        <v>622062</v>
      </c>
      <c r="P63" s="350">
        <v>162000</v>
      </c>
      <c r="Q63" s="350">
        <f>N63+O63+P63</f>
        <v>965345</v>
      </c>
      <c r="R63" s="350"/>
      <c r="S63" s="350"/>
      <c r="T63" s="350"/>
      <c r="U63" s="350"/>
      <c r="V63" s="350"/>
      <c r="W63" s="350"/>
      <c r="X63" s="350"/>
      <c r="Y63" s="350"/>
      <c r="Z63" s="350"/>
      <c r="AA63" s="350"/>
      <c r="AB63" s="350"/>
      <c r="AC63" s="350"/>
      <c r="AD63" s="350"/>
      <c r="AE63" s="350"/>
      <c r="AF63" s="350"/>
      <c r="AG63" s="350"/>
      <c r="AH63" s="350"/>
      <c r="AI63" s="350"/>
      <c r="AJ63" s="350"/>
      <c r="AK63" s="350"/>
      <c r="AL63" s="350"/>
      <c r="AM63" s="350"/>
      <c r="AN63" s="350"/>
      <c r="AO63" s="350"/>
      <c r="AP63" s="350">
        <f>0-Q63</f>
        <v>-965345</v>
      </c>
      <c r="AQ63" s="351"/>
      <c r="AR63" s="351"/>
      <c r="AS63" s="351"/>
      <c r="AT63" s="351"/>
      <c r="AU63" s="351"/>
    </row>
    <row r="64" spans="1:47" ht="103.9" customHeight="1">
      <c r="A64" s="707">
        <v>3</v>
      </c>
      <c r="B64" s="983"/>
      <c r="C64" s="984"/>
      <c r="D64" s="350" t="s">
        <v>131</v>
      </c>
      <c r="E64" s="713">
        <v>1</v>
      </c>
      <c r="F64" s="350">
        <v>44799</v>
      </c>
      <c r="G64" s="350" t="s">
        <v>314</v>
      </c>
      <c r="H64" s="350"/>
      <c r="I64" s="350"/>
      <c r="J64" s="350" t="s">
        <v>15</v>
      </c>
      <c r="K64" s="350"/>
      <c r="L64" s="350" t="s">
        <v>244</v>
      </c>
      <c r="M64" s="350"/>
      <c r="N64" s="350">
        <v>929200</v>
      </c>
      <c r="O64" s="350">
        <v>265438</v>
      </c>
      <c r="P64" s="350">
        <v>108000</v>
      </c>
      <c r="Q64" s="350">
        <f t="shared" ref="Q64:Q74" si="24">N64+O64+P64</f>
        <v>1302638</v>
      </c>
      <c r="R64" s="350"/>
      <c r="S64" s="350"/>
      <c r="T64" s="350"/>
      <c r="U64" s="350"/>
      <c r="V64" s="350"/>
      <c r="W64" s="350"/>
      <c r="X64" s="350"/>
      <c r="Y64" s="350"/>
      <c r="Z64" s="350"/>
      <c r="AA64" s="350"/>
      <c r="AB64" s="350" t="s">
        <v>980</v>
      </c>
      <c r="AC64" s="350"/>
      <c r="AD64" s="350"/>
      <c r="AE64" s="350"/>
      <c r="AF64" s="350"/>
      <c r="AG64" s="350"/>
      <c r="AH64" s="350"/>
      <c r="AI64" s="350"/>
      <c r="AJ64" s="350"/>
      <c r="AK64" s="350"/>
      <c r="AL64" s="350"/>
      <c r="AM64" s="350"/>
      <c r="AN64" s="350"/>
      <c r="AO64" s="350"/>
      <c r="AP64" s="350">
        <f t="shared" ref="AP64:AP74" si="25">0-Q64</f>
        <v>-1302638</v>
      </c>
      <c r="AQ64" s="351"/>
      <c r="AR64" s="351"/>
      <c r="AS64" s="351"/>
      <c r="AT64" s="351"/>
      <c r="AU64" s="351"/>
    </row>
    <row r="65" spans="1:47" ht="87.6" customHeight="1">
      <c r="A65" s="707">
        <v>4</v>
      </c>
      <c r="B65" s="983"/>
      <c r="C65" s="984"/>
      <c r="D65" s="350" t="s">
        <v>129</v>
      </c>
      <c r="E65" s="713">
        <v>1</v>
      </c>
      <c r="F65" s="350">
        <v>44799</v>
      </c>
      <c r="G65" s="350" t="s">
        <v>315</v>
      </c>
      <c r="H65" s="350"/>
      <c r="I65" s="350"/>
      <c r="J65" s="350" t="s">
        <v>15</v>
      </c>
      <c r="K65" s="350"/>
      <c r="L65" s="350" t="s">
        <v>244</v>
      </c>
      <c r="M65" s="350"/>
      <c r="N65" s="350">
        <v>988700</v>
      </c>
      <c r="O65" s="350">
        <v>904812</v>
      </c>
      <c r="P65" s="350">
        <v>222000</v>
      </c>
      <c r="Q65" s="350">
        <f t="shared" si="24"/>
        <v>2115512</v>
      </c>
      <c r="R65" s="350"/>
      <c r="S65" s="350"/>
      <c r="T65" s="350"/>
      <c r="U65" s="350"/>
      <c r="V65" s="350"/>
      <c r="W65" s="350"/>
      <c r="X65" s="350"/>
      <c r="Y65" s="350"/>
      <c r="Z65" s="350"/>
      <c r="AA65" s="350"/>
      <c r="AB65" s="350" t="s">
        <v>981</v>
      </c>
      <c r="AC65" s="350"/>
      <c r="AD65" s="350"/>
      <c r="AE65" s="350"/>
      <c r="AF65" s="350"/>
      <c r="AG65" s="350"/>
      <c r="AH65" s="350"/>
      <c r="AI65" s="350"/>
      <c r="AJ65" s="350"/>
      <c r="AK65" s="350"/>
      <c r="AL65" s="350"/>
      <c r="AM65" s="350"/>
      <c r="AN65" s="350"/>
      <c r="AO65" s="350"/>
      <c r="AP65" s="350">
        <f t="shared" si="25"/>
        <v>-2115512</v>
      </c>
      <c r="AQ65" s="351"/>
      <c r="AR65" s="351"/>
      <c r="AS65" s="351"/>
      <c r="AT65" s="351"/>
      <c r="AU65" s="351"/>
    </row>
    <row r="66" spans="1:47" ht="53.45" customHeight="1">
      <c r="A66" s="707">
        <v>5</v>
      </c>
      <c r="B66" s="983"/>
      <c r="C66" s="984"/>
      <c r="D66" s="350" t="s">
        <v>316</v>
      </c>
      <c r="E66" s="713">
        <v>1</v>
      </c>
      <c r="F66" s="350">
        <v>44949</v>
      </c>
      <c r="G66" s="350" t="s">
        <v>317</v>
      </c>
      <c r="H66" s="350"/>
      <c r="I66" s="350"/>
      <c r="J66" s="350" t="s">
        <v>15</v>
      </c>
      <c r="K66" s="350"/>
      <c r="L66" s="350" t="s">
        <v>244</v>
      </c>
      <c r="M66" s="350"/>
      <c r="N66" s="350">
        <v>0</v>
      </c>
      <c r="O66" s="350">
        <v>54250</v>
      </c>
      <c r="P66" s="350">
        <v>0</v>
      </c>
      <c r="Q66" s="350">
        <f t="shared" si="24"/>
        <v>54250</v>
      </c>
      <c r="R66" s="350"/>
      <c r="S66" s="350"/>
      <c r="T66" s="350"/>
      <c r="U66" s="350"/>
      <c r="V66" s="350"/>
      <c r="W66" s="350"/>
      <c r="X66" s="350"/>
      <c r="Y66" s="350"/>
      <c r="Z66" s="350"/>
      <c r="AA66" s="350"/>
      <c r="AB66" s="350"/>
      <c r="AC66" s="350"/>
      <c r="AD66" s="350"/>
      <c r="AE66" s="350"/>
      <c r="AF66" s="350"/>
      <c r="AG66" s="350"/>
      <c r="AH66" s="350"/>
      <c r="AI66" s="350"/>
      <c r="AJ66" s="350"/>
      <c r="AK66" s="350"/>
      <c r="AL66" s="350"/>
      <c r="AM66" s="350"/>
      <c r="AN66" s="350"/>
      <c r="AO66" s="350"/>
      <c r="AP66" s="350">
        <f t="shared" si="25"/>
        <v>-54250</v>
      </c>
      <c r="AQ66" s="351"/>
      <c r="AR66" s="351"/>
      <c r="AS66" s="351"/>
      <c r="AT66" s="351"/>
      <c r="AU66" s="351"/>
    </row>
    <row r="67" spans="1:47" ht="53.45" customHeight="1">
      <c r="A67" s="707">
        <v>6</v>
      </c>
      <c r="B67" s="983"/>
      <c r="C67" s="984"/>
      <c r="D67" s="350" t="s">
        <v>318</v>
      </c>
      <c r="E67" s="713">
        <v>1</v>
      </c>
      <c r="F67" s="350"/>
      <c r="G67" s="350" t="s">
        <v>319</v>
      </c>
      <c r="H67" s="350"/>
      <c r="I67" s="350"/>
      <c r="J67" s="350" t="s">
        <v>15</v>
      </c>
      <c r="K67" s="350"/>
      <c r="L67" s="350" t="s">
        <v>244</v>
      </c>
      <c r="M67" s="350"/>
      <c r="N67" s="350">
        <v>129400</v>
      </c>
      <c r="O67" s="350">
        <v>210042</v>
      </c>
      <c r="P67" s="350">
        <v>154000</v>
      </c>
      <c r="Q67" s="350">
        <f t="shared" si="24"/>
        <v>493442</v>
      </c>
      <c r="R67" s="350"/>
      <c r="S67" s="350"/>
      <c r="T67" s="350"/>
      <c r="U67" s="350"/>
      <c r="V67" s="350"/>
      <c r="W67" s="350"/>
      <c r="X67" s="350"/>
      <c r="Y67" s="350"/>
      <c r="Z67" s="350"/>
      <c r="AA67" s="350"/>
      <c r="AB67" s="350"/>
      <c r="AC67" s="350"/>
      <c r="AD67" s="350"/>
      <c r="AE67" s="350"/>
      <c r="AF67" s="350"/>
      <c r="AG67" s="350"/>
      <c r="AH67" s="350"/>
      <c r="AI67" s="350"/>
      <c r="AJ67" s="350"/>
      <c r="AK67" s="350"/>
      <c r="AL67" s="350"/>
      <c r="AM67" s="350"/>
      <c r="AN67" s="350"/>
      <c r="AO67" s="350"/>
      <c r="AP67" s="350">
        <f t="shared" si="25"/>
        <v>-493442</v>
      </c>
      <c r="AQ67" s="351"/>
      <c r="AR67" s="351"/>
      <c r="AS67" s="351"/>
      <c r="AT67" s="351"/>
      <c r="AU67" s="351"/>
    </row>
    <row r="68" spans="1:47" ht="53.45" customHeight="1">
      <c r="A68" s="707">
        <v>7</v>
      </c>
      <c r="B68" s="983"/>
      <c r="C68" s="984"/>
      <c r="D68" s="350" t="s">
        <v>320</v>
      </c>
      <c r="E68" s="713">
        <v>1</v>
      </c>
      <c r="F68" s="350">
        <v>44998</v>
      </c>
      <c r="G68" s="350" t="s">
        <v>321</v>
      </c>
      <c r="H68" s="350"/>
      <c r="I68" s="350"/>
      <c r="J68" s="350" t="s">
        <v>15</v>
      </c>
      <c r="K68" s="350"/>
      <c r="L68" s="350" t="s">
        <v>244</v>
      </c>
      <c r="M68" s="350"/>
      <c r="N68" s="350">
        <v>31500</v>
      </c>
      <c r="O68" s="350">
        <v>434458</v>
      </c>
      <c r="P68" s="350">
        <v>63000</v>
      </c>
      <c r="Q68" s="350">
        <f t="shared" si="24"/>
        <v>528958</v>
      </c>
      <c r="R68" s="350"/>
      <c r="S68" s="350"/>
      <c r="T68" s="350"/>
      <c r="U68" s="350"/>
      <c r="V68" s="350"/>
      <c r="W68" s="350"/>
      <c r="X68" s="350"/>
      <c r="Y68" s="350"/>
      <c r="Z68" s="350"/>
      <c r="AA68" s="350"/>
      <c r="AB68" s="350"/>
      <c r="AC68" s="350"/>
      <c r="AD68" s="350"/>
      <c r="AE68" s="350"/>
      <c r="AF68" s="350"/>
      <c r="AG68" s="350"/>
      <c r="AH68" s="350"/>
      <c r="AI68" s="350"/>
      <c r="AJ68" s="350"/>
      <c r="AK68" s="350"/>
      <c r="AL68" s="350"/>
      <c r="AM68" s="350"/>
      <c r="AN68" s="350"/>
      <c r="AO68" s="350"/>
      <c r="AP68" s="350">
        <f t="shared" si="25"/>
        <v>-528958</v>
      </c>
      <c r="AQ68" s="351"/>
      <c r="AR68" s="351"/>
      <c r="AS68" s="351"/>
      <c r="AT68" s="351"/>
      <c r="AU68" s="351"/>
    </row>
    <row r="69" spans="1:47" ht="53.45" customHeight="1">
      <c r="A69" s="707">
        <v>8</v>
      </c>
      <c r="B69" s="983"/>
      <c r="C69" s="984"/>
      <c r="D69" s="350" t="s">
        <v>320</v>
      </c>
      <c r="E69" s="713">
        <v>1</v>
      </c>
      <c r="F69" s="350">
        <v>43101</v>
      </c>
      <c r="G69" s="350" t="s">
        <v>322</v>
      </c>
      <c r="H69" s="350"/>
      <c r="I69" s="350"/>
      <c r="J69" s="350" t="s">
        <v>15</v>
      </c>
      <c r="K69" s="350"/>
      <c r="L69" s="350" t="s">
        <v>244</v>
      </c>
      <c r="M69" s="350"/>
      <c r="N69" s="350">
        <v>0</v>
      </c>
      <c r="O69" s="350">
        <v>0</v>
      </c>
      <c r="P69" s="350">
        <v>10000</v>
      </c>
      <c r="Q69" s="350">
        <f t="shared" si="24"/>
        <v>10000</v>
      </c>
      <c r="R69" s="350"/>
      <c r="S69" s="350"/>
      <c r="T69" s="350"/>
      <c r="U69" s="350"/>
      <c r="V69" s="350"/>
      <c r="W69" s="350"/>
      <c r="X69" s="350"/>
      <c r="Y69" s="350"/>
      <c r="Z69" s="350"/>
      <c r="AA69" s="350"/>
      <c r="AB69" s="350"/>
      <c r="AC69" s="350"/>
      <c r="AD69" s="350"/>
      <c r="AE69" s="350"/>
      <c r="AF69" s="350"/>
      <c r="AG69" s="350"/>
      <c r="AH69" s="350"/>
      <c r="AI69" s="350"/>
      <c r="AJ69" s="350"/>
      <c r="AK69" s="350"/>
      <c r="AL69" s="350"/>
      <c r="AM69" s="350"/>
      <c r="AN69" s="350"/>
      <c r="AO69" s="350"/>
      <c r="AP69" s="350">
        <f t="shared" si="25"/>
        <v>-10000</v>
      </c>
      <c r="AQ69" s="351"/>
      <c r="AR69" s="351"/>
      <c r="AS69" s="351"/>
      <c r="AT69" s="351"/>
      <c r="AU69" s="351"/>
    </row>
    <row r="70" spans="1:47" ht="53.45" customHeight="1">
      <c r="A70" s="707">
        <v>9</v>
      </c>
      <c r="B70" s="983"/>
      <c r="C70" s="984"/>
      <c r="D70" s="350" t="s">
        <v>323</v>
      </c>
      <c r="E70" s="713">
        <v>1</v>
      </c>
      <c r="F70" s="350">
        <v>43102</v>
      </c>
      <c r="G70" s="350" t="s">
        <v>324</v>
      </c>
      <c r="H70" s="350"/>
      <c r="I70" s="350"/>
      <c r="J70" s="350" t="s">
        <v>15</v>
      </c>
      <c r="K70" s="350"/>
      <c r="L70" s="350" t="s">
        <v>244</v>
      </c>
      <c r="M70" s="350"/>
      <c r="N70" s="350">
        <v>16600</v>
      </c>
      <c r="O70" s="350">
        <v>77500</v>
      </c>
      <c r="P70" s="350">
        <v>0</v>
      </c>
      <c r="Q70" s="350">
        <f t="shared" si="24"/>
        <v>94100</v>
      </c>
      <c r="R70" s="350"/>
      <c r="S70" s="350"/>
      <c r="T70" s="350"/>
      <c r="U70" s="350"/>
      <c r="V70" s="350"/>
      <c r="W70" s="350"/>
      <c r="X70" s="350"/>
      <c r="Y70" s="350"/>
      <c r="Z70" s="350"/>
      <c r="AA70" s="350"/>
      <c r="AB70" s="350"/>
      <c r="AC70" s="350"/>
      <c r="AD70" s="350"/>
      <c r="AE70" s="350"/>
      <c r="AF70" s="350"/>
      <c r="AG70" s="350"/>
      <c r="AH70" s="350"/>
      <c r="AI70" s="350"/>
      <c r="AJ70" s="350"/>
      <c r="AK70" s="350"/>
      <c r="AL70" s="350"/>
      <c r="AM70" s="350"/>
      <c r="AN70" s="350"/>
      <c r="AO70" s="350"/>
      <c r="AP70" s="350">
        <f t="shared" si="25"/>
        <v>-94100</v>
      </c>
      <c r="AQ70" s="351"/>
      <c r="AR70" s="351"/>
      <c r="AS70" s="351"/>
      <c r="AT70" s="351"/>
      <c r="AU70" s="351"/>
    </row>
    <row r="71" spans="1:47" ht="53.45" customHeight="1">
      <c r="A71" s="707">
        <v>10</v>
      </c>
      <c r="B71" s="983"/>
      <c r="C71" s="984"/>
      <c r="D71" s="350" t="s">
        <v>325</v>
      </c>
      <c r="E71" s="713">
        <v>1</v>
      </c>
      <c r="F71" s="350">
        <v>2504.2024000000001</v>
      </c>
      <c r="G71" s="350" t="s">
        <v>326</v>
      </c>
      <c r="H71" s="350"/>
      <c r="I71" s="350"/>
      <c r="J71" s="350" t="s">
        <v>15</v>
      </c>
      <c r="K71" s="350"/>
      <c r="L71" s="350" t="s">
        <v>244</v>
      </c>
      <c r="M71" s="350"/>
      <c r="N71" s="350">
        <v>0</v>
      </c>
      <c r="O71" s="350">
        <v>0</v>
      </c>
      <c r="P71" s="350">
        <v>20000</v>
      </c>
      <c r="Q71" s="350">
        <f t="shared" si="24"/>
        <v>20000</v>
      </c>
      <c r="R71" s="350"/>
      <c r="S71" s="350"/>
      <c r="T71" s="350"/>
      <c r="U71" s="350"/>
      <c r="V71" s="350"/>
      <c r="W71" s="350"/>
      <c r="X71" s="350"/>
      <c r="Y71" s="350"/>
      <c r="Z71" s="350"/>
      <c r="AA71" s="350"/>
      <c r="AB71" s="350"/>
      <c r="AC71" s="350"/>
      <c r="AD71" s="350"/>
      <c r="AE71" s="350"/>
      <c r="AF71" s="350"/>
      <c r="AG71" s="350"/>
      <c r="AH71" s="350"/>
      <c r="AI71" s="350"/>
      <c r="AJ71" s="350"/>
      <c r="AK71" s="350"/>
      <c r="AL71" s="350"/>
      <c r="AM71" s="350"/>
      <c r="AN71" s="350"/>
      <c r="AO71" s="350"/>
      <c r="AP71" s="350">
        <f t="shared" si="25"/>
        <v>-20000</v>
      </c>
      <c r="AQ71" s="351"/>
      <c r="AR71" s="351"/>
      <c r="AS71" s="351"/>
      <c r="AT71" s="351"/>
      <c r="AU71" s="351"/>
    </row>
    <row r="72" spans="1:47" ht="53.45" customHeight="1">
      <c r="A72" s="707">
        <v>11</v>
      </c>
      <c r="B72" s="983"/>
      <c r="C72" s="984"/>
      <c r="D72" s="350" t="s">
        <v>316</v>
      </c>
      <c r="E72" s="713">
        <v>1</v>
      </c>
      <c r="F72" s="350">
        <v>1999</v>
      </c>
      <c r="G72" s="350" t="s">
        <v>327</v>
      </c>
      <c r="H72" s="350"/>
      <c r="I72" s="350"/>
      <c r="J72" s="350" t="s">
        <v>15</v>
      </c>
      <c r="K72" s="350"/>
      <c r="L72" s="350" t="s">
        <v>244</v>
      </c>
      <c r="M72" s="350"/>
      <c r="N72" s="350">
        <v>181500</v>
      </c>
      <c r="O72" s="350">
        <v>177208</v>
      </c>
      <c r="P72" s="350">
        <v>116000</v>
      </c>
      <c r="Q72" s="350">
        <f t="shared" si="24"/>
        <v>474708</v>
      </c>
      <c r="R72" s="350"/>
      <c r="S72" s="350"/>
      <c r="T72" s="350"/>
      <c r="U72" s="350"/>
      <c r="V72" s="350"/>
      <c r="W72" s="350"/>
      <c r="X72" s="350"/>
      <c r="Y72" s="350"/>
      <c r="Z72" s="350"/>
      <c r="AA72" s="350"/>
      <c r="AB72" s="350"/>
      <c r="AC72" s="350"/>
      <c r="AD72" s="350"/>
      <c r="AE72" s="350"/>
      <c r="AF72" s="350"/>
      <c r="AG72" s="350"/>
      <c r="AH72" s="350"/>
      <c r="AI72" s="350"/>
      <c r="AJ72" s="350"/>
      <c r="AK72" s="350"/>
      <c r="AL72" s="350"/>
      <c r="AM72" s="350"/>
      <c r="AN72" s="350"/>
      <c r="AO72" s="350"/>
      <c r="AP72" s="350">
        <f t="shared" si="25"/>
        <v>-474708</v>
      </c>
      <c r="AQ72" s="351"/>
      <c r="AR72" s="351"/>
      <c r="AS72" s="351"/>
      <c r="AT72" s="351"/>
      <c r="AU72" s="351"/>
    </row>
    <row r="73" spans="1:47" ht="53.45" customHeight="1">
      <c r="A73" s="707">
        <v>12</v>
      </c>
      <c r="B73" s="983"/>
      <c r="C73" s="984"/>
      <c r="D73" s="350" t="s">
        <v>323</v>
      </c>
      <c r="E73" s="713">
        <v>1</v>
      </c>
      <c r="F73" s="350"/>
      <c r="G73" s="350" t="s">
        <v>328</v>
      </c>
      <c r="H73" s="350"/>
      <c r="I73" s="350"/>
      <c r="J73" s="350" t="s">
        <v>15</v>
      </c>
      <c r="K73" s="350"/>
      <c r="L73" s="350" t="s">
        <v>244</v>
      </c>
      <c r="M73" s="350"/>
      <c r="N73" s="350">
        <v>1600</v>
      </c>
      <c r="O73" s="350">
        <v>443333</v>
      </c>
      <c r="P73" s="350">
        <v>113000</v>
      </c>
      <c r="Q73" s="350">
        <f t="shared" si="24"/>
        <v>557933</v>
      </c>
      <c r="R73" s="350"/>
      <c r="S73" s="350"/>
      <c r="T73" s="350"/>
      <c r="U73" s="350"/>
      <c r="V73" s="350"/>
      <c r="W73" s="350"/>
      <c r="X73" s="350"/>
      <c r="Y73" s="350"/>
      <c r="Z73" s="350"/>
      <c r="AA73" s="350"/>
      <c r="AB73" s="350"/>
      <c r="AC73" s="350"/>
      <c r="AD73" s="350"/>
      <c r="AE73" s="350"/>
      <c r="AF73" s="350"/>
      <c r="AG73" s="350"/>
      <c r="AH73" s="350"/>
      <c r="AI73" s="350"/>
      <c r="AJ73" s="350"/>
      <c r="AK73" s="350"/>
      <c r="AL73" s="350"/>
      <c r="AM73" s="350"/>
      <c r="AN73" s="350"/>
      <c r="AO73" s="350"/>
      <c r="AP73" s="350">
        <f t="shared" si="25"/>
        <v>-557933</v>
      </c>
      <c r="AQ73" s="351"/>
      <c r="AR73" s="351"/>
      <c r="AS73" s="351"/>
      <c r="AT73" s="351"/>
      <c r="AU73" s="351"/>
    </row>
    <row r="74" spans="1:47" ht="53.45" customHeight="1">
      <c r="A74" s="707">
        <v>13</v>
      </c>
      <c r="B74" s="983"/>
      <c r="C74" s="984"/>
      <c r="D74" s="350" t="s">
        <v>48</v>
      </c>
      <c r="E74" s="713">
        <v>1</v>
      </c>
      <c r="F74" s="350"/>
      <c r="G74" s="350" t="s">
        <v>329</v>
      </c>
      <c r="H74" s="350"/>
      <c r="I74" s="350"/>
      <c r="J74" s="350" t="s">
        <v>15</v>
      </c>
      <c r="K74" s="350"/>
      <c r="L74" s="350" t="s">
        <v>244</v>
      </c>
      <c r="M74" s="350"/>
      <c r="N74" s="350">
        <v>0</v>
      </c>
      <c r="O74" s="350">
        <v>891250</v>
      </c>
      <c r="P74" s="350">
        <v>120000</v>
      </c>
      <c r="Q74" s="350">
        <f t="shared" si="24"/>
        <v>1011250</v>
      </c>
      <c r="R74" s="350"/>
      <c r="S74" s="350"/>
      <c r="T74" s="350"/>
      <c r="U74" s="350"/>
      <c r="V74" s="350"/>
      <c r="W74" s="350"/>
      <c r="X74" s="350"/>
      <c r="Y74" s="350"/>
      <c r="Z74" s="350"/>
      <c r="AA74" s="350"/>
      <c r="AB74" s="350"/>
      <c r="AC74" s="350"/>
      <c r="AD74" s="350"/>
      <c r="AE74" s="350"/>
      <c r="AF74" s="350"/>
      <c r="AG74" s="350"/>
      <c r="AH74" s="350"/>
      <c r="AI74" s="350"/>
      <c r="AJ74" s="350"/>
      <c r="AK74" s="350"/>
      <c r="AL74" s="350"/>
      <c r="AM74" s="350"/>
      <c r="AN74" s="350"/>
      <c r="AO74" s="350"/>
      <c r="AP74" s="350">
        <f t="shared" si="25"/>
        <v>-1011250</v>
      </c>
      <c r="AQ74" s="351"/>
      <c r="AR74" s="351"/>
      <c r="AS74" s="351"/>
      <c r="AT74" s="351"/>
      <c r="AU74" s="351"/>
    </row>
    <row r="75" spans="1:47" ht="35.25" customHeight="1">
      <c r="A75" s="352"/>
      <c r="B75" s="709" t="s">
        <v>115</v>
      </c>
      <c r="C75" s="710">
        <v>21</v>
      </c>
      <c r="D75" s="709"/>
      <c r="E75" s="710">
        <f>SUM(E62:E62)</f>
        <v>1</v>
      </c>
      <c r="F75" s="709"/>
      <c r="G75" s="709"/>
      <c r="H75" s="709"/>
      <c r="I75" s="709"/>
      <c r="J75" s="709"/>
      <c r="K75" s="709"/>
      <c r="L75" s="709"/>
      <c r="M75" s="709"/>
      <c r="N75" s="709">
        <f t="shared" ref="N75:AO75" si="26">SUM(N62:N62)</f>
        <v>0</v>
      </c>
      <c r="O75" s="709">
        <f t="shared" si="26"/>
        <v>0</v>
      </c>
      <c r="P75" s="709">
        <f t="shared" si="26"/>
        <v>0</v>
      </c>
      <c r="Q75" s="709">
        <f t="shared" si="26"/>
        <v>0</v>
      </c>
      <c r="R75" s="709">
        <f t="shared" si="26"/>
        <v>0</v>
      </c>
      <c r="S75" s="709">
        <f t="shared" si="26"/>
        <v>0</v>
      </c>
      <c r="T75" s="709">
        <f t="shared" si="26"/>
        <v>0</v>
      </c>
      <c r="U75" s="709">
        <f t="shared" si="26"/>
        <v>0</v>
      </c>
      <c r="V75" s="709">
        <f t="shared" si="26"/>
        <v>8450</v>
      </c>
      <c r="W75" s="709">
        <f t="shared" si="26"/>
        <v>0</v>
      </c>
      <c r="X75" s="709">
        <f t="shared" si="26"/>
        <v>0</v>
      </c>
      <c r="Y75" s="709">
        <f t="shared" si="26"/>
        <v>0</v>
      </c>
      <c r="Z75" s="709">
        <f t="shared" si="26"/>
        <v>0</v>
      </c>
      <c r="AA75" s="709">
        <f t="shared" si="26"/>
        <v>0</v>
      </c>
      <c r="AB75" s="709">
        <f t="shared" si="26"/>
        <v>0</v>
      </c>
      <c r="AC75" s="709">
        <f t="shared" si="26"/>
        <v>0</v>
      </c>
      <c r="AD75" s="709">
        <f t="shared" si="26"/>
        <v>0</v>
      </c>
      <c r="AE75" s="709">
        <f t="shared" si="26"/>
        <v>0</v>
      </c>
      <c r="AF75" s="709">
        <f t="shared" si="26"/>
        <v>0</v>
      </c>
      <c r="AG75" s="709">
        <f t="shared" si="26"/>
        <v>0</v>
      </c>
      <c r="AH75" s="709">
        <f t="shared" si="26"/>
        <v>0</v>
      </c>
      <c r="AI75" s="709">
        <f t="shared" si="26"/>
        <v>0</v>
      </c>
      <c r="AJ75" s="709">
        <f t="shared" si="26"/>
        <v>0</v>
      </c>
      <c r="AK75" s="709">
        <f t="shared" si="26"/>
        <v>0</v>
      </c>
      <c r="AL75" s="709">
        <f t="shared" si="26"/>
        <v>0</v>
      </c>
      <c r="AM75" s="709">
        <f t="shared" si="26"/>
        <v>0</v>
      </c>
      <c r="AN75" s="709">
        <f t="shared" si="26"/>
        <v>0</v>
      </c>
      <c r="AO75" s="709">
        <f t="shared" si="26"/>
        <v>0</v>
      </c>
      <c r="AP75" s="709">
        <f>SUM(AP62:AP74)</f>
        <v>-7628136</v>
      </c>
      <c r="AQ75" s="351"/>
      <c r="AR75" s="351"/>
      <c r="AS75" s="351"/>
      <c r="AT75" s="351"/>
      <c r="AU75" s="351"/>
    </row>
    <row r="76" spans="1:47" s="704" customFormat="1" ht="42.75" customHeight="1">
      <c r="A76" s="735"/>
      <c r="B76" s="736" t="s">
        <v>982</v>
      </c>
      <c r="C76" s="737">
        <f>C10+C26+C27+C42+C48+C61+C75</f>
        <v>132</v>
      </c>
      <c r="D76" s="737"/>
      <c r="E76" s="737">
        <f t="shared" ref="E76:AP76" si="27">E10+E26+E27+E42+E48+E61+E75</f>
        <v>75</v>
      </c>
      <c r="F76" s="737"/>
      <c r="G76" s="737"/>
      <c r="H76" s="737"/>
      <c r="I76" s="737"/>
      <c r="J76" s="737"/>
      <c r="K76" s="737"/>
      <c r="L76" s="737"/>
      <c r="M76" s="737"/>
      <c r="N76" s="737">
        <f t="shared" si="27"/>
        <v>39369265</v>
      </c>
      <c r="O76" s="737">
        <f t="shared" si="27"/>
        <v>51177734.200000003</v>
      </c>
      <c r="P76" s="737">
        <f t="shared" si="27"/>
        <v>28334391</v>
      </c>
      <c r="Q76" s="737">
        <f t="shared" si="27"/>
        <v>118881390.2</v>
      </c>
      <c r="R76" s="737">
        <f t="shared" si="27"/>
        <v>21000</v>
      </c>
      <c r="S76" s="737">
        <f t="shared" si="27"/>
        <v>13620</v>
      </c>
      <c r="T76" s="737">
        <f t="shared" si="27"/>
        <v>3000</v>
      </c>
      <c r="U76" s="737">
        <f t="shared" si="27"/>
        <v>51540</v>
      </c>
      <c r="V76" s="737">
        <f t="shared" si="27"/>
        <v>137477</v>
      </c>
      <c r="W76" s="737">
        <f>W10+W26+W27+W42+W48+W61+W75</f>
        <v>33373</v>
      </c>
      <c r="X76" s="738">
        <f>W76/V76*100</f>
        <v>24.275333328484034</v>
      </c>
      <c r="Y76" s="737">
        <f t="shared" si="27"/>
        <v>143.6</v>
      </c>
      <c r="Z76" s="737">
        <f t="shared" si="27"/>
        <v>27257.4</v>
      </c>
      <c r="AA76" s="737">
        <f t="shared" si="27"/>
        <v>411.1</v>
      </c>
      <c r="AB76" s="737">
        <f t="shared" si="27"/>
        <v>5015.6000000000004</v>
      </c>
      <c r="AC76" s="737">
        <f t="shared" si="27"/>
        <v>124.6</v>
      </c>
      <c r="AD76" s="737">
        <f t="shared" si="27"/>
        <v>4095.6</v>
      </c>
      <c r="AE76" s="737">
        <f t="shared" si="27"/>
        <v>84.8</v>
      </c>
      <c r="AF76" s="737">
        <f t="shared" si="27"/>
        <v>2241.6</v>
      </c>
      <c r="AG76" s="737">
        <f t="shared" si="27"/>
        <v>2741200</v>
      </c>
      <c r="AH76" s="737">
        <f t="shared" si="27"/>
        <v>3785988.7</v>
      </c>
      <c r="AI76" s="737">
        <f t="shared" si="27"/>
        <v>703500</v>
      </c>
      <c r="AJ76" s="737">
        <f t="shared" si="27"/>
        <v>10651480</v>
      </c>
      <c r="AK76" s="737">
        <f t="shared" si="27"/>
        <v>3159200</v>
      </c>
      <c r="AL76" s="737">
        <f t="shared" si="27"/>
        <v>53193600</v>
      </c>
      <c r="AM76" s="737">
        <f t="shared" si="27"/>
        <v>4618350</v>
      </c>
      <c r="AN76" s="737">
        <f t="shared" si="27"/>
        <v>5919480</v>
      </c>
      <c r="AO76" s="737">
        <f t="shared" si="27"/>
        <v>67910630</v>
      </c>
      <c r="AP76" s="737">
        <f t="shared" si="27"/>
        <v>-53508286.200000003</v>
      </c>
    </row>
  </sheetData>
  <mergeCells count="89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O3:AO4"/>
    <mergeCell ref="AP3:AP4"/>
    <mergeCell ref="M3:M4"/>
    <mergeCell ref="N3:N4"/>
    <mergeCell ref="O3:O4"/>
    <mergeCell ref="P3:P4"/>
    <mergeCell ref="Q3:Q4"/>
    <mergeCell ref="V3:X3"/>
    <mergeCell ref="F8:F9"/>
    <mergeCell ref="Y3:AB3"/>
    <mergeCell ref="AC3:AF3"/>
    <mergeCell ref="AG3:AJ3"/>
    <mergeCell ref="AK3:AN3"/>
    <mergeCell ref="B7:B9"/>
    <mergeCell ref="C7:C9"/>
    <mergeCell ref="A8:A9"/>
    <mergeCell ref="D8:D9"/>
    <mergeCell ref="E8:E9"/>
    <mergeCell ref="R8:R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AD8:AD9"/>
    <mergeCell ref="S8:S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P8:AP9"/>
    <mergeCell ref="AE8:AE9"/>
    <mergeCell ref="AF8:AF9"/>
    <mergeCell ref="AG8:AG9"/>
    <mergeCell ref="AH8:AH9"/>
    <mergeCell ref="AI8:AI9"/>
    <mergeCell ref="AJ8:AJ9"/>
    <mergeCell ref="AK8:AK9"/>
    <mergeCell ref="AL8:AL9"/>
    <mergeCell ref="AM8:AM9"/>
    <mergeCell ref="AN8:AN9"/>
    <mergeCell ref="AO8:AO9"/>
    <mergeCell ref="B11:B25"/>
    <mergeCell ref="C11:C25"/>
    <mergeCell ref="V11:V25"/>
    <mergeCell ref="A26:B26"/>
    <mergeCell ref="B43:B47"/>
    <mergeCell ref="C43:C47"/>
    <mergeCell ref="V43:V47"/>
    <mergeCell ref="B62:B74"/>
    <mergeCell ref="C62:C74"/>
    <mergeCell ref="W43:W47"/>
    <mergeCell ref="X43:X47"/>
    <mergeCell ref="B49:B60"/>
    <mergeCell ref="C49:C60"/>
    <mergeCell ref="V49:V60"/>
    <mergeCell ref="A61:B61"/>
  </mergeCells>
  <pageMargins left="0.22" right="0.2" top="0.4" bottom="0.17" header="0.3" footer="0.17"/>
  <pageSetup scale="6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7AB77-1E1B-4B23-95D0-0B793CF368F5}">
  <dimension ref="A1:AZ204"/>
  <sheetViews>
    <sheetView topLeftCell="A69" zoomScale="70" zoomScaleNormal="70" workbookViewId="0">
      <selection activeCell="M77" sqref="M77"/>
    </sheetView>
  </sheetViews>
  <sheetFormatPr defaultRowHeight="13.5"/>
  <cols>
    <col min="1" max="1" width="4.7109375" style="50" customWidth="1"/>
    <col min="2" max="2" width="15.140625" style="50" customWidth="1"/>
    <col min="3" max="3" width="9.5703125" style="50" customWidth="1"/>
    <col min="4" max="4" width="20.85546875" style="50" customWidth="1"/>
    <col min="5" max="5" width="9.5703125" style="50" customWidth="1"/>
    <col min="6" max="6" width="14" style="50" customWidth="1"/>
    <col min="7" max="7" width="13.28515625" style="50" customWidth="1"/>
    <col min="8" max="8" width="11.85546875" style="50" customWidth="1"/>
    <col min="9" max="11" width="9.5703125" style="50" customWidth="1"/>
    <col min="12" max="12" width="25.7109375" style="50" customWidth="1"/>
    <col min="13" max="13" width="9.5703125" style="50" customWidth="1"/>
    <col min="14" max="14" width="12.42578125" style="50" customWidth="1"/>
    <col min="15" max="16" width="9.5703125" style="50" customWidth="1"/>
    <col min="17" max="17" width="14.28515625" style="50" customWidth="1"/>
    <col min="18" max="32" width="10.42578125" style="50" customWidth="1"/>
    <col min="33" max="36" width="10.5703125" style="117" customWidth="1"/>
    <col min="37" max="41" width="11" style="50" customWidth="1"/>
    <col min="42" max="42" width="12.85546875" style="50" customWidth="1"/>
    <col min="43" max="43" width="8.85546875" style="50" customWidth="1"/>
    <col min="44" max="44" width="9.28515625" style="50" customWidth="1"/>
    <col min="45" max="45" width="4.140625" style="50" customWidth="1"/>
    <col min="46" max="46" width="6.5703125" style="50" customWidth="1"/>
    <col min="47" max="47" width="5.42578125" style="50" customWidth="1"/>
    <col min="48" max="48" width="5" style="50" customWidth="1"/>
    <col min="49" max="49" width="8" style="50" customWidth="1"/>
    <col min="50" max="50" width="5" style="50" customWidth="1"/>
    <col min="51" max="51" width="6.140625" style="50" customWidth="1"/>
    <col min="52" max="52" width="4.28515625" style="50" customWidth="1"/>
    <col min="53" max="53" width="36.7109375" style="50" customWidth="1"/>
    <col min="54" max="16384" width="9.140625" style="50"/>
  </cols>
  <sheetData>
    <row r="1" spans="1:52" ht="62.25" customHeight="1" thickBot="1">
      <c r="A1" s="1002" t="s">
        <v>997</v>
      </c>
      <c r="B1" s="1002"/>
      <c r="C1" s="1002"/>
      <c r="D1" s="1002"/>
      <c r="E1" s="1002"/>
      <c r="F1" s="1002"/>
      <c r="G1" s="1002"/>
      <c r="H1" s="1002"/>
      <c r="I1" s="1002"/>
      <c r="J1" s="1002"/>
      <c r="K1" s="1002"/>
      <c r="L1" s="1002"/>
      <c r="M1" s="1002"/>
      <c r="N1" s="1002"/>
      <c r="O1" s="1002"/>
      <c r="P1" s="1002"/>
      <c r="Q1" s="1002"/>
      <c r="R1" s="1002"/>
      <c r="S1" s="1002"/>
      <c r="T1" s="1002"/>
      <c r="U1" s="1002"/>
      <c r="V1" s="1002"/>
      <c r="W1" s="1002"/>
      <c r="X1" s="1002"/>
      <c r="Y1" s="1002"/>
      <c r="Z1" s="1002"/>
      <c r="AA1" s="1002"/>
      <c r="AB1" s="1002"/>
      <c r="AC1" s="1002"/>
      <c r="AD1" s="1002"/>
      <c r="AE1" s="1002"/>
      <c r="AF1" s="1002"/>
      <c r="AG1" s="1002"/>
      <c r="AH1" s="1002"/>
      <c r="AI1" s="1002"/>
      <c r="AJ1" s="1002"/>
      <c r="AK1" s="1002"/>
      <c r="AL1" s="1002"/>
      <c r="AM1" s="1002"/>
      <c r="AN1" s="1002"/>
      <c r="AO1" s="1002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</row>
    <row r="2" spans="1:52" ht="57" customHeight="1">
      <c r="A2" s="887" t="s">
        <v>0</v>
      </c>
      <c r="B2" s="880" t="s">
        <v>1</v>
      </c>
      <c r="C2" s="891" t="s">
        <v>2</v>
      </c>
      <c r="D2" s="880" t="s">
        <v>3</v>
      </c>
      <c r="E2" s="880"/>
      <c r="F2" s="880"/>
      <c r="G2" s="880"/>
      <c r="H2" s="880"/>
      <c r="I2" s="902" t="s">
        <v>4</v>
      </c>
      <c r="J2" s="902"/>
      <c r="K2" s="902"/>
      <c r="L2" s="902"/>
      <c r="M2" s="902"/>
      <c r="N2" s="908" t="s">
        <v>5</v>
      </c>
      <c r="O2" s="908"/>
      <c r="P2" s="908"/>
      <c r="Q2" s="908"/>
      <c r="R2" s="893" t="s">
        <v>6</v>
      </c>
      <c r="S2" s="893"/>
      <c r="T2" s="893"/>
      <c r="U2" s="893"/>
      <c r="V2" s="902" t="s">
        <v>7</v>
      </c>
      <c r="W2" s="902"/>
      <c r="X2" s="902"/>
      <c r="Y2" s="880" t="s">
        <v>8</v>
      </c>
      <c r="Z2" s="880"/>
      <c r="AA2" s="880"/>
      <c r="AB2" s="880"/>
      <c r="AC2" s="880"/>
      <c r="AD2" s="880"/>
      <c r="AE2" s="880"/>
      <c r="AF2" s="880"/>
      <c r="AG2" s="902" t="s">
        <v>9</v>
      </c>
      <c r="AH2" s="902"/>
      <c r="AI2" s="902"/>
      <c r="AJ2" s="902"/>
      <c r="AK2" s="902"/>
      <c r="AL2" s="902"/>
      <c r="AM2" s="902"/>
      <c r="AN2" s="902"/>
      <c r="AO2" s="902"/>
      <c r="AP2" s="903"/>
      <c r="AQ2" s="74"/>
      <c r="AR2" s="74"/>
      <c r="AS2" s="74"/>
      <c r="AT2" s="74"/>
      <c r="AU2" s="74"/>
      <c r="AV2" s="74"/>
    </row>
    <row r="3" spans="1:52" ht="136.5" customHeight="1">
      <c r="A3" s="888"/>
      <c r="B3" s="873"/>
      <c r="C3" s="882"/>
      <c r="D3" s="882" t="s">
        <v>10</v>
      </c>
      <c r="E3" s="873" t="s">
        <v>11</v>
      </c>
      <c r="F3" s="904" t="s">
        <v>12</v>
      </c>
      <c r="G3" s="905" t="s">
        <v>13</v>
      </c>
      <c r="H3" s="906" t="s">
        <v>117</v>
      </c>
      <c r="I3" s="905" t="s">
        <v>14</v>
      </c>
      <c r="J3" s="905" t="s">
        <v>15</v>
      </c>
      <c r="K3" s="905" t="s">
        <v>16</v>
      </c>
      <c r="L3" s="905" t="s">
        <v>17</v>
      </c>
      <c r="M3" s="899" t="s">
        <v>18</v>
      </c>
      <c r="N3" s="900" t="s">
        <v>19</v>
      </c>
      <c r="O3" s="900" t="s">
        <v>20</v>
      </c>
      <c r="P3" s="900" t="s">
        <v>21</v>
      </c>
      <c r="Q3" s="901" t="s">
        <v>22</v>
      </c>
      <c r="R3" s="894"/>
      <c r="S3" s="894"/>
      <c r="T3" s="894"/>
      <c r="U3" s="894"/>
      <c r="V3" s="899" t="s">
        <v>23</v>
      </c>
      <c r="W3" s="899"/>
      <c r="X3" s="899"/>
      <c r="Y3" s="873" t="s">
        <v>118</v>
      </c>
      <c r="Z3" s="873"/>
      <c r="AA3" s="873"/>
      <c r="AB3" s="873"/>
      <c r="AC3" s="873" t="s">
        <v>24</v>
      </c>
      <c r="AD3" s="873"/>
      <c r="AE3" s="873"/>
      <c r="AF3" s="873"/>
      <c r="AG3" s="874" t="s">
        <v>25</v>
      </c>
      <c r="AH3" s="874"/>
      <c r="AI3" s="874"/>
      <c r="AJ3" s="874"/>
      <c r="AK3" s="896" t="s">
        <v>26</v>
      </c>
      <c r="AL3" s="896"/>
      <c r="AM3" s="896"/>
      <c r="AN3" s="896"/>
      <c r="AO3" s="897" t="s">
        <v>22</v>
      </c>
      <c r="AP3" s="898" t="s">
        <v>27</v>
      </c>
      <c r="AQ3" s="81"/>
      <c r="AR3" s="81"/>
      <c r="AS3" s="81"/>
      <c r="AT3" s="81"/>
      <c r="AU3" s="81"/>
      <c r="AV3" s="81"/>
    </row>
    <row r="4" spans="1:52" ht="93.75" customHeight="1">
      <c r="A4" s="888"/>
      <c r="B4" s="873"/>
      <c r="C4" s="882"/>
      <c r="D4" s="882"/>
      <c r="E4" s="873"/>
      <c r="F4" s="904"/>
      <c r="G4" s="905"/>
      <c r="H4" s="906"/>
      <c r="I4" s="905"/>
      <c r="J4" s="905"/>
      <c r="K4" s="905"/>
      <c r="L4" s="905"/>
      <c r="M4" s="899"/>
      <c r="N4" s="900"/>
      <c r="O4" s="900"/>
      <c r="P4" s="900"/>
      <c r="Q4" s="901"/>
      <c r="R4" s="82" t="s">
        <v>28</v>
      </c>
      <c r="S4" s="82" t="s">
        <v>29</v>
      </c>
      <c r="T4" s="82" t="s">
        <v>30</v>
      </c>
      <c r="U4" s="82" t="s">
        <v>31</v>
      </c>
      <c r="V4" s="80" t="s">
        <v>119</v>
      </c>
      <c r="W4" s="80" t="s">
        <v>33</v>
      </c>
      <c r="X4" s="80" t="s">
        <v>34</v>
      </c>
      <c r="Y4" s="83" t="s">
        <v>35</v>
      </c>
      <c r="Z4" s="83" t="s">
        <v>36</v>
      </c>
      <c r="AA4" s="83" t="s">
        <v>37</v>
      </c>
      <c r="AB4" s="83" t="s">
        <v>18</v>
      </c>
      <c r="AC4" s="83" t="s">
        <v>35</v>
      </c>
      <c r="AD4" s="83" t="s">
        <v>36</v>
      </c>
      <c r="AE4" s="83" t="s">
        <v>37</v>
      </c>
      <c r="AF4" s="83" t="s">
        <v>18</v>
      </c>
      <c r="AG4" s="84" t="s">
        <v>35</v>
      </c>
      <c r="AH4" s="84" t="s">
        <v>36</v>
      </c>
      <c r="AI4" s="84" t="s">
        <v>37</v>
      </c>
      <c r="AJ4" s="85" t="s">
        <v>31</v>
      </c>
      <c r="AK4" s="86" t="s">
        <v>35</v>
      </c>
      <c r="AL4" s="86" t="s">
        <v>36</v>
      </c>
      <c r="AM4" s="86" t="s">
        <v>37</v>
      </c>
      <c r="AN4" s="87" t="s">
        <v>31</v>
      </c>
      <c r="AO4" s="897"/>
      <c r="AP4" s="898"/>
      <c r="AQ4" s="88"/>
      <c r="AR4" s="88"/>
      <c r="AS4" s="81"/>
      <c r="AT4" s="88"/>
      <c r="AU4" s="88"/>
      <c r="AV4" s="88"/>
    </row>
    <row r="5" spans="1:52" ht="30.75" customHeight="1" thickBot="1">
      <c r="A5" s="889"/>
      <c r="B5" s="890"/>
      <c r="C5" s="89" t="s">
        <v>38</v>
      </c>
      <c r="D5" s="883"/>
      <c r="E5" s="89" t="s">
        <v>38</v>
      </c>
      <c r="F5" s="90"/>
      <c r="G5" s="90"/>
      <c r="H5" s="91"/>
      <c r="I5" s="19"/>
      <c r="J5" s="19"/>
      <c r="K5" s="20"/>
      <c r="L5" s="19"/>
      <c r="M5" s="19"/>
      <c r="N5" s="23" t="s">
        <v>39</v>
      </c>
      <c r="O5" s="23" t="s">
        <v>39</v>
      </c>
      <c r="P5" s="23" t="s">
        <v>39</v>
      </c>
      <c r="Q5" s="24" t="s">
        <v>39</v>
      </c>
      <c r="R5" s="92" t="s">
        <v>40</v>
      </c>
      <c r="S5" s="92" t="s">
        <v>40</v>
      </c>
      <c r="T5" s="92" t="s">
        <v>40</v>
      </c>
      <c r="U5" s="92" t="s">
        <v>40</v>
      </c>
      <c r="V5" s="19" t="s">
        <v>41</v>
      </c>
      <c r="W5" s="19" t="s">
        <v>38</v>
      </c>
      <c r="X5" s="19" t="s">
        <v>34</v>
      </c>
      <c r="Y5" s="93" t="s">
        <v>42</v>
      </c>
      <c r="Z5" s="93" t="s">
        <v>43</v>
      </c>
      <c r="AA5" s="93" t="s">
        <v>44</v>
      </c>
      <c r="AB5" s="93"/>
      <c r="AC5" s="93" t="s">
        <v>42</v>
      </c>
      <c r="AD5" s="93" t="s">
        <v>43</v>
      </c>
      <c r="AE5" s="93" t="s">
        <v>44</v>
      </c>
      <c r="AF5" s="93"/>
      <c r="AG5" s="94" t="s">
        <v>40</v>
      </c>
      <c r="AH5" s="94" t="s">
        <v>40</v>
      </c>
      <c r="AI5" s="94" t="s">
        <v>40</v>
      </c>
      <c r="AJ5" s="94" t="s">
        <v>40</v>
      </c>
      <c r="AK5" s="95" t="s">
        <v>40</v>
      </c>
      <c r="AL5" s="95" t="s">
        <v>40</v>
      </c>
      <c r="AM5" s="95" t="s">
        <v>40</v>
      </c>
      <c r="AN5" s="27" t="s">
        <v>39</v>
      </c>
      <c r="AO5" s="28" t="s">
        <v>39</v>
      </c>
      <c r="AP5" s="96" t="s">
        <v>39</v>
      </c>
      <c r="AQ5" s="1"/>
      <c r="AR5" s="1"/>
      <c r="AS5" s="1"/>
      <c r="AT5" s="1"/>
      <c r="AU5" s="1"/>
      <c r="AV5" s="1"/>
    </row>
    <row r="6" spans="1:52" ht="19.5" customHeight="1" thickBot="1">
      <c r="A6" s="97">
        <v>1</v>
      </c>
      <c r="B6" s="29">
        <v>2</v>
      </c>
      <c r="C6" s="98">
        <v>3</v>
      </c>
      <c r="D6" s="29">
        <v>4</v>
      </c>
      <c r="E6" s="98">
        <v>5</v>
      </c>
      <c r="F6" s="29">
        <v>6</v>
      </c>
      <c r="G6" s="98">
        <v>7</v>
      </c>
      <c r="H6" s="99">
        <v>8</v>
      </c>
      <c r="I6" s="98">
        <v>9</v>
      </c>
      <c r="J6" s="29">
        <v>10</v>
      </c>
      <c r="K6" s="98">
        <v>11</v>
      </c>
      <c r="L6" s="29">
        <v>12</v>
      </c>
      <c r="M6" s="98">
        <v>13</v>
      </c>
      <c r="N6" s="100">
        <v>14</v>
      </c>
      <c r="O6" s="101">
        <v>15</v>
      </c>
      <c r="P6" s="100">
        <v>16</v>
      </c>
      <c r="Q6" s="102">
        <v>17</v>
      </c>
      <c r="R6" s="103">
        <v>18</v>
      </c>
      <c r="S6" s="104">
        <v>19</v>
      </c>
      <c r="T6" s="103">
        <v>20</v>
      </c>
      <c r="U6" s="104">
        <v>21</v>
      </c>
      <c r="V6" s="29">
        <v>22</v>
      </c>
      <c r="W6" s="98">
        <v>23</v>
      </c>
      <c r="X6" s="29">
        <v>24</v>
      </c>
      <c r="Y6" s="98">
        <v>25</v>
      </c>
      <c r="Z6" s="29">
        <v>26</v>
      </c>
      <c r="AA6" s="98">
        <v>27</v>
      </c>
      <c r="AB6" s="29">
        <v>28</v>
      </c>
      <c r="AC6" s="98">
        <v>29</v>
      </c>
      <c r="AD6" s="29">
        <v>30</v>
      </c>
      <c r="AE6" s="98">
        <v>31</v>
      </c>
      <c r="AF6" s="29">
        <v>32</v>
      </c>
      <c r="AG6" s="105">
        <v>33</v>
      </c>
      <c r="AH6" s="106">
        <v>34</v>
      </c>
      <c r="AI6" s="105">
        <v>35</v>
      </c>
      <c r="AJ6" s="106">
        <v>36</v>
      </c>
      <c r="AK6" s="107">
        <v>37</v>
      </c>
      <c r="AL6" s="108">
        <v>38</v>
      </c>
      <c r="AM6" s="107">
        <v>39</v>
      </c>
      <c r="AN6" s="108">
        <v>40</v>
      </c>
      <c r="AO6" s="109">
        <v>41</v>
      </c>
      <c r="AP6" s="110">
        <v>42</v>
      </c>
      <c r="AQ6" s="2"/>
      <c r="AR6" s="5"/>
      <c r="AS6" s="2"/>
      <c r="AT6" s="5"/>
      <c r="AU6" s="2"/>
      <c r="AV6" s="111"/>
    </row>
    <row r="7" spans="1:52" ht="128.25" customHeight="1" thickBot="1">
      <c r="A7" s="540">
        <v>1</v>
      </c>
      <c r="B7" s="859" t="s">
        <v>448</v>
      </c>
      <c r="C7" s="859">
        <v>5</v>
      </c>
      <c r="D7" s="48" t="s">
        <v>449</v>
      </c>
      <c r="E7" s="47">
        <v>1</v>
      </c>
      <c r="F7" s="277">
        <v>44007</v>
      </c>
      <c r="G7" s="48" t="s">
        <v>450</v>
      </c>
      <c r="H7" s="132" t="s">
        <v>998</v>
      </c>
      <c r="I7" s="52"/>
      <c r="J7" s="52"/>
      <c r="K7" s="52"/>
      <c r="L7" s="278" t="s">
        <v>451</v>
      </c>
      <c r="M7" s="52"/>
      <c r="N7" s="55">
        <v>307980</v>
      </c>
      <c r="O7" s="55">
        <v>146600</v>
      </c>
      <c r="P7" s="55">
        <v>0</v>
      </c>
      <c r="Q7" s="56">
        <f>N7+O7+P7</f>
        <v>454580</v>
      </c>
      <c r="R7" s="57"/>
      <c r="S7" s="57"/>
      <c r="T7" s="57">
        <v>300</v>
      </c>
      <c r="U7" s="57"/>
      <c r="V7" s="859">
        <v>20923</v>
      </c>
      <c r="W7" s="52">
        <v>521</v>
      </c>
      <c r="X7" s="52">
        <f>W7/V7*100</f>
        <v>2.4900826841275152</v>
      </c>
      <c r="Y7" s="52"/>
      <c r="Z7" s="52"/>
      <c r="AA7" s="52">
        <v>350</v>
      </c>
      <c r="AB7" s="52"/>
      <c r="AC7" s="52"/>
      <c r="AD7" s="52"/>
      <c r="AE7" s="52">
        <v>350</v>
      </c>
      <c r="AF7" s="52"/>
      <c r="AG7" s="58"/>
      <c r="AH7" s="58"/>
      <c r="AI7" s="58">
        <v>100800</v>
      </c>
      <c r="AJ7" s="58"/>
      <c r="AK7" s="59">
        <f>R7*Y7</f>
        <v>0</v>
      </c>
      <c r="AL7" s="59">
        <f t="shared" ref="AL7:AN12" si="0">S7*Z7</f>
        <v>0</v>
      </c>
      <c r="AM7" s="59">
        <v>100800</v>
      </c>
      <c r="AN7" s="59">
        <v>120000</v>
      </c>
      <c r="AO7" s="13">
        <f>AK7+AL7+AM7+AN7</f>
        <v>220800</v>
      </c>
      <c r="AP7" s="60">
        <f>AO7-Q7</f>
        <v>-233780</v>
      </c>
      <c r="AQ7" s="1"/>
      <c r="AR7" s="1"/>
      <c r="AS7" s="1"/>
      <c r="AT7" s="1"/>
      <c r="AU7" s="1"/>
      <c r="AV7" s="1"/>
    </row>
    <row r="8" spans="1:52" ht="121.5" customHeight="1" thickBot="1">
      <c r="A8" s="540">
        <v>2</v>
      </c>
      <c r="B8" s="866"/>
      <c r="C8" s="866"/>
      <c r="D8" s="48" t="s">
        <v>452</v>
      </c>
      <c r="E8" s="47">
        <v>1</v>
      </c>
      <c r="F8" s="277">
        <v>44007</v>
      </c>
      <c r="G8" s="48" t="s">
        <v>453</v>
      </c>
      <c r="H8" s="132" t="s">
        <v>998</v>
      </c>
      <c r="I8" s="52"/>
      <c r="J8" s="52"/>
      <c r="K8" s="52"/>
      <c r="L8" s="278" t="s">
        <v>451</v>
      </c>
      <c r="M8" s="52"/>
      <c r="N8" s="55">
        <v>307980</v>
      </c>
      <c r="O8" s="55">
        <v>112701</v>
      </c>
      <c r="P8" s="55">
        <v>0</v>
      </c>
      <c r="Q8" s="56">
        <f>N8+O8+P8</f>
        <v>420681</v>
      </c>
      <c r="R8" s="57"/>
      <c r="S8" s="57"/>
      <c r="T8" s="57"/>
      <c r="U8" s="57"/>
      <c r="V8" s="866"/>
      <c r="W8" s="52"/>
      <c r="X8" s="52"/>
      <c r="Y8" s="52"/>
      <c r="Z8" s="52"/>
      <c r="AA8" s="52">
        <v>1980</v>
      </c>
      <c r="AB8" s="52"/>
      <c r="AC8" s="52"/>
      <c r="AD8" s="52"/>
      <c r="AE8" s="52">
        <v>1980</v>
      </c>
      <c r="AF8" s="52"/>
      <c r="AG8" s="58"/>
      <c r="AH8" s="58"/>
      <c r="AI8" s="58"/>
      <c r="AJ8" s="58"/>
      <c r="AK8" s="59"/>
      <c r="AL8" s="59"/>
      <c r="AM8" s="59">
        <f t="shared" si="0"/>
        <v>0</v>
      </c>
      <c r="AN8" s="59">
        <v>150000</v>
      </c>
      <c r="AO8" s="13">
        <f>AK8+AL8+AM8+AN8</f>
        <v>150000</v>
      </c>
      <c r="AP8" s="60">
        <f>AO8-Q8</f>
        <v>-270681</v>
      </c>
      <c r="AQ8" s="1"/>
      <c r="AR8" s="1"/>
      <c r="AS8" s="1"/>
      <c r="AT8" s="1"/>
      <c r="AU8" s="1"/>
      <c r="AV8" s="1"/>
    </row>
    <row r="9" spans="1:52" ht="132.75" customHeight="1" thickBot="1">
      <c r="A9" s="540">
        <v>3</v>
      </c>
      <c r="B9" s="866"/>
      <c r="C9" s="866"/>
      <c r="D9" s="48" t="s">
        <v>454</v>
      </c>
      <c r="E9" s="47">
        <v>1</v>
      </c>
      <c r="F9" s="277">
        <v>44085</v>
      </c>
      <c r="G9" s="48" t="s">
        <v>455</v>
      </c>
      <c r="H9" s="132" t="s">
        <v>998</v>
      </c>
      <c r="I9" s="52"/>
      <c r="J9" s="52"/>
      <c r="K9" s="52"/>
      <c r="L9" s="278" t="s">
        <v>451</v>
      </c>
      <c r="M9" s="52"/>
      <c r="N9" s="55">
        <v>0</v>
      </c>
      <c r="O9" s="55">
        <v>0</v>
      </c>
      <c r="P9" s="55">
        <v>0</v>
      </c>
      <c r="Q9" s="56">
        <f>N9+O9+P9</f>
        <v>0</v>
      </c>
      <c r="R9" s="57"/>
      <c r="S9" s="57"/>
      <c r="T9" s="57"/>
      <c r="U9" s="57"/>
      <c r="V9" s="866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8"/>
      <c r="AH9" s="58"/>
      <c r="AI9" s="58"/>
      <c r="AJ9" s="58"/>
      <c r="AK9" s="59"/>
      <c r="AL9" s="59"/>
      <c r="AM9" s="59"/>
      <c r="AN9" s="59">
        <v>900000</v>
      </c>
      <c r="AO9" s="13">
        <f>AK9+AL9+AM9+AN9</f>
        <v>900000</v>
      </c>
      <c r="AP9" s="60">
        <f>AO9-Q9</f>
        <v>900000</v>
      </c>
      <c r="AQ9" s="1"/>
      <c r="AR9" s="1"/>
      <c r="AS9" s="1"/>
      <c r="AT9" s="1"/>
      <c r="AU9" s="1"/>
      <c r="AV9" s="1"/>
    </row>
    <row r="10" spans="1:52" ht="118.5" customHeight="1" thickBot="1">
      <c r="A10" s="540">
        <v>4</v>
      </c>
      <c r="B10" s="866"/>
      <c r="C10" s="866"/>
      <c r="D10" s="48" t="s">
        <v>456</v>
      </c>
      <c r="E10" s="47">
        <v>1</v>
      </c>
      <c r="F10" s="277">
        <v>43842</v>
      </c>
      <c r="G10" s="48" t="s">
        <v>457</v>
      </c>
      <c r="H10" s="132" t="s">
        <v>998</v>
      </c>
      <c r="I10" s="52"/>
      <c r="J10" s="52"/>
      <c r="K10" s="52"/>
      <c r="L10" s="278" t="s">
        <v>451</v>
      </c>
      <c r="M10" s="52"/>
      <c r="N10" s="55">
        <v>660000</v>
      </c>
      <c r="O10" s="55">
        <v>340000</v>
      </c>
      <c r="P10" s="55">
        <v>0</v>
      </c>
      <c r="Q10" s="56">
        <f>N10+O10+P10</f>
        <v>1000000</v>
      </c>
      <c r="R10" s="57"/>
      <c r="S10" s="57"/>
      <c r="T10" s="57"/>
      <c r="U10" s="57">
        <v>8500</v>
      </c>
      <c r="V10" s="866"/>
      <c r="W10" s="52"/>
      <c r="X10" s="52"/>
      <c r="Y10" s="52"/>
      <c r="Z10" s="52"/>
      <c r="AA10" s="52"/>
      <c r="AB10" s="52">
        <v>722500</v>
      </c>
      <c r="AC10" s="52"/>
      <c r="AD10" s="52"/>
      <c r="AE10" s="52"/>
      <c r="AF10" s="52"/>
      <c r="AG10" s="58"/>
      <c r="AH10" s="58"/>
      <c r="AI10" s="58"/>
      <c r="AJ10" s="58"/>
      <c r="AK10" s="59"/>
      <c r="AL10" s="59"/>
      <c r="AM10" s="59"/>
      <c r="AN10" s="59">
        <v>935000</v>
      </c>
      <c r="AO10" s="13">
        <f>AK10+AL10+AM10+AN10</f>
        <v>935000</v>
      </c>
      <c r="AP10" s="60">
        <f>AO10-Q10</f>
        <v>-65000</v>
      </c>
      <c r="AQ10" s="1"/>
      <c r="AR10" s="1"/>
      <c r="AS10" s="1"/>
      <c r="AT10" s="1"/>
      <c r="AU10" s="1"/>
      <c r="AV10" s="1"/>
    </row>
    <row r="11" spans="1:52" ht="108" customHeight="1" thickBot="1">
      <c r="A11" s="540">
        <v>5</v>
      </c>
      <c r="B11" s="866"/>
      <c r="C11" s="866"/>
      <c r="D11" s="48" t="s">
        <v>458</v>
      </c>
      <c r="E11" s="47">
        <v>1</v>
      </c>
      <c r="F11" s="277">
        <v>45357</v>
      </c>
      <c r="G11" s="48" t="s">
        <v>459</v>
      </c>
      <c r="H11" s="132" t="s">
        <v>998</v>
      </c>
      <c r="I11" s="52"/>
      <c r="J11" s="52"/>
      <c r="K11" s="52"/>
      <c r="L11" s="278" t="s">
        <v>460</v>
      </c>
      <c r="M11" s="52"/>
      <c r="N11" s="55">
        <v>0</v>
      </c>
      <c r="O11" s="55">
        <v>0</v>
      </c>
      <c r="P11" s="55">
        <v>0</v>
      </c>
      <c r="Q11" s="56">
        <f t="shared" ref="Q11:Q12" si="1">N11+O11+P11</f>
        <v>0</v>
      </c>
      <c r="R11" s="57"/>
      <c r="S11" s="57"/>
      <c r="T11" s="57"/>
      <c r="U11" s="57"/>
      <c r="V11" s="866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8"/>
      <c r="AH11" s="58"/>
      <c r="AI11" s="58"/>
      <c r="AJ11" s="58"/>
      <c r="AK11" s="59">
        <f t="shared" ref="AK11:AK12" si="2">R11*Y11</f>
        <v>0</v>
      </c>
      <c r="AL11" s="59">
        <f t="shared" si="0"/>
        <v>0</v>
      </c>
      <c r="AM11" s="59">
        <f t="shared" si="0"/>
        <v>0</v>
      </c>
      <c r="AN11" s="59">
        <f t="shared" si="0"/>
        <v>0</v>
      </c>
      <c r="AO11" s="13">
        <f t="shared" ref="AO11:AO12" si="3">AK11+AL11+AM11+AN11</f>
        <v>0</v>
      </c>
      <c r="AP11" s="60">
        <f t="shared" ref="AP11:AP12" si="4">AO11-Q11</f>
        <v>0</v>
      </c>
      <c r="AQ11" s="1"/>
      <c r="AR11" s="1"/>
      <c r="AS11" s="1"/>
      <c r="AT11" s="1"/>
      <c r="AU11" s="1"/>
      <c r="AV11" s="1"/>
    </row>
    <row r="12" spans="1:52" ht="118.5" customHeight="1" thickBot="1">
      <c r="A12" s="540">
        <v>6</v>
      </c>
      <c r="B12" s="955"/>
      <c r="C12" s="955"/>
      <c r="D12" s="364" t="s">
        <v>461</v>
      </c>
      <c r="E12" s="310">
        <v>1</v>
      </c>
      <c r="F12" s="742">
        <v>45366</v>
      </c>
      <c r="G12" s="364" t="s">
        <v>462</v>
      </c>
      <c r="H12" s="132" t="s">
        <v>998</v>
      </c>
      <c r="I12" s="112"/>
      <c r="J12" s="112"/>
      <c r="K12" s="112"/>
      <c r="L12" s="278" t="s">
        <v>463</v>
      </c>
      <c r="M12" s="112"/>
      <c r="N12" s="113">
        <v>75000</v>
      </c>
      <c r="O12" s="113">
        <v>115900</v>
      </c>
      <c r="P12" s="113">
        <v>0</v>
      </c>
      <c r="Q12" s="630">
        <f t="shared" si="1"/>
        <v>190900</v>
      </c>
      <c r="R12" s="114"/>
      <c r="S12" s="114"/>
      <c r="T12" s="114"/>
      <c r="U12" s="114"/>
      <c r="V12" s="955"/>
      <c r="W12" s="112"/>
      <c r="X12" s="112"/>
      <c r="Y12" s="112"/>
      <c r="Z12" s="112"/>
      <c r="AA12" s="112">
        <v>600</v>
      </c>
      <c r="AB12" s="112"/>
      <c r="AC12" s="112"/>
      <c r="AD12" s="112"/>
      <c r="AE12" s="112"/>
      <c r="AF12" s="112"/>
      <c r="AG12" s="115"/>
      <c r="AH12" s="115"/>
      <c r="AI12" s="115"/>
      <c r="AJ12" s="115"/>
      <c r="AK12" s="135">
        <f t="shared" si="2"/>
        <v>0</v>
      </c>
      <c r="AL12" s="135">
        <f t="shared" si="0"/>
        <v>0</v>
      </c>
      <c r="AM12" s="135">
        <f t="shared" si="0"/>
        <v>0</v>
      </c>
      <c r="AN12" s="135">
        <v>150000</v>
      </c>
      <c r="AO12" s="72">
        <f t="shared" si="3"/>
        <v>150000</v>
      </c>
      <c r="AP12" s="342">
        <f t="shared" si="4"/>
        <v>-40900</v>
      </c>
      <c r="AQ12" s="1"/>
      <c r="AR12" s="1"/>
      <c r="AS12" s="1"/>
      <c r="AT12" s="1"/>
      <c r="AU12" s="1"/>
      <c r="AV12" s="1"/>
    </row>
    <row r="13" spans="1:52" ht="26.25" customHeight="1" thickBot="1">
      <c r="A13" s="136"/>
      <c r="B13" s="137" t="s">
        <v>115</v>
      </c>
      <c r="C13" s="137">
        <f>SUM(C7:C12)</f>
        <v>5</v>
      </c>
      <c r="D13" s="137"/>
      <c r="E13" s="137">
        <f t="shared" ref="E13:AP13" si="5">SUM(E7:E12)</f>
        <v>6</v>
      </c>
      <c r="F13" s="137"/>
      <c r="G13" s="137"/>
      <c r="H13" s="137"/>
      <c r="I13" s="137"/>
      <c r="J13" s="137"/>
      <c r="K13" s="137"/>
      <c r="L13" s="137"/>
      <c r="M13" s="139"/>
      <c r="N13" s="140">
        <f t="shared" si="5"/>
        <v>1350960</v>
      </c>
      <c r="O13" s="141">
        <f t="shared" si="5"/>
        <v>715201</v>
      </c>
      <c r="P13" s="137">
        <f t="shared" si="5"/>
        <v>0</v>
      </c>
      <c r="Q13" s="137">
        <f t="shared" si="5"/>
        <v>2066161</v>
      </c>
      <c r="R13" s="137">
        <f t="shared" si="5"/>
        <v>0</v>
      </c>
      <c r="S13" s="137">
        <f t="shared" si="5"/>
        <v>0</v>
      </c>
      <c r="T13" s="137">
        <f t="shared" si="5"/>
        <v>300</v>
      </c>
      <c r="U13" s="137">
        <f t="shared" si="5"/>
        <v>8500</v>
      </c>
      <c r="V13" s="137">
        <f t="shared" si="5"/>
        <v>20923</v>
      </c>
      <c r="W13" s="137">
        <f t="shared" si="5"/>
        <v>521</v>
      </c>
      <c r="X13" s="137">
        <f t="shared" si="5"/>
        <v>2.4900826841275152</v>
      </c>
      <c r="Y13" s="137">
        <f t="shared" si="5"/>
        <v>0</v>
      </c>
      <c r="Z13" s="137">
        <f t="shared" si="5"/>
        <v>0</v>
      </c>
      <c r="AA13" s="137">
        <f t="shared" si="5"/>
        <v>2930</v>
      </c>
      <c r="AB13" s="137">
        <f t="shared" si="5"/>
        <v>722500</v>
      </c>
      <c r="AC13" s="137">
        <f t="shared" si="5"/>
        <v>0</v>
      </c>
      <c r="AD13" s="137">
        <f t="shared" si="5"/>
        <v>0</v>
      </c>
      <c r="AE13" s="137">
        <f t="shared" si="5"/>
        <v>2330</v>
      </c>
      <c r="AF13" s="137">
        <f t="shared" si="5"/>
        <v>0</v>
      </c>
      <c r="AG13" s="137">
        <f t="shared" si="5"/>
        <v>0</v>
      </c>
      <c r="AH13" s="137">
        <f t="shared" si="5"/>
        <v>0</v>
      </c>
      <c r="AI13" s="137">
        <f t="shared" si="5"/>
        <v>100800</v>
      </c>
      <c r="AJ13" s="137">
        <f t="shared" si="5"/>
        <v>0</v>
      </c>
      <c r="AK13" s="137">
        <f t="shared" si="5"/>
        <v>0</v>
      </c>
      <c r="AL13" s="137">
        <f t="shared" si="5"/>
        <v>0</v>
      </c>
      <c r="AM13" s="137">
        <f t="shared" si="5"/>
        <v>100800</v>
      </c>
      <c r="AN13" s="137">
        <f t="shared" si="5"/>
        <v>2255000</v>
      </c>
      <c r="AO13" s="137">
        <f t="shared" si="5"/>
        <v>2355800</v>
      </c>
      <c r="AP13" s="211">
        <f t="shared" si="5"/>
        <v>289639</v>
      </c>
      <c r="AQ13" s="1"/>
    </row>
    <row r="14" spans="1:52" ht="55.5" customHeight="1" thickBot="1">
      <c r="A14" s="97">
        <v>1</v>
      </c>
      <c r="B14" s="943" t="s">
        <v>331</v>
      </c>
      <c r="C14" s="859" t="s">
        <v>132</v>
      </c>
      <c r="D14" s="220" t="s">
        <v>332</v>
      </c>
      <c r="E14" s="31">
        <v>1</v>
      </c>
      <c r="F14" s="221" t="s">
        <v>333</v>
      </c>
      <c r="G14" s="220" t="s">
        <v>334</v>
      </c>
      <c r="H14" s="222" t="s">
        <v>127</v>
      </c>
      <c r="I14" s="221" t="s">
        <v>335</v>
      </c>
      <c r="J14" s="220" t="s">
        <v>336</v>
      </c>
      <c r="K14" s="221" t="s">
        <v>335</v>
      </c>
      <c r="L14" s="221" t="s">
        <v>335</v>
      </c>
      <c r="M14" s="221" t="s">
        <v>335</v>
      </c>
      <c r="N14" s="129">
        <v>1400000</v>
      </c>
      <c r="O14" s="129">
        <v>971360</v>
      </c>
      <c r="P14" s="129">
        <v>605600</v>
      </c>
      <c r="Q14" s="223">
        <f>N14+O14+P14</f>
        <v>2976960</v>
      </c>
      <c r="R14" s="224">
        <v>0</v>
      </c>
      <c r="S14" s="224">
        <v>10000</v>
      </c>
      <c r="T14" s="224">
        <v>0</v>
      </c>
      <c r="U14" s="224">
        <v>6000</v>
      </c>
      <c r="V14" s="999">
        <v>13101</v>
      </c>
      <c r="W14" s="221">
        <v>11</v>
      </c>
      <c r="X14" s="221">
        <f>W14/V14*100</f>
        <v>8.3963056255247692E-2</v>
      </c>
      <c r="Y14" s="221">
        <v>0</v>
      </c>
      <c r="Z14" s="225">
        <v>640</v>
      </c>
      <c r="AA14" s="225">
        <v>148</v>
      </c>
      <c r="AB14" s="221">
        <v>0</v>
      </c>
      <c r="AC14" s="221">
        <v>0</v>
      </c>
      <c r="AD14" s="221">
        <v>72</v>
      </c>
      <c r="AE14" s="221">
        <v>0</v>
      </c>
      <c r="AF14" s="221">
        <v>0</v>
      </c>
      <c r="AG14" s="226">
        <v>0</v>
      </c>
      <c r="AH14" s="226">
        <v>0</v>
      </c>
      <c r="AI14" s="226">
        <v>0</v>
      </c>
      <c r="AJ14" s="227"/>
      <c r="AK14" s="228">
        <f>R14*Y14</f>
        <v>0</v>
      </c>
      <c r="AL14" s="228"/>
      <c r="AM14" s="228">
        <f t="shared" ref="AM14" si="6">T14*AA14</f>
        <v>0</v>
      </c>
      <c r="AN14" s="228">
        <v>367500</v>
      </c>
      <c r="AO14" s="229">
        <f>AK14+AL14+AM14+AN14</f>
        <v>367500</v>
      </c>
      <c r="AP14" s="230">
        <f>AO14-Q14</f>
        <v>-2609460</v>
      </c>
      <c r="AQ14" s="2"/>
      <c r="AR14" s="5"/>
      <c r="AS14" s="2"/>
      <c r="AT14" s="5"/>
      <c r="AU14" s="2"/>
      <c r="AV14" s="111"/>
    </row>
    <row r="15" spans="1:52" ht="54.75" customHeight="1" thickBot="1">
      <c r="A15" s="97">
        <v>2</v>
      </c>
      <c r="B15" s="944"/>
      <c r="C15" s="866"/>
      <c r="D15" s="231" t="s">
        <v>337</v>
      </c>
      <c r="E15" s="31">
        <v>1</v>
      </c>
      <c r="F15" s="232" t="s">
        <v>338</v>
      </c>
      <c r="G15" s="231" t="s">
        <v>339</v>
      </c>
      <c r="H15" s="233" t="s">
        <v>127</v>
      </c>
      <c r="I15" s="232" t="s">
        <v>335</v>
      </c>
      <c r="J15" s="220" t="s">
        <v>336</v>
      </c>
      <c r="K15" s="232" t="s">
        <v>335</v>
      </c>
      <c r="L15" s="232" t="s">
        <v>335</v>
      </c>
      <c r="M15" s="232" t="s">
        <v>335</v>
      </c>
      <c r="N15" s="129">
        <v>2400000</v>
      </c>
      <c r="O15" s="129">
        <v>3183280</v>
      </c>
      <c r="P15" s="129">
        <v>315150</v>
      </c>
      <c r="Q15" s="217">
        <f>N15+O15+P15</f>
        <v>5898430</v>
      </c>
      <c r="R15" s="234">
        <v>0</v>
      </c>
      <c r="S15" s="234">
        <v>0</v>
      </c>
      <c r="T15" s="234">
        <v>0</v>
      </c>
      <c r="U15" s="235">
        <v>50</v>
      </c>
      <c r="V15" s="1000"/>
      <c r="W15" s="232">
        <v>1280</v>
      </c>
      <c r="X15" s="232">
        <f>W15/V14*100</f>
        <v>9.7702465460651844</v>
      </c>
      <c r="Y15" s="232">
        <v>0</v>
      </c>
      <c r="Z15" s="236">
        <v>0</v>
      </c>
      <c r="AA15" s="236">
        <v>0</v>
      </c>
      <c r="AB15" s="231">
        <v>0</v>
      </c>
      <c r="AC15" s="232">
        <v>0</v>
      </c>
      <c r="AD15" s="232">
        <v>0</v>
      </c>
      <c r="AE15" s="232">
        <v>0</v>
      </c>
      <c r="AF15" s="231">
        <v>6720</v>
      </c>
      <c r="AG15" s="237">
        <v>0</v>
      </c>
      <c r="AH15" s="237">
        <v>0</v>
      </c>
      <c r="AI15" s="237">
        <v>0</v>
      </c>
      <c r="AJ15" s="11">
        <v>1158240</v>
      </c>
      <c r="AK15" s="238">
        <f t="shared" ref="AK15:AL15" si="7">R15*Y15</f>
        <v>0</v>
      </c>
      <c r="AL15" s="238">
        <f t="shared" si="7"/>
        <v>0</v>
      </c>
      <c r="AM15" s="238">
        <v>0</v>
      </c>
      <c r="AN15" s="238">
        <v>0</v>
      </c>
      <c r="AO15" s="218">
        <f t="shared" ref="AO15" si="8">AK15+AL15+AM15+AN15</f>
        <v>0</v>
      </c>
      <c r="AP15" s="230">
        <f>AO15-Q15</f>
        <v>-5898430</v>
      </c>
      <c r="AQ15" s="2"/>
      <c r="AR15" s="5"/>
      <c r="AS15" s="2"/>
      <c r="AT15" s="5"/>
      <c r="AU15" s="2"/>
      <c r="AV15" s="111"/>
    </row>
    <row r="16" spans="1:52" ht="80.25" customHeight="1" thickBot="1">
      <c r="A16" s="97">
        <v>3</v>
      </c>
      <c r="B16" s="944"/>
      <c r="C16" s="866"/>
      <c r="D16" s="231" t="s">
        <v>340</v>
      </c>
      <c r="E16" s="31">
        <v>1</v>
      </c>
      <c r="F16" s="232" t="s">
        <v>341</v>
      </c>
      <c r="G16" s="231" t="s">
        <v>342</v>
      </c>
      <c r="H16" s="233" t="s">
        <v>127</v>
      </c>
      <c r="I16" s="232" t="s">
        <v>335</v>
      </c>
      <c r="J16" s="220" t="s">
        <v>336</v>
      </c>
      <c r="K16" s="232" t="s">
        <v>335</v>
      </c>
      <c r="L16" s="232" t="s">
        <v>335</v>
      </c>
      <c r="M16" s="232" t="s">
        <v>335</v>
      </c>
      <c r="N16" s="129">
        <v>2592000</v>
      </c>
      <c r="O16" s="129">
        <v>492400</v>
      </c>
      <c r="P16" s="129">
        <v>263200</v>
      </c>
      <c r="Q16" s="217">
        <f>N16+O16+P16</f>
        <v>3347600</v>
      </c>
      <c r="R16" s="234" t="s">
        <v>132</v>
      </c>
      <c r="S16" s="234">
        <v>0</v>
      </c>
      <c r="T16" s="234">
        <v>0</v>
      </c>
      <c r="U16" s="234">
        <v>0</v>
      </c>
      <c r="V16" s="1000"/>
      <c r="W16" s="236">
        <v>30</v>
      </c>
      <c r="X16" s="232">
        <v>0.23277467399999999</v>
      </c>
      <c r="Y16" s="236">
        <v>0</v>
      </c>
      <c r="Z16" s="236">
        <v>0</v>
      </c>
      <c r="AA16" s="236">
        <v>2640</v>
      </c>
      <c r="AB16" s="236">
        <v>0</v>
      </c>
      <c r="AC16" s="236">
        <v>0</v>
      </c>
      <c r="AD16" s="236">
        <v>0</v>
      </c>
      <c r="AE16" s="236">
        <v>0</v>
      </c>
      <c r="AF16" s="236">
        <v>0</v>
      </c>
      <c r="AG16" s="237">
        <v>0</v>
      </c>
      <c r="AH16" s="237">
        <v>0</v>
      </c>
      <c r="AI16" s="237">
        <v>0</v>
      </c>
      <c r="AJ16" s="11">
        <v>0</v>
      </c>
      <c r="AK16" s="238">
        <v>0</v>
      </c>
      <c r="AL16" s="238">
        <v>0</v>
      </c>
      <c r="AM16" s="238">
        <v>0</v>
      </c>
      <c r="AN16" s="238">
        <v>0</v>
      </c>
      <c r="AO16" s="218">
        <v>0</v>
      </c>
      <c r="AP16" s="230">
        <f>AO16-Q16</f>
        <v>-3347600</v>
      </c>
      <c r="AQ16" s="2"/>
      <c r="AR16" s="5"/>
      <c r="AS16" s="2"/>
      <c r="AT16" s="5"/>
      <c r="AU16" s="2"/>
      <c r="AV16" s="111"/>
    </row>
    <row r="17" spans="1:48" ht="58.5" customHeight="1" thickBot="1">
      <c r="A17" s="97">
        <v>4</v>
      </c>
      <c r="B17" s="944"/>
      <c r="C17" s="866"/>
      <c r="D17" s="239" t="s">
        <v>343</v>
      </c>
      <c r="E17" s="31">
        <v>1</v>
      </c>
      <c r="F17" s="240" t="s">
        <v>344</v>
      </c>
      <c r="G17" s="239" t="s">
        <v>345</v>
      </c>
      <c r="H17" s="241" t="s">
        <v>127</v>
      </c>
      <c r="I17" s="240" t="s">
        <v>335</v>
      </c>
      <c r="J17" s="220" t="s">
        <v>336</v>
      </c>
      <c r="K17" s="240" t="s">
        <v>335</v>
      </c>
      <c r="L17" s="240" t="s">
        <v>335</v>
      </c>
      <c r="M17" s="240" t="s">
        <v>335</v>
      </c>
      <c r="N17" s="129">
        <v>0</v>
      </c>
      <c r="O17" s="129">
        <v>0</v>
      </c>
      <c r="P17" s="129">
        <v>0</v>
      </c>
      <c r="Q17" s="242">
        <f t="shared" ref="Q17:Q20" si="9">N17+O17+P17</f>
        <v>0</v>
      </c>
      <c r="R17" s="243">
        <v>0</v>
      </c>
      <c r="S17" s="243">
        <v>0</v>
      </c>
      <c r="T17" s="243">
        <v>0</v>
      </c>
      <c r="U17" s="244">
        <v>0</v>
      </c>
      <c r="V17" s="1000"/>
      <c r="W17" s="240">
        <v>0</v>
      </c>
      <c r="X17" s="240">
        <v>0</v>
      </c>
      <c r="Y17" s="240">
        <v>0</v>
      </c>
      <c r="Z17" s="245">
        <v>0</v>
      </c>
      <c r="AA17" s="245">
        <v>0</v>
      </c>
      <c r="AB17" s="240">
        <v>0</v>
      </c>
      <c r="AC17" s="240">
        <v>0</v>
      </c>
      <c r="AD17" s="240">
        <v>0</v>
      </c>
      <c r="AE17" s="240">
        <v>0</v>
      </c>
      <c r="AF17" s="240">
        <v>0</v>
      </c>
      <c r="AG17" s="246">
        <v>0</v>
      </c>
      <c r="AH17" s="246">
        <v>0</v>
      </c>
      <c r="AI17" s="246">
        <v>0</v>
      </c>
      <c r="AJ17" s="26">
        <v>0</v>
      </c>
      <c r="AK17" s="247">
        <f t="shared" ref="AK17:AM22" si="10">R17*Y17</f>
        <v>0</v>
      </c>
      <c r="AL17" s="247">
        <f t="shared" si="10"/>
        <v>0</v>
      </c>
      <c r="AM17" s="247"/>
      <c r="AN17" s="247">
        <f t="shared" ref="AN17" si="11">U17*AB17</f>
        <v>0</v>
      </c>
      <c r="AO17" s="248">
        <f t="shared" ref="AO17" si="12">AK17+AL17+AM17+AN17</f>
        <v>0</v>
      </c>
      <c r="AP17" s="249">
        <f>AO17-Q17</f>
        <v>0</v>
      </c>
      <c r="AQ17" s="2"/>
      <c r="AR17" s="5"/>
      <c r="AS17" s="2"/>
      <c r="AT17" s="5"/>
      <c r="AU17" s="2"/>
      <c r="AV17" s="111"/>
    </row>
    <row r="18" spans="1:48" ht="51.75" customHeight="1" thickBot="1">
      <c r="A18" s="97">
        <v>2</v>
      </c>
      <c r="B18" s="944"/>
      <c r="C18" s="866"/>
      <c r="D18" s="239" t="s">
        <v>346</v>
      </c>
      <c r="E18" s="31">
        <v>1</v>
      </c>
      <c r="F18" s="250" t="s">
        <v>347</v>
      </c>
      <c r="G18" s="239" t="s">
        <v>348</v>
      </c>
      <c r="H18" s="241" t="s">
        <v>127</v>
      </c>
      <c r="I18" s="240" t="s">
        <v>335</v>
      </c>
      <c r="J18" s="220" t="s">
        <v>336</v>
      </c>
      <c r="K18" s="240" t="s">
        <v>335</v>
      </c>
      <c r="L18" s="240" t="s">
        <v>335</v>
      </c>
      <c r="M18" s="240" t="s">
        <v>335</v>
      </c>
      <c r="N18" s="129">
        <v>2660000</v>
      </c>
      <c r="O18" s="129">
        <v>1389000</v>
      </c>
      <c r="P18" s="129">
        <v>126000</v>
      </c>
      <c r="Q18" s="251">
        <f t="shared" si="9"/>
        <v>4175000</v>
      </c>
      <c r="R18" s="252">
        <v>0</v>
      </c>
      <c r="S18" s="252">
        <v>0</v>
      </c>
      <c r="T18" s="252">
        <v>0</v>
      </c>
      <c r="U18" s="253">
        <v>100</v>
      </c>
      <c r="V18" s="1000"/>
      <c r="W18" s="250">
        <v>2560</v>
      </c>
      <c r="X18" s="250">
        <v>19.863438856999998</v>
      </c>
      <c r="Y18" s="250">
        <v>0</v>
      </c>
      <c r="Z18" s="254">
        <v>0</v>
      </c>
      <c r="AA18" s="254">
        <v>0</v>
      </c>
      <c r="AB18" s="250">
        <v>0</v>
      </c>
      <c r="AC18" s="250">
        <v>0</v>
      </c>
      <c r="AD18" s="250">
        <v>0</v>
      </c>
      <c r="AE18" s="250">
        <v>2210</v>
      </c>
      <c r="AF18" s="250">
        <v>0</v>
      </c>
      <c r="AG18" s="255">
        <v>0</v>
      </c>
      <c r="AH18" s="255">
        <v>0</v>
      </c>
      <c r="AI18" s="255">
        <v>0</v>
      </c>
      <c r="AJ18" s="145">
        <v>2316480</v>
      </c>
      <c r="AK18" s="256">
        <v>0</v>
      </c>
      <c r="AL18" s="256">
        <v>0</v>
      </c>
      <c r="AM18" s="256">
        <v>0</v>
      </c>
      <c r="AN18" s="256">
        <v>0</v>
      </c>
      <c r="AO18" s="257">
        <v>0</v>
      </c>
      <c r="AP18" s="249">
        <f t="shared" ref="AP18:AP21" si="13">AO18-Q18</f>
        <v>-4175000</v>
      </c>
      <c r="AQ18" s="2"/>
      <c r="AR18" s="5"/>
      <c r="AS18" s="2"/>
      <c r="AT18" s="5"/>
      <c r="AU18" s="2"/>
      <c r="AV18" s="111"/>
    </row>
    <row r="19" spans="1:48" ht="41.25" customHeight="1" thickBot="1">
      <c r="A19" s="97">
        <v>6</v>
      </c>
      <c r="B19" s="944"/>
      <c r="C19" s="866"/>
      <c r="D19" s="258" t="s">
        <v>349</v>
      </c>
      <c r="E19" s="31">
        <v>1</v>
      </c>
      <c r="F19" s="259" t="s">
        <v>350</v>
      </c>
      <c r="G19" s="66" t="s">
        <v>351</v>
      </c>
      <c r="H19" s="142" t="s">
        <v>352</v>
      </c>
      <c r="I19" s="39" t="s">
        <v>335</v>
      </c>
      <c r="J19" s="220" t="s">
        <v>336</v>
      </c>
      <c r="K19" s="39" t="s">
        <v>335</v>
      </c>
      <c r="L19" s="39" t="s">
        <v>335</v>
      </c>
      <c r="M19" s="39" t="s">
        <v>335</v>
      </c>
      <c r="N19" s="129">
        <v>1950000</v>
      </c>
      <c r="O19" s="129">
        <v>2192270</v>
      </c>
      <c r="P19" s="129">
        <v>672800</v>
      </c>
      <c r="Q19" s="70">
        <f t="shared" si="9"/>
        <v>4815070</v>
      </c>
      <c r="R19" s="252">
        <v>0</v>
      </c>
      <c r="S19" s="252">
        <v>0</v>
      </c>
      <c r="T19" s="252">
        <v>0</v>
      </c>
      <c r="U19" s="68">
        <v>50</v>
      </c>
      <c r="V19" s="1000"/>
      <c r="W19" s="250">
        <v>1920</v>
      </c>
      <c r="X19" s="250">
        <v>14.897579143</v>
      </c>
      <c r="Y19" s="250">
        <v>0</v>
      </c>
      <c r="Z19" s="254">
        <v>0</v>
      </c>
      <c r="AA19" s="254">
        <v>0</v>
      </c>
      <c r="AB19" s="250">
        <v>0</v>
      </c>
      <c r="AC19" s="250">
        <v>0</v>
      </c>
      <c r="AD19" s="250">
        <v>0</v>
      </c>
      <c r="AE19" s="250">
        <v>5270</v>
      </c>
      <c r="AF19" s="250">
        <v>0</v>
      </c>
      <c r="AG19" s="255">
        <v>0</v>
      </c>
      <c r="AH19" s="255">
        <v>0</v>
      </c>
      <c r="AI19" s="255">
        <v>0</v>
      </c>
      <c r="AJ19" s="145">
        <v>1737360</v>
      </c>
      <c r="AK19" s="256">
        <v>0</v>
      </c>
      <c r="AL19" s="256">
        <v>0</v>
      </c>
      <c r="AM19" s="256">
        <v>0</v>
      </c>
      <c r="AN19" s="256">
        <v>0</v>
      </c>
      <c r="AO19" s="257">
        <v>0</v>
      </c>
      <c r="AP19" s="249">
        <f t="shared" si="13"/>
        <v>-4815070</v>
      </c>
      <c r="AQ19" s="2"/>
      <c r="AR19" s="5"/>
      <c r="AS19" s="2"/>
      <c r="AT19" s="5"/>
      <c r="AU19" s="2"/>
      <c r="AV19" s="111"/>
    </row>
    <row r="20" spans="1:48" ht="47.25" customHeight="1">
      <c r="A20" s="97">
        <v>7</v>
      </c>
      <c r="B20" s="944"/>
      <c r="C20" s="866"/>
      <c r="D20" s="258" t="s">
        <v>349</v>
      </c>
      <c r="E20" s="31">
        <v>1</v>
      </c>
      <c r="F20" s="260" t="s">
        <v>353</v>
      </c>
      <c r="G20" s="66" t="s">
        <v>354</v>
      </c>
      <c r="H20" s="142" t="s">
        <v>352</v>
      </c>
      <c r="I20" s="39" t="s">
        <v>335</v>
      </c>
      <c r="J20" s="220" t="s">
        <v>336</v>
      </c>
      <c r="K20" s="39" t="s">
        <v>335</v>
      </c>
      <c r="L20" s="39" t="s">
        <v>335</v>
      </c>
      <c r="M20" s="39" t="s">
        <v>335</v>
      </c>
      <c r="N20" s="129">
        <v>1534000</v>
      </c>
      <c r="O20" s="129">
        <v>1478000</v>
      </c>
      <c r="P20" s="129">
        <v>698800</v>
      </c>
      <c r="Q20" s="70">
        <f t="shared" si="9"/>
        <v>3710800</v>
      </c>
      <c r="R20" s="252">
        <v>0</v>
      </c>
      <c r="S20" s="252">
        <v>0</v>
      </c>
      <c r="T20" s="252">
        <v>0</v>
      </c>
      <c r="U20" s="68">
        <v>100</v>
      </c>
      <c r="V20" s="1000"/>
      <c r="W20" s="250">
        <v>640</v>
      </c>
      <c r="X20" s="250">
        <v>4.9658597139999996</v>
      </c>
      <c r="Y20" s="250">
        <v>0</v>
      </c>
      <c r="Z20" s="254">
        <v>0</v>
      </c>
      <c r="AA20" s="254">
        <v>0</v>
      </c>
      <c r="AB20" s="250">
        <v>0</v>
      </c>
      <c r="AC20" s="250">
        <v>0</v>
      </c>
      <c r="AD20" s="250">
        <v>0</v>
      </c>
      <c r="AE20" s="250">
        <v>2760</v>
      </c>
      <c r="AF20" s="250">
        <v>0</v>
      </c>
      <c r="AG20" s="255">
        <v>0</v>
      </c>
      <c r="AH20" s="255">
        <v>0</v>
      </c>
      <c r="AI20" s="255">
        <v>0</v>
      </c>
      <c r="AJ20" s="145">
        <v>579120</v>
      </c>
      <c r="AK20" s="256">
        <v>0</v>
      </c>
      <c r="AL20" s="256">
        <v>0</v>
      </c>
      <c r="AM20" s="256">
        <v>0</v>
      </c>
      <c r="AN20" s="256">
        <v>0</v>
      </c>
      <c r="AO20" s="257">
        <v>0</v>
      </c>
      <c r="AP20" s="249">
        <f t="shared" si="13"/>
        <v>-3710800</v>
      </c>
      <c r="AQ20" s="2"/>
      <c r="AR20" s="5"/>
      <c r="AS20" s="2"/>
      <c r="AT20" s="5"/>
      <c r="AU20" s="2"/>
      <c r="AV20" s="111"/>
    </row>
    <row r="21" spans="1:48" ht="47.25" customHeight="1">
      <c r="A21" s="97">
        <v>8</v>
      </c>
      <c r="B21" s="944"/>
      <c r="C21" s="866"/>
      <c r="D21" s="231" t="s">
        <v>355</v>
      </c>
      <c r="E21" s="232">
        <v>1</v>
      </c>
      <c r="F21" s="232" t="s">
        <v>333</v>
      </c>
      <c r="G21" s="231" t="s">
        <v>356</v>
      </c>
      <c r="H21" s="233" t="s">
        <v>127</v>
      </c>
      <c r="I21" s="232" t="s">
        <v>335</v>
      </c>
      <c r="J21" s="231" t="s">
        <v>357</v>
      </c>
      <c r="K21" s="232" t="s">
        <v>335</v>
      </c>
      <c r="L21" s="232" t="s">
        <v>335</v>
      </c>
      <c r="M21" s="232" t="s">
        <v>335</v>
      </c>
      <c r="N21" s="129">
        <v>0</v>
      </c>
      <c r="O21" s="129">
        <v>0</v>
      </c>
      <c r="P21" s="129">
        <v>0</v>
      </c>
      <c r="Q21" s="217">
        <f>N21+O21+P21</f>
        <v>0</v>
      </c>
      <c r="R21" s="234">
        <v>0</v>
      </c>
      <c r="S21" s="234">
        <v>0</v>
      </c>
      <c r="T21" s="234">
        <v>0</v>
      </c>
      <c r="U21" s="234">
        <v>0</v>
      </c>
      <c r="V21" s="1000"/>
      <c r="W21" s="232">
        <v>0</v>
      </c>
      <c r="X21" s="232">
        <v>0</v>
      </c>
      <c r="Y21" s="232">
        <v>0</v>
      </c>
      <c r="Z21" s="232">
        <v>0</v>
      </c>
      <c r="AA21" s="232">
        <v>0</v>
      </c>
      <c r="AB21" s="231">
        <v>0</v>
      </c>
      <c r="AC21" s="232">
        <v>0</v>
      </c>
      <c r="AD21" s="232">
        <v>0</v>
      </c>
      <c r="AE21" s="232">
        <v>0</v>
      </c>
      <c r="AF21" s="232">
        <v>0</v>
      </c>
      <c r="AG21" s="237">
        <v>0</v>
      </c>
      <c r="AH21" s="237">
        <v>0</v>
      </c>
      <c r="AI21" s="237">
        <v>0</v>
      </c>
      <c r="AJ21" s="11">
        <v>0</v>
      </c>
      <c r="AK21" s="238">
        <f t="shared" si="10"/>
        <v>0</v>
      </c>
      <c r="AL21" s="238">
        <f t="shared" si="10"/>
        <v>0</v>
      </c>
      <c r="AM21" s="238">
        <v>0</v>
      </c>
      <c r="AN21" s="238">
        <v>0</v>
      </c>
      <c r="AO21" s="218">
        <v>0</v>
      </c>
      <c r="AP21" s="249">
        <f t="shared" si="13"/>
        <v>0</v>
      </c>
      <c r="AQ21" s="2"/>
      <c r="AR21" s="5"/>
      <c r="AS21" s="2"/>
      <c r="AT21" s="5"/>
      <c r="AU21" s="2"/>
      <c r="AV21" s="111"/>
    </row>
    <row r="22" spans="1:48" ht="60" customHeight="1">
      <c r="A22" s="540">
        <v>9</v>
      </c>
      <c r="B22" s="944"/>
      <c r="C22" s="866"/>
      <c r="D22" s="231" t="s">
        <v>358</v>
      </c>
      <c r="E22" s="232">
        <v>1</v>
      </c>
      <c r="F22" s="232" t="s">
        <v>338</v>
      </c>
      <c r="G22" s="231" t="s">
        <v>359</v>
      </c>
      <c r="H22" s="233" t="s">
        <v>127</v>
      </c>
      <c r="I22" s="232" t="s">
        <v>335</v>
      </c>
      <c r="J22" s="231" t="s">
        <v>360</v>
      </c>
      <c r="K22" s="232" t="s">
        <v>335</v>
      </c>
      <c r="L22" s="232" t="s">
        <v>335</v>
      </c>
      <c r="M22" s="232" t="s">
        <v>335</v>
      </c>
      <c r="N22" s="129">
        <v>0</v>
      </c>
      <c r="O22" s="129">
        <v>0</v>
      </c>
      <c r="P22" s="129">
        <v>150000</v>
      </c>
      <c r="Q22" s="217">
        <v>150000</v>
      </c>
      <c r="R22" s="234">
        <v>0</v>
      </c>
      <c r="S22" s="234">
        <v>0</v>
      </c>
      <c r="T22" s="234">
        <v>0</v>
      </c>
      <c r="U22" s="234">
        <v>0</v>
      </c>
      <c r="V22" s="1000"/>
      <c r="W22" s="232">
        <v>0</v>
      </c>
      <c r="X22" s="232">
        <v>0</v>
      </c>
      <c r="Y22" s="232">
        <v>0</v>
      </c>
      <c r="Z22" s="232">
        <v>0</v>
      </c>
      <c r="AA22" s="232">
        <v>0</v>
      </c>
      <c r="AB22" s="232">
        <v>0</v>
      </c>
      <c r="AC22" s="232">
        <v>0</v>
      </c>
      <c r="AD22" s="232">
        <v>0</v>
      </c>
      <c r="AE22" s="232">
        <v>0</v>
      </c>
      <c r="AF22" s="232">
        <v>0</v>
      </c>
      <c r="AG22" s="237">
        <v>0</v>
      </c>
      <c r="AH22" s="237">
        <v>0</v>
      </c>
      <c r="AI22" s="237">
        <v>0</v>
      </c>
      <c r="AJ22" s="11">
        <v>2310000</v>
      </c>
      <c r="AK22" s="238">
        <f t="shared" si="10"/>
        <v>0</v>
      </c>
      <c r="AL22" s="238">
        <f t="shared" si="10"/>
        <v>0</v>
      </c>
      <c r="AM22" s="238">
        <f t="shared" si="10"/>
        <v>0</v>
      </c>
      <c r="AN22" s="238">
        <v>0</v>
      </c>
      <c r="AO22" s="218">
        <v>0</v>
      </c>
      <c r="AP22" s="249">
        <v>2160000</v>
      </c>
      <c r="AQ22" s="1"/>
      <c r="AR22" s="1"/>
      <c r="AS22" s="1"/>
      <c r="AT22" s="1"/>
      <c r="AU22" s="1"/>
      <c r="AV22" s="1"/>
    </row>
    <row r="23" spans="1:48" ht="59.25" customHeight="1">
      <c r="A23" s="540">
        <v>10</v>
      </c>
      <c r="B23" s="944"/>
      <c r="C23" s="866"/>
      <c r="D23" s="231" t="s">
        <v>361</v>
      </c>
      <c r="E23" s="232">
        <v>4</v>
      </c>
      <c r="F23" s="232" t="s">
        <v>362</v>
      </c>
      <c r="G23" s="231" t="s">
        <v>363</v>
      </c>
      <c r="H23" s="233" t="s">
        <v>127</v>
      </c>
      <c r="I23" s="232" t="s">
        <v>335</v>
      </c>
      <c r="J23" s="231" t="s">
        <v>360</v>
      </c>
      <c r="K23" s="232" t="s">
        <v>335</v>
      </c>
      <c r="L23" s="232" t="s">
        <v>335</v>
      </c>
      <c r="M23" s="232" t="s">
        <v>335</v>
      </c>
      <c r="N23" s="129">
        <v>7361300</v>
      </c>
      <c r="O23" s="129">
        <v>9833300</v>
      </c>
      <c r="P23" s="129">
        <v>2608000</v>
      </c>
      <c r="Q23" s="217">
        <f>SUM(N23:P23)</f>
        <v>19802600</v>
      </c>
      <c r="R23" s="234">
        <v>0</v>
      </c>
      <c r="S23" s="234">
        <v>0</v>
      </c>
      <c r="T23" s="234">
        <v>0</v>
      </c>
      <c r="U23" s="234">
        <v>0</v>
      </c>
      <c r="V23" s="1000"/>
      <c r="W23" s="232">
        <v>1000</v>
      </c>
      <c r="X23" s="232">
        <v>0.77591558000000005</v>
      </c>
      <c r="Y23" s="232">
        <v>0</v>
      </c>
      <c r="Z23" s="232">
        <v>0</v>
      </c>
      <c r="AA23" s="232">
        <v>500</v>
      </c>
      <c r="AB23" s="231">
        <v>0</v>
      </c>
      <c r="AC23" s="232">
        <v>0</v>
      </c>
      <c r="AD23" s="232">
        <v>0</v>
      </c>
      <c r="AE23" s="232">
        <v>0</v>
      </c>
      <c r="AF23" s="232">
        <v>0</v>
      </c>
      <c r="AG23" s="237">
        <v>0</v>
      </c>
      <c r="AH23" s="237">
        <v>0</v>
      </c>
      <c r="AI23" s="237">
        <v>0</v>
      </c>
      <c r="AJ23" s="11">
        <v>5189600</v>
      </c>
      <c r="AK23" s="238">
        <v>0</v>
      </c>
      <c r="AL23" s="238">
        <v>0</v>
      </c>
      <c r="AM23" s="238">
        <v>0</v>
      </c>
      <c r="AN23" s="238">
        <v>0</v>
      </c>
      <c r="AO23" s="218">
        <v>5189600</v>
      </c>
      <c r="AP23" s="249">
        <v>-11738200</v>
      </c>
      <c r="AQ23" s="1"/>
      <c r="AR23" s="1"/>
      <c r="AS23" s="1"/>
      <c r="AT23" s="1"/>
      <c r="AU23" s="1"/>
      <c r="AV23" s="1"/>
    </row>
    <row r="24" spans="1:48" ht="74.25" customHeight="1">
      <c r="A24" s="542">
        <v>11</v>
      </c>
      <c r="B24" s="944"/>
      <c r="C24" s="866"/>
      <c r="D24" s="231" t="s">
        <v>364</v>
      </c>
      <c r="E24" s="232">
        <v>1</v>
      </c>
      <c r="F24" s="261" t="s">
        <v>365</v>
      </c>
      <c r="G24" s="231" t="s">
        <v>366</v>
      </c>
      <c r="H24" s="233" t="s">
        <v>127</v>
      </c>
      <c r="I24" s="232" t="s">
        <v>335</v>
      </c>
      <c r="J24" s="231" t="s">
        <v>360</v>
      </c>
      <c r="K24" s="232" t="s">
        <v>335</v>
      </c>
      <c r="L24" s="232" t="s">
        <v>335</v>
      </c>
      <c r="M24" s="232" t="s">
        <v>335</v>
      </c>
      <c r="N24" s="129">
        <v>1260000</v>
      </c>
      <c r="O24" s="129">
        <v>90700</v>
      </c>
      <c r="P24" s="129">
        <v>91000</v>
      </c>
      <c r="Q24" s="217">
        <f t="shared" ref="Q24:Q37" si="14">N24+O24+P24</f>
        <v>1441700</v>
      </c>
      <c r="R24" s="234">
        <v>0</v>
      </c>
      <c r="S24" s="234">
        <v>0</v>
      </c>
      <c r="T24" s="234">
        <v>0</v>
      </c>
      <c r="U24" s="235">
        <v>0</v>
      </c>
      <c r="V24" s="1000"/>
      <c r="W24" s="232">
        <v>0</v>
      </c>
      <c r="X24" s="232">
        <v>0</v>
      </c>
      <c r="Y24" s="232">
        <v>18</v>
      </c>
      <c r="Z24" s="232">
        <v>0</v>
      </c>
      <c r="AA24" s="232">
        <v>0</v>
      </c>
      <c r="AB24" s="232">
        <v>0</v>
      </c>
      <c r="AC24" s="232">
        <v>0</v>
      </c>
      <c r="AD24" s="232">
        <v>0</v>
      </c>
      <c r="AE24" s="232">
        <v>0</v>
      </c>
      <c r="AF24" s="232">
        <v>0</v>
      </c>
      <c r="AG24" s="237">
        <v>0</v>
      </c>
      <c r="AH24" s="237">
        <v>0</v>
      </c>
      <c r="AI24" s="237">
        <v>0</v>
      </c>
      <c r="AJ24" s="11">
        <v>500000</v>
      </c>
      <c r="AK24" s="238">
        <f t="shared" ref="AK24" si="15">R24*Y24</f>
        <v>0</v>
      </c>
      <c r="AL24" s="238">
        <v>0</v>
      </c>
      <c r="AM24" s="238">
        <f t="shared" ref="AM24:AN25" si="16">T24*AA24</f>
        <v>0</v>
      </c>
      <c r="AN24" s="238">
        <f t="shared" si="16"/>
        <v>0</v>
      </c>
      <c r="AO24" s="218">
        <v>500000</v>
      </c>
      <c r="AP24" s="249">
        <v>-849000</v>
      </c>
      <c r="AQ24" s="1"/>
      <c r="AR24" s="1"/>
      <c r="AS24" s="1"/>
      <c r="AT24" s="1"/>
      <c r="AU24" s="1"/>
      <c r="AV24" s="1"/>
    </row>
    <row r="25" spans="1:48" ht="58.5" customHeight="1" thickBot="1">
      <c r="A25" s="542">
        <v>12</v>
      </c>
      <c r="B25" s="944"/>
      <c r="C25" s="866"/>
      <c r="D25" s="231" t="s">
        <v>364</v>
      </c>
      <c r="E25" s="232">
        <v>2</v>
      </c>
      <c r="F25" s="261" t="s">
        <v>365</v>
      </c>
      <c r="G25" s="231" t="s">
        <v>367</v>
      </c>
      <c r="H25" s="233" t="s">
        <v>127</v>
      </c>
      <c r="I25" s="232" t="s">
        <v>335</v>
      </c>
      <c r="J25" s="231" t="s">
        <v>360</v>
      </c>
      <c r="K25" s="232" t="s">
        <v>335</v>
      </c>
      <c r="L25" s="232" t="s">
        <v>335</v>
      </c>
      <c r="M25" s="232" t="s">
        <v>335</v>
      </c>
      <c r="N25" s="263">
        <v>2520000</v>
      </c>
      <c r="O25" s="263">
        <v>120000</v>
      </c>
      <c r="P25" s="263">
        <v>246700</v>
      </c>
      <c r="Q25" s="217">
        <f t="shared" si="14"/>
        <v>2886700</v>
      </c>
      <c r="R25" s="234">
        <v>0</v>
      </c>
      <c r="S25" s="234">
        <v>0</v>
      </c>
      <c r="T25" s="234">
        <v>0</v>
      </c>
      <c r="U25" s="234">
        <v>0</v>
      </c>
      <c r="V25" s="1000"/>
      <c r="W25" s="232">
        <v>0</v>
      </c>
      <c r="X25" s="232">
        <v>0</v>
      </c>
      <c r="Y25" s="264">
        <v>4</v>
      </c>
      <c r="Z25" s="232">
        <v>0</v>
      </c>
      <c r="AA25" s="232">
        <v>0</v>
      </c>
      <c r="AB25" s="232"/>
      <c r="AC25" s="232">
        <v>0</v>
      </c>
      <c r="AD25" s="232">
        <v>0</v>
      </c>
      <c r="AE25" s="232">
        <v>0</v>
      </c>
      <c r="AF25" s="232">
        <v>0</v>
      </c>
      <c r="AG25" s="237">
        <v>0</v>
      </c>
      <c r="AH25" s="237">
        <v>0</v>
      </c>
      <c r="AI25" s="237">
        <v>0</v>
      </c>
      <c r="AJ25" s="237">
        <v>1000000</v>
      </c>
      <c r="AK25" s="238">
        <f>R25*Y25</f>
        <v>0</v>
      </c>
      <c r="AL25" s="238">
        <f t="shared" ref="AL25:AN33" si="17">S25*Z25</f>
        <v>0</v>
      </c>
      <c r="AM25" s="238">
        <v>0</v>
      </c>
      <c r="AN25" s="238">
        <f t="shared" si="16"/>
        <v>0</v>
      </c>
      <c r="AO25" s="265">
        <v>1000000</v>
      </c>
      <c r="AP25" s="266">
        <v>-156500</v>
      </c>
      <c r="AQ25" s="1"/>
      <c r="AR25" s="1"/>
      <c r="AS25" s="1"/>
      <c r="AT25" s="1"/>
      <c r="AU25" s="1"/>
      <c r="AV25" s="1"/>
    </row>
    <row r="26" spans="1:48" ht="124.5" customHeight="1">
      <c r="A26" s="542">
        <v>13</v>
      </c>
      <c r="B26" s="944"/>
      <c r="C26" s="866"/>
      <c r="D26" s="63" t="s">
        <v>368</v>
      </c>
      <c r="E26" s="51">
        <v>1</v>
      </c>
      <c r="F26" s="51" t="s">
        <v>369</v>
      </c>
      <c r="G26" s="63" t="s">
        <v>370</v>
      </c>
      <c r="H26" s="267" t="s">
        <v>371</v>
      </c>
      <c r="I26" s="268" t="s">
        <v>335</v>
      </c>
      <c r="J26" s="231" t="s">
        <v>360</v>
      </c>
      <c r="K26" s="268" t="s">
        <v>335</v>
      </c>
      <c r="L26" s="268" t="s">
        <v>335</v>
      </c>
      <c r="M26" s="268" t="s">
        <v>335</v>
      </c>
      <c r="N26" s="269">
        <v>420000</v>
      </c>
      <c r="O26" s="263">
        <v>40000</v>
      </c>
      <c r="P26" s="269">
        <v>667000</v>
      </c>
      <c r="Q26" s="213">
        <f t="shared" si="14"/>
        <v>1127000</v>
      </c>
      <c r="R26" s="214">
        <v>0</v>
      </c>
      <c r="S26" s="214">
        <v>0</v>
      </c>
      <c r="T26" s="214">
        <v>0</v>
      </c>
      <c r="U26" s="214">
        <v>14000</v>
      </c>
      <c r="V26" s="1000"/>
      <c r="W26" s="51">
        <v>0</v>
      </c>
      <c r="X26" s="232">
        <v>0</v>
      </c>
      <c r="Y26" s="268">
        <v>0</v>
      </c>
      <c r="Z26" s="268">
        <v>0</v>
      </c>
      <c r="AA26" s="268">
        <v>0</v>
      </c>
      <c r="AB26" s="268">
        <v>0</v>
      </c>
      <c r="AC26" s="268">
        <v>0</v>
      </c>
      <c r="AD26" s="268">
        <v>0</v>
      </c>
      <c r="AE26" s="268">
        <v>0</v>
      </c>
      <c r="AF26" s="268">
        <v>0</v>
      </c>
      <c r="AG26" s="44">
        <v>0</v>
      </c>
      <c r="AH26" s="44">
        <v>0</v>
      </c>
      <c r="AI26" s="44">
        <v>0</v>
      </c>
      <c r="AJ26" s="44">
        <v>866000</v>
      </c>
      <c r="AK26" s="270">
        <f>R26*Y26</f>
        <v>0</v>
      </c>
      <c r="AL26" s="270">
        <f t="shared" si="17"/>
        <v>0</v>
      </c>
      <c r="AM26" s="270">
        <f t="shared" si="17"/>
        <v>0</v>
      </c>
      <c r="AN26" s="270">
        <f>U26*AB26</f>
        <v>0</v>
      </c>
      <c r="AO26" s="271">
        <v>866000</v>
      </c>
      <c r="AP26" s="266">
        <v>-325000</v>
      </c>
      <c r="AQ26" s="1"/>
      <c r="AR26" s="1"/>
      <c r="AS26" s="1"/>
      <c r="AT26" s="1"/>
      <c r="AU26" s="1"/>
      <c r="AV26" s="1"/>
    </row>
    <row r="27" spans="1:48" ht="95.25" customHeight="1">
      <c r="A27" s="542">
        <v>14</v>
      </c>
      <c r="B27" s="944"/>
      <c r="C27" s="866"/>
      <c r="D27" s="231" t="s">
        <v>364</v>
      </c>
      <c r="E27" s="65">
        <v>1</v>
      </c>
      <c r="F27" s="65" t="s">
        <v>369</v>
      </c>
      <c r="G27" s="66" t="s">
        <v>372</v>
      </c>
      <c r="H27" s="142" t="s">
        <v>371</v>
      </c>
      <c r="I27" s="39" t="s">
        <v>335</v>
      </c>
      <c r="J27" s="231" t="s">
        <v>360</v>
      </c>
      <c r="K27" s="39" t="s">
        <v>335</v>
      </c>
      <c r="L27" s="39" t="s">
        <v>335</v>
      </c>
      <c r="M27" s="39" t="s">
        <v>373</v>
      </c>
      <c r="N27" s="269">
        <v>0</v>
      </c>
      <c r="O27" s="269">
        <v>0</v>
      </c>
      <c r="P27" s="269">
        <v>0</v>
      </c>
      <c r="Q27" s="70">
        <f t="shared" si="14"/>
        <v>0</v>
      </c>
      <c r="R27" s="68">
        <v>0</v>
      </c>
      <c r="S27" s="68">
        <v>0</v>
      </c>
      <c r="T27" s="68">
        <v>0</v>
      </c>
      <c r="U27" s="68">
        <v>8000</v>
      </c>
      <c r="V27" s="1000"/>
      <c r="W27" s="65">
        <v>0</v>
      </c>
      <c r="X27" s="232">
        <v>0</v>
      </c>
      <c r="Y27" s="31">
        <v>0</v>
      </c>
      <c r="Z27" s="31">
        <v>0</v>
      </c>
      <c r="AA27" s="31">
        <v>0</v>
      </c>
      <c r="AB27" s="31">
        <v>5</v>
      </c>
      <c r="AC27" s="31">
        <v>0</v>
      </c>
      <c r="AD27" s="31">
        <v>0</v>
      </c>
      <c r="AE27" s="31">
        <v>0</v>
      </c>
      <c r="AF27" s="31">
        <v>5</v>
      </c>
      <c r="AG27" s="44">
        <v>0</v>
      </c>
      <c r="AH27" s="44">
        <v>0</v>
      </c>
      <c r="AI27" s="44">
        <v>0</v>
      </c>
      <c r="AJ27" s="44">
        <v>0</v>
      </c>
      <c r="AK27" s="45">
        <f>R27*Y27</f>
        <v>0</v>
      </c>
      <c r="AL27" s="45">
        <f t="shared" si="17"/>
        <v>0</v>
      </c>
      <c r="AM27" s="45">
        <f t="shared" si="17"/>
        <v>0</v>
      </c>
      <c r="AN27" s="45">
        <v>0</v>
      </c>
      <c r="AO27" s="13">
        <v>0</v>
      </c>
      <c r="AP27" s="266">
        <v>0</v>
      </c>
      <c r="AQ27" s="1"/>
      <c r="AR27" s="1"/>
      <c r="AS27" s="1"/>
      <c r="AT27" s="1"/>
      <c r="AU27" s="1"/>
      <c r="AV27" s="1"/>
    </row>
    <row r="28" spans="1:48" ht="95.25" customHeight="1">
      <c r="A28" s="542">
        <v>15</v>
      </c>
      <c r="B28" s="944"/>
      <c r="C28" s="866"/>
      <c r="D28" s="231" t="s">
        <v>364</v>
      </c>
      <c r="E28" s="65">
        <v>1</v>
      </c>
      <c r="F28" s="65" t="s">
        <v>369</v>
      </c>
      <c r="G28" s="66" t="s">
        <v>374</v>
      </c>
      <c r="H28" s="142" t="s">
        <v>371</v>
      </c>
      <c r="I28" s="39" t="s">
        <v>335</v>
      </c>
      <c r="J28" s="231" t="s">
        <v>360</v>
      </c>
      <c r="K28" s="39" t="s">
        <v>335</v>
      </c>
      <c r="L28" s="39" t="s">
        <v>335</v>
      </c>
      <c r="M28" s="39" t="s">
        <v>335</v>
      </c>
      <c r="N28" s="269">
        <v>0</v>
      </c>
      <c r="O28" s="269">
        <v>0</v>
      </c>
      <c r="P28" s="269">
        <v>0</v>
      </c>
      <c r="Q28" s="70">
        <f t="shared" si="14"/>
        <v>0</v>
      </c>
      <c r="R28" s="68">
        <v>0</v>
      </c>
      <c r="S28" s="68">
        <v>0</v>
      </c>
      <c r="T28" s="68">
        <v>0</v>
      </c>
      <c r="U28" s="68">
        <v>8000</v>
      </c>
      <c r="V28" s="1000"/>
      <c r="W28" s="39">
        <v>0</v>
      </c>
      <c r="X28" s="232">
        <v>0</v>
      </c>
      <c r="Y28" s="39">
        <v>0</v>
      </c>
      <c r="Z28" s="39">
        <v>0</v>
      </c>
      <c r="AA28" s="39">
        <v>0</v>
      </c>
      <c r="AB28" s="39">
        <v>20</v>
      </c>
      <c r="AC28" s="39">
        <v>0</v>
      </c>
      <c r="AD28" s="39">
        <v>0</v>
      </c>
      <c r="AE28" s="39">
        <v>0</v>
      </c>
      <c r="AF28" s="39">
        <v>20</v>
      </c>
      <c r="AG28" s="44">
        <v>0</v>
      </c>
      <c r="AH28" s="44">
        <v>0</v>
      </c>
      <c r="AI28" s="44">
        <v>0</v>
      </c>
      <c r="AJ28" s="44">
        <v>0</v>
      </c>
      <c r="AK28" s="45">
        <f t="shared" ref="AK28:AK30" si="18">R28*Y28</f>
        <v>0</v>
      </c>
      <c r="AL28" s="45">
        <f t="shared" si="17"/>
        <v>0</v>
      </c>
      <c r="AM28" s="45">
        <f t="shared" si="17"/>
        <v>0</v>
      </c>
      <c r="AN28" s="45">
        <v>0</v>
      </c>
      <c r="AO28" s="13">
        <f t="shared" ref="AO28:AO37" si="19">AK28+AL28+AM28+AN28</f>
        <v>0</v>
      </c>
      <c r="AP28" s="266">
        <v>-705000</v>
      </c>
      <c r="AQ28" s="1"/>
      <c r="AR28" s="1"/>
      <c r="AS28" s="1"/>
      <c r="AT28" s="1"/>
      <c r="AU28" s="1"/>
      <c r="AV28" s="1"/>
    </row>
    <row r="29" spans="1:48" ht="95.25" customHeight="1">
      <c r="A29" s="542">
        <v>16</v>
      </c>
      <c r="B29" s="944"/>
      <c r="C29" s="866"/>
      <c r="D29" s="231" t="s">
        <v>364</v>
      </c>
      <c r="E29" s="65">
        <v>1</v>
      </c>
      <c r="F29" s="65" t="s">
        <v>369</v>
      </c>
      <c r="G29" s="66" t="s">
        <v>375</v>
      </c>
      <c r="H29" s="142" t="s">
        <v>371</v>
      </c>
      <c r="I29" s="39" t="s">
        <v>335</v>
      </c>
      <c r="J29" s="231" t="s">
        <v>360</v>
      </c>
      <c r="K29" s="39" t="s">
        <v>335</v>
      </c>
      <c r="L29" s="39" t="s">
        <v>335</v>
      </c>
      <c r="M29" s="39" t="s">
        <v>335</v>
      </c>
      <c r="N29" s="269">
        <v>0</v>
      </c>
      <c r="O29" s="269">
        <v>0</v>
      </c>
      <c r="P29" s="269">
        <v>0</v>
      </c>
      <c r="Q29" s="70">
        <f t="shared" si="14"/>
        <v>0</v>
      </c>
      <c r="R29" s="68">
        <v>0</v>
      </c>
      <c r="S29" s="68">
        <v>0</v>
      </c>
      <c r="T29" s="68">
        <v>0</v>
      </c>
      <c r="U29" s="68">
        <v>0</v>
      </c>
      <c r="V29" s="1000"/>
      <c r="W29" s="39">
        <v>0</v>
      </c>
      <c r="X29" s="232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44">
        <v>0</v>
      </c>
      <c r="AH29" s="44">
        <v>0</v>
      </c>
      <c r="AI29" s="44">
        <v>0</v>
      </c>
      <c r="AJ29" s="44">
        <v>0</v>
      </c>
      <c r="AK29" s="45">
        <f t="shared" si="18"/>
        <v>0</v>
      </c>
      <c r="AL29" s="45">
        <f t="shared" si="17"/>
        <v>0</v>
      </c>
      <c r="AM29" s="45">
        <f t="shared" si="17"/>
        <v>0</v>
      </c>
      <c r="AN29" s="45">
        <f t="shared" si="17"/>
        <v>0</v>
      </c>
      <c r="AO29" s="13"/>
      <c r="AP29" s="266">
        <v>-705000</v>
      </c>
      <c r="AQ29" s="1"/>
      <c r="AR29" s="1"/>
      <c r="AS29" s="1"/>
      <c r="AT29" s="1"/>
      <c r="AU29" s="1"/>
      <c r="AV29" s="1"/>
    </row>
    <row r="30" spans="1:48" ht="135" customHeight="1">
      <c r="A30" s="542">
        <v>17</v>
      </c>
      <c r="B30" s="944"/>
      <c r="C30" s="866"/>
      <c r="D30" s="231" t="s">
        <v>364</v>
      </c>
      <c r="E30" s="65">
        <v>1</v>
      </c>
      <c r="F30" s="65" t="s">
        <v>369</v>
      </c>
      <c r="G30" s="66" t="s">
        <v>376</v>
      </c>
      <c r="H30" s="142" t="s">
        <v>371</v>
      </c>
      <c r="I30" s="39" t="s">
        <v>335</v>
      </c>
      <c r="J30" s="231" t="s">
        <v>360</v>
      </c>
      <c r="K30" s="39" t="s">
        <v>335</v>
      </c>
      <c r="L30" s="39" t="s">
        <v>335</v>
      </c>
      <c r="M30" s="39" t="s">
        <v>335</v>
      </c>
      <c r="N30" s="269">
        <v>0</v>
      </c>
      <c r="O30" s="269">
        <v>0</v>
      </c>
      <c r="P30" s="269">
        <v>0</v>
      </c>
      <c r="Q30" s="70">
        <f t="shared" si="14"/>
        <v>0</v>
      </c>
      <c r="R30" s="68">
        <v>0</v>
      </c>
      <c r="S30" s="68">
        <v>0</v>
      </c>
      <c r="T30" s="68">
        <v>0</v>
      </c>
      <c r="U30" s="68">
        <v>0</v>
      </c>
      <c r="V30" s="1000"/>
      <c r="W30" s="39">
        <v>0</v>
      </c>
      <c r="X30" s="232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44">
        <v>0</v>
      </c>
      <c r="AH30" s="44">
        <v>0</v>
      </c>
      <c r="AI30" s="44">
        <v>0</v>
      </c>
      <c r="AJ30" s="44">
        <v>0</v>
      </c>
      <c r="AK30" s="45">
        <f t="shared" si="18"/>
        <v>0</v>
      </c>
      <c r="AL30" s="45">
        <f t="shared" si="17"/>
        <v>0</v>
      </c>
      <c r="AM30" s="45">
        <f t="shared" si="17"/>
        <v>0</v>
      </c>
      <c r="AN30" s="45">
        <f t="shared" si="17"/>
        <v>0</v>
      </c>
      <c r="AO30" s="13">
        <f t="shared" ref="AO30" si="20">AK30+AL30+AM30+AN30</f>
        <v>0</v>
      </c>
      <c r="AP30" s="266">
        <v>-705000</v>
      </c>
      <c r="AQ30" s="1"/>
      <c r="AR30" s="1"/>
      <c r="AS30" s="1"/>
      <c r="AT30" s="1"/>
      <c r="AU30" s="1"/>
      <c r="AV30" s="1"/>
    </row>
    <row r="31" spans="1:48" ht="133.5" customHeight="1">
      <c r="A31" s="542">
        <v>18</v>
      </c>
      <c r="B31" s="944"/>
      <c r="C31" s="866"/>
      <c r="D31" s="231" t="s">
        <v>364</v>
      </c>
      <c r="E31" s="65">
        <v>1</v>
      </c>
      <c r="F31" s="65" t="s">
        <v>369</v>
      </c>
      <c r="G31" s="66" t="s">
        <v>377</v>
      </c>
      <c r="H31" s="142" t="s">
        <v>371</v>
      </c>
      <c r="I31" s="39" t="s">
        <v>335</v>
      </c>
      <c r="J31" s="231" t="s">
        <v>360</v>
      </c>
      <c r="K31" s="39" t="s">
        <v>335</v>
      </c>
      <c r="L31" s="39" t="s">
        <v>335</v>
      </c>
      <c r="M31" s="39" t="s">
        <v>335</v>
      </c>
      <c r="N31" s="129">
        <v>1260000</v>
      </c>
      <c r="O31" s="129">
        <v>72000</v>
      </c>
      <c r="P31" s="129">
        <v>276000</v>
      </c>
      <c r="Q31" s="217">
        <v>1206000</v>
      </c>
      <c r="R31" s="68">
        <v>0</v>
      </c>
      <c r="S31" s="68">
        <v>0</v>
      </c>
      <c r="T31" s="68">
        <v>0</v>
      </c>
      <c r="U31" s="68">
        <v>4000</v>
      </c>
      <c r="V31" s="1000"/>
      <c r="W31" s="65">
        <v>0</v>
      </c>
      <c r="X31" s="232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44">
        <v>0</v>
      </c>
      <c r="AH31" s="44">
        <v>0</v>
      </c>
      <c r="AI31" s="44">
        <v>0</v>
      </c>
      <c r="AJ31" s="44"/>
      <c r="AK31" s="71">
        <f>R31*Y31</f>
        <v>0</v>
      </c>
      <c r="AL31" s="45">
        <f t="shared" si="17"/>
        <v>0</v>
      </c>
      <c r="AM31" s="45">
        <f t="shared" si="17"/>
        <v>0</v>
      </c>
      <c r="AN31" s="45"/>
      <c r="AO31" s="13"/>
      <c r="AP31" s="60">
        <v>-666000</v>
      </c>
      <c r="AQ31" s="1"/>
      <c r="AR31" s="1"/>
      <c r="AS31" s="1"/>
      <c r="AT31" s="1"/>
      <c r="AU31" s="1"/>
      <c r="AV31" s="1"/>
    </row>
    <row r="32" spans="1:48" ht="115.5" customHeight="1">
      <c r="A32" s="542">
        <v>19</v>
      </c>
      <c r="B32" s="944"/>
      <c r="C32" s="866"/>
      <c r="D32" s="231" t="s">
        <v>364</v>
      </c>
      <c r="E32" s="65">
        <v>1</v>
      </c>
      <c r="F32" s="65" t="s">
        <v>369</v>
      </c>
      <c r="G32" s="66" t="s">
        <v>378</v>
      </c>
      <c r="H32" s="142" t="s">
        <v>371</v>
      </c>
      <c r="I32" s="39" t="s">
        <v>335</v>
      </c>
      <c r="J32" s="231" t="s">
        <v>360</v>
      </c>
      <c r="K32" s="39" t="s">
        <v>335</v>
      </c>
      <c r="L32" s="39" t="s">
        <v>335</v>
      </c>
      <c r="M32" s="39" t="s">
        <v>335</v>
      </c>
      <c r="N32" s="129">
        <v>420000</v>
      </c>
      <c r="O32" s="129">
        <v>33000</v>
      </c>
      <c r="P32" s="129">
        <v>0</v>
      </c>
      <c r="Q32" s="217">
        <f t="shared" ref="Q32" si="21">N32+O32+P32</f>
        <v>453000</v>
      </c>
      <c r="R32" s="68">
        <v>0</v>
      </c>
      <c r="S32" s="68">
        <v>0</v>
      </c>
      <c r="T32" s="68">
        <v>0</v>
      </c>
      <c r="U32" s="68">
        <v>6000</v>
      </c>
      <c r="V32" s="1000"/>
      <c r="W32" s="65">
        <v>0</v>
      </c>
      <c r="X32" s="232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44">
        <v>0</v>
      </c>
      <c r="AH32" s="44">
        <v>0</v>
      </c>
      <c r="AI32" s="44">
        <v>0</v>
      </c>
      <c r="AJ32" s="44">
        <v>0</v>
      </c>
      <c r="AK32" s="71">
        <f>R32*Y32</f>
        <v>0</v>
      </c>
      <c r="AL32" s="71">
        <v>0</v>
      </c>
      <c r="AM32" s="71">
        <v>0</v>
      </c>
      <c r="AN32" s="45">
        <v>0</v>
      </c>
      <c r="AO32" s="13">
        <v>0</v>
      </c>
      <c r="AP32" s="60">
        <f t="shared" ref="AP32:AP37" si="22">AO32-Q32</f>
        <v>-453000</v>
      </c>
      <c r="AQ32" s="1"/>
      <c r="AR32" s="1"/>
      <c r="AS32" s="1"/>
      <c r="AT32" s="1"/>
      <c r="AU32" s="1"/>
      <c r="AV32" s="1"/>
    </row>
    <row r="33" spans="1:48" ht="107.25" customHeight="1">
      <c r="A33" s="542">
        <v>20</v>
      </c>
      <c r="B33" s="944"/>
      <c r="C33" s="866"/>
      <c r="D33" s="66" t="s">
        <v>379</v>
      </c>
      <c r="E33" s="65">
        <v>1</v>
      </c>
      <c r="F33" s="65" t="s">
        <v>369</v>
      </c>
      <c r="G33" s="66" t="s">
        <v>380</v>
      </c>
      <c r="H33" s="142" t="s">
        <v>371</v>
      </c>
      <c r="I33" s="39" t="s">
        <v>335</v>
      </c>
      <c r="J33" s="231" t="s">
        <v>360</v>
      </c>
      <c r="K33" s="39" t="s">
        <v>335</v>
      </c>
      <c r="L33" s="39" t="s">
        <v>335</v>
      </c>
      <c r="M33" s="39" t="s">
        <v>335</v>
      </c>
      <c r="N33" s="269">
        <v>0</v>
      </c>
      <c r="O33" s="269">
        <v>0</v>
      </c>
      <c r="P33" s="269">
        <v>0</v>
      </c>
      <c r="Q33" s="70">
        <f t="shared" si="14"/>
        <v>0</v>
      </c>
      <c r="R33" s="68">
        <v>0</v>
      </c>
      <c r="S33" s="68">
        <v>0</v>
      </c>
      <c r="T33" s="68">
        <v>0</v>
      </c>
      <c r="U33" s="68">
        <v>0</v>
      </c>
      <c r="V33" s="1000"/>
      <c r="W33" s="65">
        <v>0</v>
      </c>
      <c r="X33" s="232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44">
        <v>0</v>
      </c>
      <c r="AH33" s="44">
        <v>0</v>
      </c>
      <c r="AI33" s="44">
        <v>0</v>
      </c>
      <c r="AJ33" s="44">
        <v>0</v>
      </c>
      <c r="AK33" s="71">
        <v>0</v>
      </c>
      <c r="AL33" s="71">
        <v>0</v>
      </c>
      <c r="AM33" s="71">
        <v>0</v>
      </c>
      <c r="AN33" s="45">
        <f t="shared" si="17"/>
        <v>0</v>
      </c>
      <c r="AO33" s="13">
        <f t="shared" si="19"/>
        <v>0</v>
      </c>
      <c r="AP33" s="60">
        <f t="shared" si="22"/>
        <v>0</v>
      </c>
      <c r="AQ33" s="1"/>
      <c r="AR33" s="1"/>
      <c r="AS33" s="1"/>
      <c r="AT33" s="1"/>
      <c r="AU33" s="1"/>
      <c r="AV33" s="1"/>
    </row>
    <row r="34" spans="1:48" ht="102.75" customHeight="1">
      <c r="A34" s="542">
        <v>21</v>
      </c>
      <c r="B34" s="944"/>
      <c r="C34" s="866"/>
      <c r="D34" s="66" t="s">
        <v>381</v>
      </c>
      <c r="E34" s="65">
        <v>1</v>
      </c>
      <c r="F34" s="65" t="s">
        <v>369</v>
      </c>
      <c r="G34" s="7" t="s">
        <v>382</v>
      </c>
      <c r="H34" s="142" t="s">
        <v>371</v>
      </c>
      <c r="I34" s="39" t="s">
        <v>335</v>
      </c>
      <c r="J34" s="231" t="s">
        <v>360</v>
      </c>
      <c r="K34" s="39" t="s">
        <v>335</v>
      </c>
      <c r="L34" s="39" t="s">
        <v>335</v>
      </c>
      <c r="M34" s="39" t="s">
        <v>335</v>
      </c>
      <c r="N34" s="269">
        <v>0</v>
      </c>
      <c r="O34" s="269">
        <v>0</v>
      </c>
      <c r="P34" s="269">
        <v>0</v>
      </c>
      <c r="Q34" s="70">
        <v>0</v>
      </c>
      <c r="R34" s="68">
        <v>0</v>
      </c>
      <c r="S34" s="68">
        <v>0</v>
      </c>
      <c r="T34" s="68">
        <v>0</v>
      </c>
      <c r="U34" s="68">
        <v>60</v>
      </c>
      <c r="V34" s="1000"/>
      <c r="W34" s="65">
        <v>0</v>
      </c>
      <c r="X34" s="232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44">
        <v>0</v>
      </c>
      <c r="AH34" s="44">
        <v>0</v>
      </c>
      <c r="AI34" s="44">
        <v>0</v>
      </c>
      <c r="AJ34" s="44">
        <v>0</v>
      </c>
      <c r="AK34" s="71">
        <f t="shared" ref="AK34:AK41" si="23">R34*Y34</f>
        <v>0</v>
      </c>
      <c r="AL34" s="71">
        <v>0</v>
      </c>
      <c r="AM34" s="71">
        <v>0</v>
      </c>
      <c r="AN34" s="45">
        <v>0</v>
      </c>
      <c r="AO34" s="13">
        <v>0</v>
      </c>
      <c r="AP34" s="60">
        <f t="shared" si="22"/>
        <v>0</v>
      </c>
      <c r="AQ34" s="1"/>
      <c r="AR34" s="1"/>
      <c r="AS34" s="1"/>
      <c r="AT34" s="1"/>
      <c r="AU34" s="1"/>
      <c r="AV34" s="1"/>
    </row>
    <row r="35" spans="1:48" ht="107.25" customHeight="1">
      <c r="A35" s="542">
        <v>22</v>
      </c>
      <c r="B35" s="944"/>
      <c r="C35" s="866"/>
      <c r="D35" s="66" t="s">
        <v>383</v>
      </c>
      <c r="E35" s="65">
        <v>1</v>
      </c>
      <c r="F35" s="65" t="s">
        <v>369</v>
      </c>
      <c r="G35" s="64" t="s">
        <v>384</v>
      </c>
      <c r="H35" s="142" t="s">
        <v>371</v>
      </c>
      <c r="I35" s="39" t="s">
        <v>335</v>
      </c>
      <c r="J35" s="231" t="s">
        <v>360</v>
      </c>
      <c r="K35" s="39" t="s">
        <v>335</v>
      </c>
      <c r="L35" s="39" t="s">
        <v>335</v>
      </c>
      <c r="M35" s="39" t="s">
        <v>335</v>
      </c>
      <c r="N35" s="129">
        <v>990000</v>
      </c>
      <c r="O35" s="129">
        <v>225000</v>
      </c>
      <c r="P35" s="129">
        <v>310000</v>
      </c>
      <c r="Q35" s="70">
        <f t="shared" si="14"/>
        <v>1525000</v>
      </c>
      <c r="R35" s="68">
        <v>0</v>
      </c>
      <c r="S35" s="68">
        <v>0</v>
      </c>
      <c r="T35" s="68">
        <v>0</v>
      </c>
      <c r="U35" s="68">
        <v>0</v>
      </c>
      <c r="V35" s="1000"/>
      <c r="W35" s="65">
        <v>0</v>
      </c>
      <c r="X35" s="232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44">
        <v>0</v>
      </c>
      <c r="AH35" s="44">
        <v>0</v>
      </c>
      <c r="AI35" s="44">
        <v>0</v>
      </c>
      <c r="AJ35" s="44">
        <v>0</v>
      </c>
      <c r="AK35" s="71">
        <f t="shared" si="23"/>
        <v>0</v>
      </c>
      <c r="AL35" s="71">
        <v>0</v>
      </c>
      <c r="AM35" s="71">
        <v>0</v>
      </c>
      <c r="AN35" s="45">
        <f t="shared" ref="AN35:AN37" si="24">U35*AB35</f>
        <v>0</v>
      </c>
      <c r="AO35" s="13">
        <f t="shared" si="19"/>
        <v>0</v>
      </c>
      <c r="AP35" s="60">
        <f t="shared" si="22"/>
        <v>-1525000</v>
      </c>
      <c r="AQ35" s="1"/>
      <c r="AR35" s="1"/>
      <c r="AS35" s="1"/>
      <c r="AT35" s="1"/>
      <c r="AU35" s="1"/>
      <c r="AV35" s="1"/>
    </row>
    <row r="36" spans="1:48" ht="103.5" customHeight="1">
      <c r="A36" s="542">
        <v>23</v>
      </c>
      <c r="B36" s="944"/>
      <c r="C36" s="866"/>
      <c r="D36" s="66" t="s">
        <v>385</v>
      </c>
      <c r="E36" s="65">
        <v>1</v>
      </c>
      <c r="F36" s="65" t="s">
        <v>369</v>
      </c>
      <c r="G36" s="66" t="s">
        <v>386</v>
      </c>
      <c r="H36" s="142" t="s">
        <v>371</v>
      </c>
      <c r="I36" s="39" t="s">
        <v>335</v>
      </c>
      <c r="J36" s="231" t="s">
        <v>360</v>
      </c>
      <c r="K36" s="39" t="s">
        <v>335</v>
      </c>
      <c r="L36" s="39" t="s">
        <v>335</v>
      </c>
      <c r="M36" s="39" t="s">
        <v>335</v>
      </c>
      <c r="N36" s="269">
        <v>0</v>
      </c>
      <c r="O36" s="269">
        <v>0</v>
      </c>
      <c r="P36" s="269">
        <v>0</v>
      </c>
      <c r="Q36" s="70">
        <f t="shared" si="14"/>
        <v>0</v>
      </c>
      <c r="R36" s="68">
        <v>0</v>
      </c>
      <c r="S36" s="68">
        <v>0</v>
      </c>
      <c r="T36" s="68">
        <v>0</v>
      </c>
      <c r="U36" s="68">
        <v>4000</v>
      </c>
      <c r="V36" s="1000"/>
      <c r="W36" s="65">
        <v>0</v>
      </c>
      <c r="X36" s="232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44">
        <v>0</v>
      </c>
      <c r="AH36" s="44">
        <v>0</v>
      </c>
      <c r="AI36" s="44">
        <v>0</v>
      </c>
      <c r="AJ36" s="44">
        <v>0</v>
      </c>
      <c r="AK36" s="71">
        <f t="shared" si="23"/>
        <v>0</v>
      </c>
      <c r="AL36" s="71">
        <v>0</v>
      </c>
      <c r="AM36" s="71">
        <v>0</v>
      </c>
      <c r="AN36" s="45">
        <f t="shared" si="24"/>
        <v>0</v>
      </c>
      <c r="AO36" s="13">
        <f t="shared" si="19"/>
        <v>0</v>
      </c>
      <c r="AP36" s="60">
        <f t="shared" si="22"/>
        <v>0</v>
      </c>
      <c r="AQ36" s="1"/>
      <c r="AR36" s="1"/>
      <c r="AS36" s="1"/>
      <c r="AT36" s="1"/>
      <c r="AU36" s="1"/>
      <c r="AV36" s="1"/>
    </row>
    <row r="37" spans="1:48" ht="102.75" customHeight="1">
      <c r="A37" s="542">
        <v>24</v>
      </c>
      <c r="B37" s="944"/>
      <c r="C37" s="866"/>
      <c r="D37" s="66" t="s">
        <v>385</v>
      </c>
      <c r="E37" s="65">
        <v>1</v>
      </c>
      <c r="F37" s="65" t="s">
        <v>369</v>
      </c>
      <c r="G37" s="66" t="s">
        <v>386</v>
      </c>
      <c r="H37" s="142" t="s">
        <v>371</v>
      </c>
      <c r="I37" s="39" t="s">
        <v>335</v>
      </c>
      <c r="J37" s="231" t="s">
        <v>360</v>
      </c>
      <c r="K37" s="39" t="s">
        <v>335</v>
      </c>
      <c r="L37" s="39" t="s">
        <v>335</v>
      </c>
      <c r="M37" s="39" t="s">
        <v>335</v>
      </c>
      <c r="N37" s="269">
        <v>0</v>
      </c>
      <c r="O37" s="269">
        <v>0</v>
      </c>
      <c r="P37" s="269">
        <v>0</v>
      </c>
      <c r="Q37" s="70">
        <f t="shared" si="14"/>
        <v>0</v>
      </c>
      <c r="R37" s="68">
        <v>0</v>
      </c>
      <c r="S37" s="68">
        <v>0</v>
      </c>
      <c r="T37" s="68">
        <v>0</v>
      </c>
      <c r="U37" s="68">
        <v>4000</v>
      </c>
      <c r="V37" s="1000"/>
      <c r="W37" s="65">
        <v>0</v>
      </c>
      <c r="X37" s="232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44">
        <v>0</v>
      </c>
      <c r="AH37" s="44">
        <v>0</v>
      </c>
      <c r="AI37" s="44">
        <v>0</v>
      </c>
      <c r="AJ37" s="44">
        <v>0</v>
      </c>
      <c r="AK37" s="71">
        <f t="shared" si="23"/>
        <v>0</v>
      </c>
      <c r="AL37" s="71">
        <v>0</v>
      </c>
      <c r="AM37" s="71">
        <v>0</v>
      </c>
      <c r="AN37" s="45">
        <f t="shared" si="24"/>
        <v>0</v>
      </c>
      <c r="AO37" s="13">
        <f t="shared" si="19"/>
        <v>0</v>
      </c>
      <c r="AP37" s="60">
        <f t="shared" si="22"/>
        <v>0</v>
      </c>
      <c r="AQ37" s="1"/>
      <c r="AR37" s="1"/>
      <c r="AS37" s="1"/>
      <c r="AT37" s="1"/>
      <c r="AU37" s="1"/>
      <c r="AV37" s="1"/>
    </row>
    <row r="38" spans="1:48" ht="110.25" customHeight="1">
      <c r="A38" s="542">
        <v>25</v>
      </c>
      <c r="B38" s="944"/>
      <c r="C38" s="866"/>
      <c r="D38" s="66" t="s">
        <v>387</v>
      </c>
      <c r="E38" s="65">
        <v>1</v>
      </c>
      <c r="F38" s="65" t="s">
        <v>369</v>
      </c>
      <c r="G38" s="66" t="s">
        <v>388</v>
      </c>
      <c r="H38" s="142" t="s">
        <v>371</v>
      </c>
      <c r="I38" s="39" t="s">
        <v>335</v>
      </c>
      <c r="J38" s="231" t="s">
        <v>360</v>
      </c>
      <c r="K38" s="39" t="s">
        <v>335</v>
      </c>
      <c r="L38" s="39" t="s">
        <v>335</v>
      </c>
      <c r="M38" s="39" t="s">
        <v>335</v>
      </c>
      <c r="N38" s="129">
        <v>1710000</v>
      </c>
      <c r="O38" s="129">
        <v>250500</v>
      </c>
      <c r="P38" s="129">
        <v>928000</v>
      </c>
      <c r="Q38" s="70">
        <v>2888500</v>
      </c>
      <c r="R38" s="68">
        <v>0</v>
      </c>
      <c r="S38" s="68">
        <v>0</v>
      </c>
      <c r="T38" s="68">
        <v>0</v>
      </c>
      <c r="U38" s="68">
        <v>6000</v>
      </c>
      <c r="V38" s="1000"/>
      <c r="W38" s="65">
        <v>1</v>
      </c>
      <c r="X38" s="232">
        <v>7.7591550000000002E-3</v>
      </c>
      <c r="Y38" s="39">
        <v>0</v>
      </c>
      <c r="Z38" s="39">
        <v>0</v>
      </c>
      <c r="AA38" s="39">
        <v>0</v>
      </c>
      <c r="AB38" s="65">
        <v>15</v>
      </c>
      <c r="AC38" s="39">
        <v>0</v>
      </c>
      <c r="AD38" s="39">
        <v>0</v>
      </c>
      <c r="AE38" s="39">
        <v>0</v>
      </c>
      <c r="AF38" s="65">
        <v>15</v>
      </c>
      <c r="AG38" s="44">
        <v>0</v>
      </c>
      <c r="AH38" s="44">
        <v>0</v>
      </c>
      <c r="AI38" s="44">
        <v>0</v>
      </c>
      <c r="AJ38" s="44">
        <v>483400</v>
      </c>
      <c r="AK38" s="71">
        <f t="shared" si="23"/>
        <v>0</v>
      </c>
      <c r="AL38" s="71">
        <v>0</v>
      </c>
      <c r="AM38" s="71">
        <v>0</v>
      </c>
      <c r="AN38" s="45">
        <v>0</v>
      </c>
      <c r="AO38" s="13">
        <v>483400</v>
      </c>
      <c r="AP38" s="60">
        <v>-2589500</v>
      </c>
      <c r="AQ38" s="1"/>
      <c r="AR38" s="1"/>
      <c r="AS38" s="1"/>
      <c r="AT38" s="1"/>
      <c r="AU38" s="1"/>
      <c r="AV38" s="1"/>
    </row>
    <row r="39" spans="1:48" ht="78.75" customHeight="1">
      <c r="A39" s="542">
        <v>26</v>
      </c>
      <c r="B39" s="944"/>
      <c r="C39" s="866"/>
      <c r="D39" s="7" t="s">
        <v>389</v>
      </c>
      <c r="E39" s="39">
        <v>1</v>
      </c>
      <c r="F39" s="46" t="s">
        <v>167</v>
      </c>
      <c r="G39" s="7" t="s">
        <v>390</v>
      </c>
      <c r="H39" s="132" t="s">
        <v>391</v>
      </c>
      <c r="I39" s="39" t="s">
        <v>335</v>
      </c>
      <c r="J39" s="231" t="s">
        <v>360</v>
      </c>
      <c r="K39" s="39" t="s">
        <v>335</v>
      </c>
      <c r="L39" s="39" t="s">
        <v>335</v>
      </c>
      <c r="M39" s="39" t="s">
        <v>335</v>
      </c>
      <c r="N39" s="129">
        <v>0</v>
      </c>
      <c r="O39" s="129">
        <v>260000</v>
      </c>
      <c r="P39" s="129">
        <v>116000</v>
      </c>
      <c r="Q39" s="70">
        <v>376000</v>
      </c>
      <c r="R39" s="68">
        <v>0</v>
      </c>
      <c r="S39" s="68">
        <v>0</v>
      </c>
      <c r="T39" s="68">
        <v>0</v>
      </c>
      <c r="U39" s="68">
        <v>0</v>
      </c>
      <c r="V39" s="1000"/>
      <c r="W39" s="65">
        <v>0</v>
      </c>
      <c r="X39" s="232">
        <v>0</v>
      </c>
      <c r="Y39" s="39">
        <v>0</v>
      </c>
      <c r="Z39" s="39">
        <v>0</v>
      </c>
      <c r="AA39" s="39">
        <v>0</v>
      </c>
      <c r="AB39" s="65">
        <v>0</v>
      </c>
      <c r="AC39" s="39">
        <v>0</v>
      </c>
      <c r="AD39" s="39">
        <v>0</v>
      </c>
      <c r="AE39" s="39">
        <v>0</v>
      </c>
      <c r="AF39" s="65">
        <v>0</v>
      </c>
      <c r="AG39" s="44">
        <v>0</v>
      </c>
      <c r="AH39" s="44">
        <v>0</v>
      </c>
      <c r="AI39" s="44">
        <v>0</v>
      </c>
      <c r="AJ39" s="44">
        <v>0</v>
      </c>
      <c r="AK39" s="71">
        <f t="shared" si="23"/>
        <v>0</v>
      </c>
      <c r="AL39" s="71">
        <v>0</v>
      </c>
      <c r="AM39" s="71"/>
      <c r="AN39" s="71">
        <v>0</v>
      </c>
      <c r="AO39" s="72">
        <v>0</v>
      </c>
      <c r="AP39" s="60">
        <v>-376000</v>
      </c>
      <c r="AQ39" s="1"/>
      <c r="AR39" s="1"/>
      <c r="AS39" s="1"/>
      <c r="AT39" s="1"/>
      <c r="AU39" s="1"/>
      <c r="AV39" s="1"/>
    </row>
    <row r="40" spans="1:48" ht="64.5" customHeight="1">
      <c r="A40" s="542">
        <v>27</v>
      </c>
      <c r="B40" s="944"/>
      <c r="C40" s="866"/>
      <c r="D40" s="66" t="s">
        <v>392</v>
      </c>
      <c r="E40" s="65">
        <v>1</v>
      </c>
      <c r="F40" s="65" t="s">
        <v>393</v>
      </c>
      <c r="G40" s="66" t="s">
        <v>394</v>
      </c>
      <c r="H40" s="132" t="s">
        <v>391</v>
      </c>
      <c r="I40" s="31" t="s">
        <v>335</v>
      </c>
      <c r="J40" s="231" t="s">
        <v>360</v>
      </c>
      <c r="K40" s="39" t="s">
        <v>335</v>
      </c>
      <c r="L40" s="39" t="s">
        <v>335</v>
      </c>
      <c r="M40" s="39" t="s">
        <v>335</v>
      </c>
      <c r="N40" s="129">
        <v>1320000</v>
      </c>
      <c r="O40" s="129">
        <v>249400</v>
      </c>
      <c r="P40" s="129">
        <v>46700</v>
      </c>
      <c r="Q40" s="70">
        <v>1212000</v>
      </c>
      <c r="R40" s="68">
        <v>0</v>
      </c>
      <c r="S40" s="68">
        <v>0</v>
      </c>
      <c r="T40" s="68">
        <v>0</v>
      </c>
      <c r="U40" s="68">
        <v>0</v>
      </c>
      <c r="V40" s="1000"/>
      <c r="W40" s="65">
        <v>0</v>
      </c>
      <c r="X40" s="232">
        <v>0</v>
      </c>
      <c r="Y40" s="65">
        <v>0</v>
      </c>
      <c r="Z40" s="65">
        <v>0</v>
      </c>
      <c r="AA40" s="65">
        <v>0</v>
      </c>
      <c r="AB40" s="65">
        <v>0</v>
      </c>
      <c r="AC40" s="65">
        <v>0</v>
      </c>
      <c r="AD40" s="65">
        <v>0</v>
      </c>
      <c r="AE40" s="39">
        <v>0</v>
      </c>
      <c r="AF40" s="65">
        <v>0</v>
      </c>
      <c r="AG40" s="44">
        <v>0</v>
      </c>
      <c r="AH40" s="44">
        <v>0</v>
      </c>
      <c r="AI40" s="44">
        <v>0</v>
      </c>
      <c r="AJ40" s="44">
        <v>0</v>
      </c>
      <c r="AK40" s="71">
        <v>0</v>
      </c>
      <c r="AL40" s="71">
        <v>0</v>
      </c>
      <c r="AM40" s="71">
        <v>0</v>
      </c>
      <c r="AN40" s="71">
        <v>0</v>
      </c>
      <c r="AO40" s="72">
        <v>0</v>
      </c>
      <c r="AP40" s="60">
        <v>-1212000</v>
      </c>
      <c r="AQ40" s="1"/>
      <c r="AR40" s="1"/>
      <c r="AS40" s="1"/>
      <c r="AT40" s="1"/>
      <c r="AU40" s="1"/>
      <c r="AV40" s="1"/>
    </row>
    <row r="41" spans="1:48" ht="68.25" customHeight="1" thickBot="1">
      <c r="A41" s="542">
        <v>28</v>
      </c>
      <c r="B41" s="949"/>
      <c r="C41" s="955"/>
      <c r="D41" s="19" t="s">
        <v>395</v>
      </c>
      <c r="E41" s="272">
        <v>1</v>
      </c>
      <c r="F41" s="19" t="s">
        <v>396</v>
      </c>
      <c r="G41" s="19" t="s">
        <v>382</v>
      </c>
      <c r="H41" s="273" t="s">
        <v>352</v>
      </c>
      <c r="I41" s="272" t="s">
        <v>335</v>
      </c>
      <c r="J41" s="231" t="s">
        <v>360</v>
      </c>
      <c r="K41" s="272" t="s">
        <v>335</v>
      </c>
      <c r="L41" s="272" t="s">
        <v>335</v>
      </c>
      <c r="M41" s="272" t="s">
        <v>335</v>
      </c>
      <c r="N41" s="269">
        <v>0</v>
      </c>
      <c r="O41" s="269">
        <v>0</v>
      </c>
      <c r="P41" s="269">
        <v>0</v>
      </c>
      <c r="Q41" s="274">
        <f t="shared" ref="Q41" si="25">N41+O41+P41</f>
        <v>0</v>
      </c>
      <c r="R41" s="275">
        <v>0</v>
      </c>
      <c r="S41" s="275">
        <v>0</v>
      </c>
      <c r="T41" s="275">
        <v>0</v>
      </c>
      <c r="U41" s="275">
        <v>60</v>
      </c>
      <c r="V41" s="1001"/>
      <c r="W41" s="272">
        <v>0</v>
      </c>
      <c r="X41" s="232">
        <v>0.46554934799999997</v>
      </c>
      <c r="Y41" s="39">
        <v>0</v>
      </c>
      <c r="Z41" s="39">
        <v>0</v>
      </c>
      <c r="AA41" s="39">
        <v>0</v>
      </c>
      <c r="AB41" s="19">
        <v>0</v>
      </c>
      <c r="AC41" s="39">
        <v>0</v>
      </c>
      <c r="AD41" s="39">
        <v>0</v>
      </c>
      <c r="AE41" s="39">
        <v>0</v>
      </c>
      <c r="AF41" s="19">
        <v>0</v>
      </c>
      <c r="AG41" s="44">
        <v>0</v>
      </c>
      <c r="AH41" s="44">
        <v>0</v>
      </c>
      <c r="AI41" s="44">
        <v>0</v>
      </c>
      <c r="AJ41" s="44">
        <v>0</v>
      </c>
      <c r="AK41" s="276">
        <f t="shared" si="23"/>
        <v>0</v>
      </c>
      <c r="AL41" s="276">
        <v>0</v>
      </c>
      <c r="AM41" s="276">
        <v>0</v>
      </c>
      <c r="AN41" s="276">
        <v>0</v>
      </c>
      <c r="AO41" s="28">
        <f t="shared" ref="AO41" si="26">AK41+AL41+AM41+AN41</f>
        <v>0</v>
      </c>
      <c r="AP41" s="60">
        <f>AO41-Q41</f>
        <v>0</v>
      </c>
      <c r="AQ41" s="1"/>
      <c r="AR41" s="1"/>
      <c r="AS41" s="1"/>
      <c r="AT41" s="1"/>
      <c r="AU41" s="1"/>
      <c r="AV41" s="1"/>
    </row>
    <row r="42" spans="1:48" ht="26.25" customHeight="1" thickBot="1">
      <c r="A42" s="136"/>
      <c r="B42" s="137" t="s">
        <v>115</v>
      </c>
      <c r="C42" s="138">
        <v>16</v>
      </c>
      <c r="D42" s="137"/>
      <c r="E42" s="138">
        <f>SUM(E14:E41)</f>
        <v>32</v>
      </c>
      <c r="F42" s="137"/>
      <c r="G42" s="137"/>
      <c r="H42" s="137"/>
      <c r="I42" s="137"/>
      <c r="J42" s="137"/>
      <c r="K42" s="137"/>
      <c r="L42" s="137"/>
      <c r="M42" s="139"/>
      <c r="N42" s="297">
        <f t="shared" ref="N42:AE42" si="27">SUM(N14:N41)</f>
        <v>29797300</v>
      </c>
      <c r="O42" s="298">
        <f t="shared" si="27"/>
        <v>20880210</v>
      </c>
      <c r="P42" s="138">
        <f t="shared" si="27"/>
        <v>8120950</v>
      </c>
      <c r="Q42" s="138">
        <f t="shared" si="27"/>
        <v>57992360</v>
      </c>
      <c r="R42" s="138">
        <f t="shared" si="27"/>
        <v>0</v>
      </c>
      <c r="S42" s="138">
        <f t="shared" si="27"/>
        <v>10000</v>
      </c>
      <c r="T42" s="138">
        <f t="shared" si="27"/>
        <v>0</v>
      </c>
      <c r="U42" s="138">
        <f t="shared" si="27"/>
        <v>60420</v>
      </c>
      <c r="V42" s="138">
        <f t="shared" si="27"/>
        <v>13101</v>
      </c>
      <c r="W42" s="138">
        <f t="shared" si="27"/>
        <v>7442</v>
      </c>
      <c r="X42" s="138">
        <f t="shared" si="27"/>
        <v>51.063086073320434</v>
      </c>
      <c r="Y42" s="138">
        <f t="shared" si="27"/>
        <v>22</v>
      </c>
      <c r="Z42" s="138">
        <f t="shared" si="27"/>
        <v>640</v>
      </c>
      <c r="AA42" s="138">
        <f t="shared" si="27"/>
        <v>3288</v>
      </c>
      <c r="AB42" s="138">
        <f t="shared" si="27"/>
        <v>40</v>
      </c>
      <c r="AC42" s="138">
        <f t="shared" si="27"/>
        <v>0</v>
      </c>
      <c r="AD42" s="138">
        <f>SUM(AD14:AD41)</f>
        <v>72</v>
      </c>
      <c r="AE42" s="138">
        <f t="shared" si="27"/>
        <v>10240</v>
      </c>
      <c r="AF42" s="138">
        <f>SUM(AF14:AF41)</f>
        <v>6760</v>
      </c>
      <c r="AG42" s="138">
        <f t="shared" ref="AG42:AM42" si="28">SUM(AG14:AG41)</f>
        <v>0</v>
      </c>
      <c r="AH42" s="138">
        <f t="shared" si="28"/>
        <v>0</v>
      </c>
      <c r="AI42" s="138">
        <f t="shared" si="28"/>
        <v>0</v>
      </c>
      <c r="AJ42" s="138">
        <f t="shared" si="28"/>
        <v>16140200</v>
      </c>
      <c r="AK42" s="138">
        <f t="shared" si="28"/>
        <v>0</v>
      </c>
      <c r="AL42" s="138">
        <f t="shared" si="28"/>
        <v>0</v>
      </c>
      <c r="AM42" s="138">
        <f t="shared" si="28"/>
        <v>0</v>
      </c>
      <c r="AN42" s="138">
        <f>SUM(AN14:AN41)</f>
        <v>367500</v>
      </c>
      <c r="AO42" s="138">
        <f>SUM(AO14:AO41)</f>
        <v>8406500</v>
      </c>
      <c r="AP42" s="299">
        <f>SUM(AP14:AP41)</f>
        <v>-44401560</v>
      </c>
      <c r="AQ42" s="1"/>
    </row>
    <row r="43" spans="1:48" s="718" customFormat="1" ht="60.6" customHeight="1">
      <c r="A43" s="743"/>
      <c r="B43" s="994" t="s">
        <v>397</v>
      </c>
      <c r="C43" s="994" t="s">
        <v>999</v>
      </c>
      <c r="D43" s="333" t="s">
        <v>364</v>
      </c>
      <c r="E43" s="367">
        <v>1</v>
      </c>
      <c r="F43" s="744" t="s">
        <v>398</v>
      </c>
      <c r="G43" s="333" t="s">
        <v>399</v>
      </c>
      <c r="H43" s="745" t="e">
        <f>[1]Hamaynq1!H70</f>
        <v>#REF!</v>
      </c>
      <c r="I43" s="744"/>
      <c r="J43" s="744"/>
      <c r="K43" s="744"/>
      <c r="L43" s="332" t="s">
        <v>400</v>
      </c>
      <c r="M43" s="744"/>
      <c r="N43" s="746">
        <v>155000</v>
      </c>
      <c r="O43" s="746">
        <v>122500</v>
      </c>
      <c r="P43" s="746">
        <v>0</v>
      </c>
      <c r="Q43" s="747">
        <f>N43+O43+P43</f>
        <v>277500</v>
      </c>
      <c r="R43" s="234">
        <v>0</v>
      </c>
      <c r="S43" s="234">
        <v>0</v>
      </c>
      <c r="T43" s="234">
        <v>0</v>
      </c>
      <c r="U43" s="234">
        <v>0</v>
      </c>
      <c r="V43" s="997">
        <v>8241</v>
      </c>
      <c r="W43" s="744">
        <v>0</v>
      </c>
      <c r="X43" s="744">
        <f>W43/V43*100</f>
        <v>0</v>
      </c>
      <c r="Y43" s="744"/>
      <c r="Z43" s="744"/>
      <c r="AA43" s="744">
        <v>0</v>
      </c>
      <c r="AB43" s="744"/>
      <c r="AC43" s="744"/>
      <c r="AD43" s="744"/>
      <c r="AE43" s="744"/>
      <c r="AF43" s="744"/>
      <c r="AG43" s="748"/>
      <c r="AH43" s="748"/>
      <c r="AI43" s="748"/>
      <c r="AJ43" s="748"/>
      <c r="AK43" s="749">
        <f>R43*Y43</f>
        <v>0</v>
      </c>
      <c r="AL43" s="749">
        <f t="shared" ref="AL43:AN44" si="29">S43*Z43</f>
        <v>0</v>
      </c>
      <c r="AM43" s="749">
        <f t="shared" si="29"/>
        <v>0</v>
      </c>
      <c r="AN43" s="749">
        <f t="shared" si="29"/>
        <v>0</v>
      </c>
      <c r="AO43" s="218">
        <f>AK43+AL43+AM43+AN43</f>
        <v>0</v>
      </c>
      <c r="AP43" s="249">
        <f>AO43-Q43</f>
        <v>-277500</v>
      </c>
      <c r="AQ43" s="700"/>
      <c r="AR43" s="700"/>
      <c r="AS43" s="700"/>
      <c r="AT43" s="700"/>
      <c r="AU43" s="700"/>
      <c r="AV43" s="700"/>
    </row>
    <row r="44" spans="1:48" s="718" customFormat="1" ht="60" customHeight="1">
      <c r="A44" s="743"/>
      <c r="B44" s="995"/>
      <c r="C44" s="995"/>
      <c r="D44" s="750" t="s">
        <v>364</v>
      </c>
      <c r="E44" s="250">
        <v>1</v>
      </c>
      <c r="F44" s="744" t="s">
        <v>401</v>
      </c>
      <c r="G44" s="333" t="s">
        <v>402</v>
      </c>
      <c r="H44" s="745" t="e">
        <f>[1]Hamaynq1!H71</f>
        <v>#REF!</v>
      </c>
      <c r="I44" s="744"/>
      <c r="J44" s="744"/>
      <c r="K44" s="744"/>
      <c r="L44" s="231" t="s">
        <v>400</v>
      </c>
      <c r="M44" s="744"/>
      <c r="N44" s="746">
        <v>155000</v>
      </c>
      <c r="O44" s="746">
        <v>93100</v>
      </c>
      <c r="P44" s="746">
        <v>12150</v>
      </c>
      <c r="Q44" s="747">
        <f t="shared" ref="Q44:Q52" si="30">N44+O44+P44</f>
        <v>260250</v>
      </c>
      <c r="R44" s="234">
        <v>0</v>
      </c>
      <c r="S44" s="234">
        <v>0</v>
      </c>
      <c r="T44" s="234">
        <v>0</v>
      </c>
      <c r="U44" s="234">
        <v>13000</v>
      </c>
      <c r="V44" s="851"/>
      <c r="W44" s="744">
        <v>0</v>
      </c>
      <c r="X44" s="744">
        <f>W44/V43*100</f>
        <v>0</v>
      </c>
      <c r="Y44" s="744"/>
      <c r="Z44" s="744"/>
      <c r="AA44" s="744">
        <v>0</v>
      </c>
      <c r="AB44" s="744"/>
      <c r="AC44" s="744"/>
      <c r="AD44" s="744"/>
      <c r="AE44" s="744"/>
      <c r="AF44" s="744"/>
      <c r="AG44" s="748"/>
      <c r="AH44" s="748"/>
      <c r="AI44" s="748"/>
      <c r="AJ44" s="748"/>
      <c r="AK44" s="749">
        <f t="shared" ref="AK44" si="31">R44*Y44</f>
        <v>0</v>
      </c>
      <c r="AL44" s="749">
        <f t="shared" si="29"/>
        <v>0</v>
      </c>
      <c r="AM44" s="749">
        <f t="shared" si="29"/>
        <v>0</v>
      </c>
      <c r="AN44" s="749">
        <f t="shared" si="29"/>
        <v>0</v>
      </c>
      <c r="AO44" s="218">
        <f t="shared" ref="AO44:AO52" si="32">AK44+AL44+AM44+AN44</f>
        <v>0</v>
      </c>
      <c r="AP44" s="249">
        <f t="shared" ref="AP44:AP52" si="33">AO44-Q44</f>
        <v>-260250</v>
      </c>
      <c r="AQ44" s="700"/>
      <c r="AR44" s="700"/>
      <c r="AS44" s="700"/>
      <c r="AT44" s="700"/>
      <c r="AU44" s="700"/>
      <c r="AV44" s="700"/>
    </row>
    <row r="45" spans="1:48" s="718" customFormat="1" ht="59.45" customHeight="1">
      <c r="A45" s="751"/>
      <c r="B45" s="995"/>
      <c r="C45" s="995"/>
      <c r="D45" s="231" t="s">
        <v>403</v>
      </c>
      <c r="E45" s="232">
        <v>1</v>
      </c>
      <c r="F45" s="752" t="s">
        <v>398</v>
      </c>
      <c r="G45" s="333" t="s">
        <v>404</v>
      </c>
      <c r="H45" s="753" t="e">
        <f>[1]Hamaynq1!H72</f>
        <v>#REF!</v>
      </c>
      <c r="I45" s="752"/>
      <c r="J45" s="752"/>
      <c r="K45" s="752"/>
      <c r="L45" s="231" t="s">
        <v>400</v>
      </c>
      <c r="M45" s="752"/>
      <c r="N45" s="754">
        <v>980136</v>
      </c>
      <c r="O45" s="754">
        <v>888860</v>
      </c>
      <c r="P45" s="754">
        <v>44100</v>
      </c>
      <c r="Q45" s="747">
        <f t="shared" si="30"/>
        <v>1913096</v>
      </c>
      <c r="R45" s="234">
        <v>0</v>
      </c>
      <c r="S45" s="234">
        <v>0</v>
      </c>
      <c r="T45" s="234">
        <v>770</v>
      </c>
      <c r="U45" s="234">
        <v>100</v>
      </c>
      <c r="V45" s="851"/>
      <c r="W45" s="752">
        <v>898</v>
      </c>
      <c r="X45" s="744">
        <f>W45/V43*100</f>
        <v>10.896735833029972</v>
      </c>
      <c r="Y45" s="752">
        <v>0</v>
      </c>
      <c r="Z45" s="752">
        <v>0</v>
      </c>
      <c r="AA45" s="752">
        <v>3368</v>
      </c>
      <c r="AB45" s="752"/>
      <c r="AC45" s="752"/>
      <c r="AD45" s="752"/>
      <c r="AE45" s="752"/>
      <c r="AF45" s="752"/>
      <c r="AG45" s="755"/>
      <c r="AH45" s="755"/>
      <c r="AI45" s="755"/>
      <c r="AJ45" s="755"/>
      <c r="AK45" s="756"/>
      <c r="AL45" s="756"/>
      <c r="AM45" s="756"/>
      <c r="AN45" s="756">
        <v>640860</v>
      </c>
      <c r="AO45" s="218">
        <f t="shared" si="32"/>
        <v>640860</v>
      </c>
      <c r="AP45" s="249">
        <f t="shared" si="33"/>
        <v>-1272236</v>
      </c>
      <c r="AQ45" s="700"/>
      <c r="AR45" s="700"/>
      <c r="AS45" s="700"/>
      <c r="AT45" s="700"/>
      <c r="AU45" s="700"/>
      <c r="AV45" s="700"/>
    </row>
    <row r="46" spans="1:48" s="718" customFormat="1" ht="60.6" customHeight="1">
      <c r="A46" s="751"/>
      <c r="B46" s="995"/>
      <c r="C46" s="995"/>
      <c r="D46" s="750" t="s">
        <v>405</v>
      </c>
      <c r="E46" s="250">
        <v>1</v>
      </c>
      <c r="F46" s="752" t="s">
        <v>406</v>
      </c>
      <c r="G46" s="333" t="s">
        <v>407</v>
      </c>
      <c r="H46" s="753" t="e">
        <f>[1]Hamaynq1!H73</f>
        <v>#REF!</v>
      </c>
      <c r="I46" s="752"/>
      <c r="J46" s="752"/>
      <c r="K46" s="752"/>
      <c r="L46" s="231" t="s">
        <v>400</v>
      </c>
      <c r="M46" s="752"/>
      <c r="N46" s="754">
        <v>700000</v>
      </c>
      <c r="O46" s="754">
        <v>1114750</v>
      </c>
      <c r="P46" s="754">
        <v>164450</v>
      </c>
      <c r="Q46" s="747">
        <f t="shared" si="30"/>
        <v>1979200</v>
      </c>
      <c r="R46" s="234">
        <v>0</v>
      </c>
      <c r="S46" s="234">
        <v>0</v>
      </c>
      <c r="T46" s="234">
        <v>0</v>
      </c>
      <c r="U46" s="234">
        <v>100</v>
      </c>
      <c r="V46" s="851"/>
      <c r="W46" s="752">
        <v>3757</v>
      </c>
      <c r="X46" s="744">
        <f>W46/V43*100</f>
        <v>45.589127533066375</v>
      </c>
      <c r="Y46" s="752">
        <v>0</v>
      </c>
      <c r="Z46" s="752">
        <v>0</v>
      </c>
      <c r="AA46" s="752">
        <v>2585</v>
      </c>
      <c r="AB46" s="752"/>
      <c r="AC46" s="752"/>
      <c r="AD46" s="752"/>
      <c r="AE46" s="752"/>
      <c r="AF46" s="752"/>
      <c r="AG46" s="755"/>
      <c r="AH46" s="755"/>
      <c r="AI46" s="755"/>
      <c r="AJ46" s="755"/>
      <c r="AK46" s="756"/>
      <c r="AL46" s="756"/>
      <c r="AM46" s="756">
        <v>3240000</v>
      </c>
      <c r="AN46" s="756"/>
      <c r="AO46" s="218">
        <f t="shared" si="32"/>
        <v>3240000</v>
      </c>
      <c r="AP46" s="249">
        <f t="shared" si="33"/>
        <v>1260800</v>
      </c>
      <c r="AQ46" s="700"/>
      <c r="AR46" s="700"/>
      <c r="AS46" s="700"/>
      <c r="AT46" s="700"/>
      <c r="AU46" s="700"/>
      <c r="AV46" s="700"/>
    </row>
    <row r="47" spans="1:48" s="718" customFormat="1" ht="60.6" customHeight="1">
      <c r="A47" s="751"/>
      <c r="B47" s="995"/>
      <c r="C47" s="995"/>
      <c r="D47" s="750" t="s">
        <v>408</v>
      </c>
      <c r="E47" s="250">
        <v>1</v>
      </c>
      <c r="F47" s="752" t="s">
        <v>409</v>
      </c>
      <c r="G47" s="250" t="s">
        <v>410</v>
      </c>
      <c r="H47" s="753" t="e">
        <f>[1]Hamaynq1!H74</f>
        <v>#REF!</v>
      </c>
      <c r="I47" s="752"/>
      <c r="J47" s="752"/>
      <c r="K47" s="752"/>
      <c r="L47" s="231" t="s">
        <v>400</v>
      </c>
      <c r="M47" s="752"/>
      <c r="N47" s="754">
        <v>710465</v>
      </c>
      <c r="O47" s="754">
        <v>659540</v>
      </c>
      <c r="P47" s="754">
        <v>37680</v>
      </c>
      <c r="Q47" s="747">
        <f t="shared" si="30"/>
        <v>1407685</v>
      </c>
      <c r="R47" s="234">
        <v>0</v>
      </c>
      <c r="S47" s="234">
        <v>0</v>
      </c>
      <c r="T47" s="234">
        <v>0</v>
      </c>
      <c r="U47" s="234">
        <v>100</v>
      </c>
      <c r="V47" s="851"/>
      <c r="W47" s="752">
        <v>3622</v>
      </c>
      <c r="X47" s="744">
        <f>W47/V43*100</f>
        <v>43.950976823201067</v>
      </c>
      <c r="Y47" s="752">
        <v>0</v>
      </c>
      <c r="Z47" s="752">
        <v>0</v>
      </c>
      <c r="AA47" s="752">
        <v>2994</v>
      </c>
      <c r="AB47" s="752"/>
      <c r="AC47" s="752"/>
      <c r="AD47" s="752"/>
      <c r="AE47" s="752"/>
      <c r="AF47" s="752"/>
      <c r="AG47" s="755"/>
      <c r="AH47" s="755"/>
      <c r="AI47" s="755"/>
      <c r="AJ47" s="755"/>
      <c r="AK47" s="756"/>
      <c r="AL47" s="756"/>
      <c r="AM47" s="756">
        <v>2564800</v>
      </c>
      <c r="AN47" s="756"/>
      <c r="AO47" s="218">
        <f t="shared" si="32"/>
        <v>2564800</v>
      </c>
      <c r="AP47" s="249">
        <f t="shared" si="33"/>
        <v>1157115</v>
      </c>
      <c r="AQ47" s="700"/>
      <c r="AR47" s="700"/>
      <c r="AS47" s="700"/>
      <c r="AT47" s="700"/>
      <c r="AU47" s="700"/>
      <c r="AV47" s="700"/>
    </row>
    <row r="48" spans="1:48" s="718" customFormat="1" ht="60.6" customHeight="1">
      <c r="A48" s="751"/>
      <c r="B48" s="995"/>
      <c r="C48" s="995"/>
      <c r="D48" s="750" t="s">
        <v>411</v>
      </c>
      <c r="E48" s="250">
        <v>1</v>
      </c>
      <c r="F48" s="752" t="s">
        <v>406</v>
      </c>
      <c r="G48" s="750" t="s">
        <v>412</v>
      </c>
      <c r="H48" s="753" t="e">
        <f>[1]Hamaynq1!H75</f>
        <v>#REF!</v>
      </c>
      <c r="I48" s="752"/>
      <c r="J48" s="752"/>
      <c r="K48" s="752"/>
      <c r="L48" s="231" t="s">
        <v>400</v>
      </c>
      <c r="M48" s="752"/>
      <c r="N48" s="754">
        <v>562593</v>
      </c>
      <c r="O48" s="754">
        <v>253820</v>
      </c>
      <c r="P48" s="754">
        <v>4050</v>
      </c>
      <c r="Q48" s="747">
        <f t="shared" si="30"/>
        <v>820463</v>
      </c>
      <c r="R48" s="234">
        <v>0</v>
      </c>
      <c r="S48" s="234">
        <v>13000</v>
      </c>
      <c r="T48" s="234">
        <v>0</v>
      </c>
      <c r="U48" s="234">
        <v>14000</v>
      </c>
      <c r="V48" s="851"/>
      <c r="W48" s="752">
        <v>2150</v>
      </c>
      <c r="X48" s="744">
        <f>W48/V43*100</f>
        <v>26.089066860817862</v>
      </c>
      <c r="Y48" s="752">
        <v>0</v>
      </c>
      <c r="Z48" s="752">
        <v>0</v>
      </c>
      <c r="AA48" s="752">
        <v>125</v>
      </c>
      <c r="AB48" s="752"/>
      <c r="AC48" s="752"/>
      <c r="AD48" s="752"/>
      <c r="AE48" s="752"/>
      <c r="AF48" s="752"/>
      <c r="AG48" s="755"/>
      <c r="AH48" s="755"/>
      <c r="AI48" s="755"/>
      <c r="AJ48" s="755"/>
      <c r="AK48" s="756"/>
      <c r="AL48" s="756"/>
      <c r="AM48" s="756">
        <v>699825</v>
      </c>
      <c r="AN48" s="756"/>
      <c r="AO48" s="218">
        <f t="shared" si="32"/>
        <v>699825</v>
      </c>
      <c r="AP48" s="249">
        <f t="shared" si="33"/>
        <v>-120638</v>
      </c>
      <c r="AQ48" s="700"/>
      <c r="AR48" s="700"/>
      <c r="AS48" s="700"/>
      <c r="AT48" s="700"/>
      <c r="AU48" s="700"/>
      <c r="AV48" s="700"/>
    </row>
    <row r="49" spans="1:48" s="718" customFormat="1" ht="60.6" customHeight="1">
      <c r="A49" s="751"/>
      <c r="B49" s="995"/>
      <c r="C49" s="995"/>
      <c r="D49" s="750" t="s">
        <v>413</v>
      </c>
      <c r="E49" s="250">
        <v>1</v>
      </c>
      <c r="F49" s="752" t="s">
        <v>414</v>
      </c>
      <c r="G49" s="250" t="s">
        <v>415</v>
      </c>
      <c r="H49" s="753" t="e">
        <f>[1]Hamaynq1!H76</f>
        <v>#REF!</v>
      </c>
      <c r="I49" s="752"/>
      <c r="J49" s="752"/>
      <c r="K49" s="752"/>
      <c r="L49" s="231" t="s">
        <v>400</v>
      </c>
      <c r="M49" s="752"/>
      <c r="N49" s="754">
        <v>1148380</v>
      </c>
      <c r="O49" s="754">
        <v>817810</v>
      </c>
      <c r="P49" s="754">
        <v>148000</v>
      </c>
      <c r="Q49" s="747">
        <v>738800</v>
      </c>
      <c r="R49" s="234">
        <v>0</v>
      </c>
      <c r="S49" s="234">
        <v>0</v>
      </c>
      <c r="T49" s="234">
        <v>0</v>
      </c>
      <c r="U49" s="234">
        <v>15000</v>
      </c>
      <c r="V49" s="851"/>
      <c r="W49" s="752">
        <v>5890</v>
      </c>
      <c r="X49" s="744">
        <f>W49/V43*100</f>
        <v>71.471908748938233</v>
      </c>
      <c r="Y49" s="752">
        <v>0</v>
      </c>
      <c r="Z49" s="752">
        <v>0</v>
      </c>
      <c r="AA49" s="752">
        <v>872</v>
      </c>
      <c r="AB49" s="752"/>
      <c r="AC49" s="752"/>
      <c r="AD49" s="752"/>
      <c r="AE49" s="752"/>
      <c r="AF49" s="752"/>
      <c r="AG49" s="755"/>
      <c r="AH49" s="755"/>
      <c r="AI49" s="755"/>
      <c r="AJ49" s="755"/>
      <c r="AK49" s="756"/>
      <c r="AL49" s="756"/>
      <c r="AM49" s="756"/>
      <c r="AN49" s="756">
        <v>843800</v>
      </c>
      <c r="AO49" s="218">
        <f t="shared" si="32"/>
        <v>843800</v>
      </c>
      <c r="AP49" s="249">
        <f t="shared" si="33"/>
        <v>105000</v>
      </c>
      <c r="AQ49" s="700"/>
      <c r="AR49" s="700"/>
      <c r="AS49" s="700"/>
      <c r="AT49" s="700"/>
      <c r="AU49" s="700"/>
      <c r="AV49" s="700"/>
    </row>
    <row r="50" spans="1:48" s="718" customFormat="1" ht="60.6" customHeight="1">
      <c r="A50" s="751"/>
      <c r="B50" s="995"/>
      <c r="C50" s="995"/>
      <c r="D50" s="750" t="s">
        <v>126</v>
      </c>
      <c r="E50" s="250">
        <v>1</v>
      </c>
      <c r="F50" s="752" t="s">
        <v>416</v>
      </c>
      <c r="G50" s="250">
        <v>1007</v>
      </c>
      <c r="H50" s="753" t="e">
        <f>[1]Hamaynq1!H77</f>
        <v>#REF!</v>
      </c>
      <c r="I50" s="752"/>
      <c r="J50" s="752"/>
      <c r="K50" s="752"/>
      <c r="L50" s="231" t="s">
        <v>400</v>
      </c>
      <c r="M50" s="752"/>
      <c r="N50" s="754">
        <v>0</v>
      </c>
      <c r="O50" s="754">
        <v>0</v>
      </c>
      <c r="P50" s="754">
        <v>0</v>
      </c>
      <c r="Q50" s="747">
        <f t="shared" si="30"/>
        <v>0</v>
      </c>
      <c r="R50" s="234">
        <v>0</v>
      </c>
      <c r="S50" s="234">
        <v>0</v>
      </c>
      <c r="T50" s="234">
        <v>0</v>
      </c>
      <c r="U50" s="234">
        <v>39040</v>
      </c>
      <c r="V50" s="851"/>
      <c r="W50" s="752">
        <v>0</v>
      </c>
      <c r="X50" s="744">
        <f>W50/V43*100</f>
        <v>0</v>
      </c>
      <c r="Y50" s="752">
        <v>0</v>
      </c>
      <c r="Z50" s="752">
        <v>0</v>
      </c>
      <c r="AA50" s="752">
        <v>143</v>
      </c>
      <c r="AB50" s="752"/>
      <c r="AC50" s="752"/>
      <c r="AD50" s="752"/>
      <c r="AE50" s="752"/>
      <c r="AF50" s="752"/>
      <c r="AG50" s="755"/>
      <c r="AH50" s="755"/>
      <c r="AI50" s="755"/>
      <c r="AJ50" s="755"/>
      <c r="AK50" s="756"/>
      <c r="AL50" s="756"/>
      <c r="AM50" s="756"/>
      <c r="AN50" s="756"/>
      <c r="AO50" s="218">
        <f t="shared" si="32"/>
        <v>0</v>
      </c>
      <c r="AP50" s="249">
        <f t="shared" si="33"/>
        <v>0</v>
      </c>
      <c r="AQ50" s="700"/>
      <c r="AR50" s="700"/>
      <c r="AS50" s="700"/>
      <c r="AT50" s="700"/>
      <c r="AU50" s="700"/>
      <c r="AV50" s="700"/>
    </row>
    <row r="51" spans="1:48" s="718" customFormat="1" ht="60.6" customHeight="1">
      <c r="A51" s="751"/>
      <c r="B51" s="995"/>
      <c r="C51" s="995"/>
      <c r="D51" s="750" t="s">
        <v>301</v>
      </c>
      <c r="E51" s="250">
        <v>1</v>
      </c>
      <c r="F51" s="752" t="s">
        <v>417</v>
      </c>
      <c r="G51" s="250" t="s">
        <v>1000</v>
      </c>
      <c r="H51" s="753" t="e">
        <f>[1]Hamaynq1!H78</f>
        <v>#REF!</v>
      </c>
      <c r="I51" s="752"/>
      <c r="J51" s="752"/>
      <c r="K51" s="752"/>
      <c r="L51" s="231" t="s">
        <v>400</v>
      </c>
      <c r="M51" s="752"/>
      <c r="N51" s="754">
        <v>0</v>
      </c>
      <c r="O51" s="754">
        <v>0</v>
      </c>
      <c r="P51" s="754">
        <v>0</v>
      </c>
      <c r="Q51" s="747">
        <f t="shared" si="30"/>
        <v>0</v>
      </c>
      <c r="R51" s="234">
        <v>0</v>
      </c>
      <c r="S51" s="234">
        <v>0</v>
      </c>
      <c r="T51" s="234">
        <v>0</v>
      </c>
      <c r="U51" s="234">
        <v>0</v>
      </c>
      <c r="V51" s="851"/>
      <c r="W51" s="752">
        <v>0</v>
      </c>
      <c r="X51" s="744">
        <f>W51/V43*100</f>
        <v>0</v>
      </c>
      <c r="Y51" s="752">
        <v>0</v>
      </c>
      <c r="Z51" s="752">
        <v>0</v>
      </c>
      <c r="AA51" s="752">
        <v>0</v>
      </c>
      <c r="AB51" s="752"/>
      <c r="AC51" s="752"/>
      <c r="AD51" s="752"/>
      <c r="AE51" s="752"/>
      <c r="AF51" s="752"/>
      <c r="AG51" s="755"/>
      <c r="AH51" s="755"/>
      <c r="AI51" s="755"/>
      <c r="AJ51" s="755"/>
      <c r="AK51" s="756"/>
      <c r="AL51" s="756"/>
      <c r="AM51" s="756"/>
      <c r="AN51" s="756"/>
      <c r="AO51" s="218">
        <f t="shared" si="32"/>
        <v>0</v>
      </c>
      <c r="AP51" s="249">
        <f t="shared" si="33"/>
        <v>0</v>
      </c>
      <c r="AQ51" s="700"/>
      <c r="AR51" s="700"/>
      <c r="AS51" s="700"/>
      <c r="AT51" s="700"/>
      <c r="AU51" s="700"/>
      <c r="AV51" s="700"/>
    </row>
    <row r="52" spans="1:48" s="718" customFormat="1" ht="60.6" customHeight="1" thickBot="1">
      <c r="A52" s="751"/>
      <c r="B52" s="996"/>
      <c r="C52" s="996"/>
      <c r="D52" s="750" t="s">
        <v>418</v>
      </c>
      <c r="E52" s="250">
        <v>1</v>
      </c>
      <c r="F52" s="752" t="s">
        <v>419</v>
      </c>
      <c r="G52" s="750" t="s">
        <v>420</v>
      </c>
      <c r="H52" s="753" t="e">
        <f>[1]Hamaynq1!H79</f>
        <v>#REF!</v>
      </c>
      <c r="I52" s="752"/>
      <c r="J52" s="752"/>
      <c r="K52" s="752"/>
      <c r="L52" s="750" t="s">
        <v>400</v>
      </c>
      <c r="M52" s="752"/>
      <c r="N52" s="754">
        <v>622037</v>
      </c>
      <c r="O52" s="754">
        <v>203700</v>
      </c>
      <c r="P52" s="754">
        <v>15000</v>
      </c>
      <c r="Q52" s="747">
        <f t="shared" si="30"/>
        <v>840737</v>
      </c>
      <c r="R52" s="234">
        <v>0</v>
      </c>
      <c r="S52" s="234">
        <v>1200</v>
      </c>
      <c r="T52" s="234">
        <v>0</v>
      </c>
      <c r="U52" s="234">
        <v>13000</v>
      </c>
      <c r="V52" s="998"/>
      <c r="W52" s="752">
        <v>152</v>
      </c>
      <c r="X52" s="744">
        <f>W52/V43*100</f>
        <v>1.8444363548113092</v>
      </c>
      <c r="Y52" s="752">
        <v>0</v>
      </c>
      <c r="Z52" s="752">
        <v>0</v>
      </c>
      <c r="AA52" s="752">
        <v>5770</v>
      </c>
      <c r="AB52" s="752"/>
      <c r="AC52" s="752"/>
      <c r="AD52" s="752"/>
      <c r="AE52" s="752"/>
      <c r="AF52" s="752"/>
      <c r="AG52" s="755"/>
      <c r="AH52" s="755"/>
      <c r="AI52" s="755"/>
      <c r="AJ52" s="755"/>
      <c r="AK52" s="756"/>
      <c r="AL52" s="756"/>
      <c r="AM52" s="756"/>
      <c r="AN52" s="756"/>
      <c r="AO52" s="218">
        <f t="shared" si="32"/>
        <v>0</v>
      </c>
      <c r="AP52" s="249">
        <f t="shared" si="33"/>
        <v>-840737</v>
      </c>
      <c r="AQ52" s="700"/>
      <c r="AR52" s="700"/>
      <c r="AS52" s="700"/>
      <c r="AT52" s="700"/>
      <c r="AU52" s="700"/>
      <c r="AV52" s="700"/>
    </row>
    <row r="53" spans="1:48" ht="24" customHeight="1" thickBot="1">
      <c r="A53" s="136"/>
      <c r="B53" s="137" t="s">
        <v>115</v>
      </c>
      <c r="C53" s="137">
        <f>SUM(C43:C52)</f>
        <v>0</v>
      </c>
      <c r="D53" s="137"/>
      <c r="E53" s="137">
        <f>SUM(E43:E52)</f>
        <v>10</v>
      </c>
      <c r="F53" s="137"/>
      <c r="G53" s="137"/>
      <c r="H53" s="137"/>
      <c r="I53" s="137"/>
      <c r="J53" s="137"/>
      <c r="K53" s="137"/>
      <c r="L53" s="137"/>
      <c r="M53" s="139"/>
      <c r="N53" s="140">
        <f t="shared" ref="N53:AP53" si="34">SUM(N43:N52)</f>
        <v>5033611</v>
      </c>
      <c r="O53" s="141">
        <f t="shared" si="34"/>
        <v>4154080</v>
      </c>
      <c r="P53" s="137">
        <f t="shared" si="34"/>
        <v>425430</v>
      </c>
      <c r="Q53" s="137">
        <f t="shared" si="34"/>
        <v>8237731</v>
      </c>
      <c r="R53" s="137">
        <f t="shared" si="34"/>
        <v>0</v>
      </c>
      <c r="S53" s="137">
        <f t="shared" si="34"/>
        <v>14200</v>
      </c>
      <c r="T53" s="137">
        <f t="shared" si="34"/>
        <v>770</v>
      </c>
      <c r="U53" s="137">
        <f t="shared" si="34"/>
        <v>94340</v>
      </c>
      <c r="V53" s="137">
        <f t="shared" si="34"/>
        <v>8241</v>
      </c>
      <c r="W53" s="137">
        <f t="shared" si="34"/>
        <v>16469</v>
      </c>
      <c r="X53" s="137">
        <f t="shared" si="34"/>
        <v>199.84225215386482</v>
      </c>
      <c r="Y53" s="137">
        <f t="shared" si="34"/>
        <v>0</v>
      </c>
      <c r="Z53" s="137">
        <f t="shared" si="34"/>
        <v>0</v>
      </c>
      <c r="AA53" s="137">
        <f t="shared" si="34"/>
        <v>15857</v>
      </c>
      <c r="AB53" s="137">
        <f t="shared" si="34"/>
        <v>0</v>
      </c>
      <c r="AC53" s="137">
        <f t="shared" si="34"/>
        <v>0</v>
      </c>
      <c r="AD53" s="137">
        <f t="shared" si="34"/>
        <v>0</v>
      </c>
      <c r="AE53" s="137">
        <f t="shared" si="34"/>
        <v>0</v>
      </c>
      <c r="AF53" s="137">
        <f t="shared" si="34"/>
        <v>0</v>
      </c>
      <c r="AG53" s="137">
        <f t="shared" si="34"/>
        <v>0</v>
      </c>
      <c r="AH53" s="137">
        <f t="shared" si="34"/>
        <v>0</v>
      </c>
      <c r="AI53" s="137">
        <f t="shared" si="34"/>
        <v>0</v>
      </c>
      <c r="AJ53" s="137">
        <f t="shared" si="34"/>
        <v>0</v>
      </c>
      <c r="AK53" s="137">
        <f t="shared" si="34"/>
        <v>0</v>
      </c>
      <c r="AL53" s="137">
        <f t="shared" si="34"/>
        <v>0</v>
      </c>
      <c r="AM53" s="137">
        <f t="shared" si="34"/>
        <v>6504625</v>
      </c>
      <c r="AN53" s="137">
        <f t="shared" si="34"/>
        <v>1484660</v>
      </c>
      <c r="AO53" s="137">
        <f t="shared" si="34"/>
        <v>7989285</v>
      </c>
      <c r="AP53" s="211">
        <f t="shared" si="34"/>
        <v>-248446</v>
      </c>
    </row>
    <row r="54" spans="1:48" ht="99" customHeight="1">
      <c r="A54" s="540">
        <v>1</v>
      </c>
      <c r="B54" s="859" t="s">
        <v>421</v>
      </c>
      <c r="C54" s="859">
        <v>9</v>
      </c>
      <c r="D54" s="7" t="s">
        <v>364</v>
      </c>
      <c r="E54" s="52">
        <v>1</v>
      </c>
      <c r="F54" s="73" t="s">
        <v>422</v>
      </c>
      <c r="G54" s="7" t="s">
        <v>423</v>
      </c>
      <c r="H54" s="132" t="s">
        <v>424</v>
      </c>
      <c r="I54" s="52"/>
      <c r="J54" s="52"/>
      <c r="K54" s="52"/>
      <c r="L54" s="7" t="s">
        <v>425</v>
      </c>
      <c r="M54" s="52"/>
      <c r="N54" s="55">
        <v>430500</v>
      </c>
      <c r="O54" s="55">
        <v>224640</v>
      </c>
      <c r="P54" s="55">
        <v>11100</v>
      </c>
      <c r="Q54" s="56">
        <f>N54+O54+P54</f>
        <v>666240</v>
      </c>
      <c r="R54" s="57">
        <v>0</v>
      </c>
      <c r="S54" s="57">
        <v>0</v>
      </c>
      <c r="T54" s="57">
        <v>0</v>
      </c>
      <c r="U54" s="57">
        <v>5000</v>
      </c>
      <c r="V54" s="859">
        <v>11532</v>
      </c>
      <c r="W54" s="52">
        <v>0</v>
      </c>
      <c r="X54" s="52">
        <f>W54/V54*100</f>
        <v>0</v>
      </c>
      <c r="Y54" s="52"/>
      <c r="Z54" s="52"/>
      <c r="AA54" s="52"/>
      <c r="AB54" s="52"/>
      <c r="AC54" s="52"/>
      <c r="AD54" s="52"/>
      <c r="AE54" s="52"/>
      <c r="AF54" s="52"/>
      <c r="AG54" s="58">
        <v>0</v>
      </c>
      <c r="AH54" s="58"/>
      <c r="AI54" s="58"/>
      <c r="AJ54" s="58"/>
      <c r="AK54" s="59"/>
      <c r="AL54" s="59">
        <f t="shared" ref="AL54:AN62" si="35">S54*Z54</f>
        <v>0</v>
      </c>
      <c r="AM54" s="59">
        <f t="shared" si="35"/>
        <v>0</v>
      </c>
      <c r="AN54" s="59">
        <f t="shared" si="35"/>
        <v>0</v>
      </c>
      <c r="AO54" s="13">
        <f>AK54+AL54+AM54+AN54</f>
        <v>0</v>
      </c>
      <c r="AP54" s="60">
        <f>AO54-Q54</f>
        <v>-666240</v>
      </c>
      <c r="AQ54" s="1"/>
      <c r="AR54" s="1"/>
      <c r="AS54" s="1"/>
      <c r="AT54" s="1"/>
      <c r="AU54" s="1"/>
      <c r="AV54" s="1"/>
    </row>
    <row r="55" spans="1:48" ht="95.25" customHeight="1">
      <c r="A55" s="540">
        <v>2</v>
      </c>
      <c r="B55" s="866"/>
      <c r="C55" s="866"/>
      <c r="D55" s="7" t="s">
        <v>364</v>
      </c>
      <c r="E55" s="52">
        <v>1</v>
      </c>
      <c r="F55" s="73" t="s">
        <v>426</v>
      </c>
      <c r="G55" s="7" t="s">
        <v>427</v>
      </c>
      <c r="H55" s="132" t="s">
        <v>424</v>
      </c>
      <c r="I55" s="52"/>
      <c r="J55" s="52"/>
      <c r="K55" s="52"/>
      <c r="L55" s="7" t="s">
        <v>428</v>
      </c>
      <c r="M55" s="52"/>
      <c r="N55" s="55">
        <v>0</v>
      </c>
      <c r="O55" s="55">
        <v>32760</v>
      </c>
      <c r="P55" s="55">
        <v>28500</v>
      </c>
      <c r="Q55" s="56">
        <f>N55+O55+P55</f>
        <v>61260</v>
      </c>
      <c r="R55" s="57">
        <v>30000</v>
      </c>
      <c r="S55" s="57">
        <v>0</v>
      </c>
      <c r="T55" s="57">
        <v>0</v>
      </c>
      <c r="U55" s="57">
        <v>0</v>
      </c>
      <c r="V55" s="866"/>
      <c r="W55" s="52">
        <v>0</v>
      </c>
      <c r="X55" s="52">
        <v>0</v>
      </c>
      <c r="Y55" s="52"/>
      <c r="Z55" s="52"/>
      <c r="AA55" s="52"/>
      <c r="AB55" s="52"/>
      <c r="AC55" s="52"/>
      <c r="AD55" s="52"/>
      <c r="AE55" s="52"/>
      <c r="AF55" s="52"/>
      <c r="AG55" s="58"/>
      <c r="AH55" s="58"/>
      <c r="AI55" s="58"/>
      <c r="AJ55" s="58"/>
      <c r="AK55" s="59">
        <f>R55*Y55</f>
        <v>0</v>
      </c>
      <c r="AL55" s="59">
        <f t="shared" si="35"/>
        <v>0</v>
      </c>
      <c r="AM55" s="59">
        <f t="shared" si="35"/>
        <v>0</v>
      </c>
      <c r="AN55" s="59">
        <f t="shared" si="35"/>
        <v>0</v>
      </c>
      <c r="AO55" s="13">
        <f>AK55+AL55+AM55+AN55</f>
        <v>0</v>
      </c>
      <c r="AP55" s="60">
        <f>AO55-Q55</f>
        <v>-61260</v>
      </c>
      <c r="AQ55" s="1"/>
      <c r="AR55" s="1"/>
      <c r="AS55" s="1"/>
      <c r="AT55" s="1"/>
      <c r="AU55" s="1"/>
      <c r="AV55" s="1"/>
    </row>
    <row r="56" spans="1:48" ht="95.25" customHeight="1">
      <c r="A56" s="542">
        <v>3</v>
      </c>
      <c r="B56" s="866"/>
      <c r="C56" s="866"/>
      <c r="D56" s="7" t="s">
        <v>50</v>
      </c>
      <c r="E56" s="112">
        <v>1</v>
      </c>
      <c r="F56" s="7" t="s">
        <v>429</v>
      </c>
      <c r="G56" s="7" t="s">
        <v>430</v>
      </c>
      <c r="H56" s="132" t="s">
        <v>431</v>
      </c>
      <c r="I56" s="112"/>
      <c r="J56" s="112"/>
      <c r="K56" s="112"/>
      <c r="L56" s="7" t="s">
        <v>432</v>
      </c>
      <c r="M56" s="112"/>
      <c r="N56" s="113">
        <v>344000</v>
      </c>
      <c r="O56" s="113">
        <v>196560</v>
      </c>
      <c r="P56" s="113">
        <v>48600</v>
      </c>
      <c r="Q56" s="56">
        <f t="shared" ref="Q56:Q62" si="36">N56+O56+P56</f>
        <v>589160</v>
      </c>
      <c r="R56" s="114">
        <v>0</v>
      </c>
      <c r="S56" s="114">
        <v>0</v>
      </c>
      <c r="T56" s="114">
        <v>0</v>
      </c>
      <c r="U56" s="114">
        <v>13000</v>
      </c>
      <c r="V56" s="866"/>
      <c r="W56" s="112">
        <v>0</v>
      </c>
      <c r="X56" s="52">
        <v>0</v>
      </c>
      <c r="Y56" s="112"/>
      <c r="Z56" s="112"/>
      <c r="AA56" s="112"/>
      <c r="AB56" s="112"/>
      <c r="AC56" s="112"/>
      <c r="AD56" s="112"/>
      <c r="AE56" s="112"/>
      <c r="AF56" s="112"/>
      <c r="AG56" s="115"/>
      <c r="AH56" s="115"/>
      <c r="AI56" s="115"/>
      <c r="AJ56" s="115"/>
      <c r="AK56" s="59">
        <f t="shared" ref="AK56:AK62" si="37">R56*Y56</f>
        <v>0</v>
      </c>
      <c r="AL56" s="59">
        <f t="shared" si="35"/>
        <v>0</v>
      </c>
      <c r="AM56" s="59">
        <f t="shared" si="35"/>
        <v>0</v>
      </c>
      <c r="AN56" s="59">
        <f t="shared" si="35"/>
        <v>0</v>
      </c>
      <c r="AO56" s="13">
        <f t="shared" ref="AO56:AO62" si="38">AK56+AL56+AM56+AN56</f>
        <v>0</v>
      </c>
      <c r="AP56" s="60">
        <f t="shared" ref="AP56:AP62" si="39">AO56-Q56</f>
        <v>-589160</v>
      </c>
      <c r="AQ56" s="1"/>
      <c r="AR56" s="1"/>
      <c r="AS56" s="1"/>
      <c r="AT56" s="1"/>
      <c r="AU56" s="1"/>
      <c r="AV56" s="1"/>
    </row>
    <row r="57" spans="1:48" ht="95.25" customHeight="1">
      <c r="A57" s="542">
        <v>4</v>
      </c>
      <c r="B57" s="866"/>
      <c r="C57" s="866"/>
      <c r="D57" s="7" t="s">
        <v>61</v>
      </c>
      <c r="E57" s="112">
        <v>1</v>
      </c>
      <c r="F57" s="73" t="s">
        <v>433</v>
      </c>
      <c r="G57" s="7" t="s">
        <v>434</v>
      </c>
      <c r="H57" s="132" t="s">
        <v>431</v>
      </c>
      <c r="I57" s="112"/>
      <c r="J57" s="112"/>
      <c r="K57" s="112"/>
      <c r="L57" s="7" t="s">
        <v>435</v>
      </c>
      <c r="M57" s="112"/>
      <c r="N57" s="113">
        <v>650000</v>
      </c>
      <c r="O57" s="113">
        <v>393120</v>
      </c>
      <c r="P57" s="113">
        <v>133100</v>
      </c>
      <c r="Q57" s="56">
        <f t="shared" si="36"/>
        <v>1176220</v>
      </c>
      <c r="R57" s="114">
        <v>0</v>
      </c>
      <c r="S57" s="114">
        <v>0</v>
      </c>
      <c r="T57" s="114">
        <v>0</v>
      </c>
      <c r="U57" s="114">
        <v>200</v>
      </c>
      <c r="V57" s="866"/>
      <c r="W57" s="112">
        <v>0</v>
      </c>
      <c r="X57" s="52">
        <f>W57/V54*100</f>
        <v>0</v>
      </c>
      <c r="Y57" s="112"/>
      <c r="Z57" s="112"/>
      <c r="AA57" s="112"/>
      <c r="AB57" s="112"/>
      <c r="AC57" s="112"/>
      <c r="AD57" s="112"/>
      <c r="AE57" s="112"/>
      <c r="AF57" s="112"/>
      <c r="AG57" s="115"/>
      <c r="AH57" s="115"/>
      <c r="AI57" s="115"/>
      <c r="AJ57" s="115"/>
      <c r="AK57" s="59">
        <f t="shared" si="37"/>
        <v>0</v>
      </c>
      <c r="AL57" s="59">
        <f t="shared" si="35"/>
        <v>0</v>
      </c>
      <c r="AM57" s="59">
        <f t="shared" si="35"/>
        <v>0</v>
      </c>
      <c r="AN57" s="59">
        <v>0</v>
      </c>
      <c r="AO57" s="13">
        <f t="shared" si="38"/>
        <v>0</v>
      </c>
      <c r="AP57" s="60">
        <f t="shared" si="39"/>
        <v>-1176220</v>
      </c>
      <c r="AQ57" s="1"/>
      <c r="AR57" s="1"/>
      <c r="AS57" s="1"/>
      <c r="AT57" s="1"/>
      <c r="AU57" s="1"/>
      <c r="AV57" s="1"/>
    </row>
    <row r="58" spans="1:48" ht="95.25" customHeight="1">
      <c r="A58" s="542">
        <v>5</v>
      </c>
      <c r="B58" s="866"/>
      <c r="C58" s="866"/>
      <c r="D58" s="7" t="s">
        <v>436</v>
      </c>
      <c r="E58" s="112">
        <v>1</v>
      </c>
      <c r="F58" s="73" t="s">
        <v>437</v>
      </c>
      <c r="G58" s="7" t="s">
        <v>438</v>
      </c>
      <c r="H58" s="132" t="s">
        <v>431</v>
      </c>
      <c r="I58" s="112"/>
      <c r="J58" s="112"/>
      <c r="K58" s="112"/>
      <c r="L58" s="7" t="s">
        <v>439</v>
      </c>
      <c r="M58" s="112"/>
      <c r="N58" s="113">
        <v>1021924</v>
      </c>
      <c r="O58" s="113">
        <v>224400</v>
      </c>
      <c r="P58" s="113">
        <v>68500</v>
      </c>
      <c r="Q58" s="56">
        <f t="shared" si="36"/>
        <v>1314824</v>
      </c>
      <c r="R58" s="114">
        <v>0</v>
      </c>
      <c r="S58" s="114">
        <v>0</v>
      </c>
      <c r="T58" s="114">
        <v>0</v>
      </c>
      <c r="U58" s="114">
        <v>0</v>
      </c>
      <c r="V58" s="866"/>
      <c r="W58" s="112">
        <v>0</v>
      </c>
      <c r="X58" s="52">
        <v>0</v>
      </c>
      <c r="Y58" s="112"/>
      <c r="Z58" s="112"/>
      <c r="AA58" s="112"/>
      <c r="AB58" s="112"/>
      <c r="AC58" s="112"/>
      <c r="AD58" s="112"/>
      <c r="AE58" s="112"/>
      <c r="AF58" s="112"/>
      <c r="AG58" s="115"/>
      <c r="AH58" s="115"/>
      <c r="AI58" s="115"/>
      <c r="AJ58" s="115"/>
      <c r="AK58" s="59">
        <f t="shared" si="37"/>
        <v>0</v>
      </c>
      <c r="AL58" s="59">
        <f t="shared" si="35"/>
        <v>0</v>
      </c>
      <c r="AM58" s="59">
        <f t="shared" si="35"/>
        <v>0</v>
      </c>
      <c r="AN58" s="59">
        <f t="shared" si="35"/>
        <v>0</v>
      </c>
      <c r="AO58" s="13">
        <f t="shared" si="38"/>
        <v>0</v>
      </c>
      <c r="AP58" s="60">
        <f t="shared" si="39"/>
        <v>-1314824</v>
      </c>
      <c r="AQ58" s="1"/>
      <c r="AR58" s="1"/>
      <c r="AS58" s="1"/>
      <c r="AT58" s="1"/>
      <c r="AU58" s="1"/>
      <c r="AV58" s="1"/>
    </row>
    <row r="59" spans="1:48" ht="95.25" customHeight="1">
      <c r="A59" s="542">
        <v>6</v>
      </c>
      <c r="B59" s="866"/>
      <c r="C59" s="866"/>
      <c r="D59" s="7" t="s">
        <v>195</v>
      </c>
      <c r="E59" s="112">
        <v>1</v>
      </c>
      <c r="F59" s="73" t="s">
        <v>440</v>
      </c>
      <c r="G59" s="7" t="s">
        <v>135</v>
      </c>
      <c r="H59" s="132" t="s">
        <v>431</v>
      </c>
      <c r="I59" s="112"/>
      <c r="J59" s="112"/>
      <c r="K59" s="112"/>
      <c r="L59" s="7" t="s">
        <v>441</v>
      </c>
      <c r="M59" s="112"/>
      <c r="N59" s="113">
        <v>1199762</v>
      </c>
      <c r="O59" s="113">
        <v>959400</v>
      </c>
      <c r="P59" s="113">
        <v>193100</v>
      </c>
      <c r="Q59" s="56">
        <f t="shared" si="36"/>
        <v>2352262</v>
      </c>
      <c r="R59" s="114">
        <v>0</v>
      </c>
      <c r="S59" s="114">
        <v>0</v>
      </c>
      <c r="T59" s="114">
        <v>0</v>
      </c>
      <c r="U59" s="114">
        <v>13000</v>
      </c>
      <c r="V59" s="866"/>
      <c r="W59" s="112">
        <v>0</v>
      </c>
      <c r="X59" s="52">
        <v>0</v>
      </c>
      <c r="Y59" s="112"/>
      <c r="Z59" s="112"/>
      <c r="AA59" s="112"/>
      <c r="AB59" s="112"/>
      <c r="AC59" s="112"/>
      <c r="AD59" s="112"/>
      <c r="AE59" s="112"/>
      <c r="AF59" s="112"/>
      <c r="AG59" s="115"/>
      <c r="AH59" s="115"/>
      <c r="AI59" s="115"/>
      <c r="AJ59" s="115"/>
      <c r="AK59" s="59">
        <f t="shared" si="37"/>
        <v>0</v>
      </c>
      <c r="AL59" s="59">
        <f t="shared" si="35"/>
        <v>0</v>
      </c>
      <c r="AM59" s="59">
        <f t="shared" si="35"/>
        <v>0</v>
      </c>
      <c r="AN59" s="59">
        <f t="shared" si="35"/>
        <v>0</v>
      </c>
      <c r="AO59" s="13">
        <f t="shared" si="38"/>
        <v>0</v>
      </c>
      <c r="AP59" s="60">
        <f t="shared" si="39"/>
        <v>-2352262</v>
      </c>
      <c r="AQ59" s="1"/>
      <c r="AR59" s="1"/>
      <c r="AS59" s="1"/>
      <c r="AT59" s="1"/>
      <c r="AU59" s="1"/>
      <c r="AV59" s="1"/>
    </row>
    <row r="60" spans="1:48" ht="95.25" customHeight="1">
      <c r="A60" s="542">
        <v>7</v>
      </c>
      <c r="B60" s="866"/>
      <c r="C60" s="866"/>
      <c r="D60" s="7" t="s">
        <v>442</v>
      </c>
      <c r="E60" s="112">
        <v>1</v>
      </c>
      <c r="F60" s="73">
        <v>44092</v>
      </c>
      <c r="G60" s="7" t="s">
        <v>443</v>
      </c>
      <c r="H60" s="132" t="s">
        <v>431</v>
      </c>
      <c r="I60" s="112"/>
      <c r="J60" s="112"/>
      <c r="K60" s="112"/>
      <c r="L60" s="7" t="s">
        <v>444</v>
      </c>
      <c r="M60" s="112"/>
      <c r="N60" s="113">
        <v>0</v>
      </c>
      <c r="O60" s="113">
        <v>0</v>
      </c>
      <c r="P60" s="113">
        <v>170000</v>
      </c>
      <c r="Q60" s="56">
        <f t="shared" si="36"/>
        <v>170000</v>
      </c>
      <c r="R60" s="114">
        <v>0</v>
      </c>
      <c r="S60" s="114">
        <v>0</v>
      </c>
      <c r="T60" s="114">
        <v>0</v>
      </c>
      <c r="U60" s="114">
        <v>50000</v>
      </c>
      <c r="V60" s="866"/>
      <c r="W60" s="112">
        <v>0</v>
      </c>
      <c r="X60" s="52">
        <v>0</v>
      </c>
      <c r="Y60" s="112"/>
      <c r="Z60" s="112"/>
      <c r="AA60" s="112"/>
      <c r="AB60" s="112"/>
      <c r="AC60" s="112"/>
      <c r="AD60" s="112"/>
      <c r="AE60" s="112"/>
      <c r="AF60" s="112"/>
      <c r="AG60" s="115"/>
      <c r="AH60" s="115"/>
      <c r="AI60" s="115"/>
      <c r="AJ60" s="115"/>
      <c r="AK60" s="59">
        <f t="shared" si="37"/>
        <v>0</v>
      </c>
      <c r="AL60" s="59">
        <f t="shared" si="35"/>
        <v>0</v>
      </c>
      <c r="AM60" s="59">
        <f t="shared" si="35"/>
        <v>0</v>
      </c>
      <c r="AN60" s="59">
        <f t="shared" si="35"/>
        <v>0</v>
      </c>
      <c r="AO60" s="13">
        <f t="shared" si="38"/>
        <v>0</v>
      </c>
      <c r="AP60" s="60">
        <f t="shared" si="39"/>
        <v>-170000</v>
      </c>
      <c r="AQ60" s="1"/>
      <c r="AR60" s="1"/>
      <c r="AS60" s="1"/>
      <c r="AT60" s="1"/>
      <c r="AU60" s="1"/>
      <c r="AV60" s="1"/>
    </row>
    <row r="61" spans="1:48" ht="95.25" customHeight="1">
      <c r="A61" s="542">
        <v>8</v>
      </c>
      <c r="B61" s="866"/>
      <c r="C61" s="866"/>
      <c r="D61" s="7" t="s">
        <v>445</v>
      </c>
      <c r="E61" s="112">
        <v>1</v>
      </c>
      <c r="F61" s="73">
        <v>44092</v>
      </c>
      <c r="G61" s="7" t="s">
        <v>138</v>
      </c>
      <c r="H61" s="132" t="s">
        <v>431</v>
      </c>
      <c r="I61" s="112"/>
      <c r="J61" s="112"/>
      <c r="K61" s="112"/>
      <c r="L61" s="7" t="s">
        <v>444</v>
      </c>
      <c r="M61" s="112"/>
      <c r="N61" s="113">
        <v>700000</v>
      </c>
      <c r="O61" s="113">
        <v>645840</v>
      </c>
      <c r="P61" s="113">
        <v>30600</v>
      </c>
      <c r="Q61" s="56">
        <f t="shared" si="36"/>
        <v>1376440</v>
      </c>
      <c r="R61" s="114">
        <v>0</v>
      </c>
      <c r="S61" s="114">
        <v>0</v>
      </c>
      <c r="T61" s="114">
        <v>0</v>
      </c>
      <c r="U61" s="114">
        <v>10000</v>
      </c>
      <c r="V61" s="866"/>
      <c r="W61" s="112">
        <v>0</v>
      </c>
      <c r="X61" s="52">
        <v>0</v>
      </c>
      <c r="Y61" s="112"/>
      <c r="Z61" s="112"/>
      <c r="AA61" s="112"/>
      <c r="AB61" s="112"/>
      <c r="AC61" s="112"/>
      <c r="AD61" s="112"/>
      <c r="AE61" s="112"/>
      <c r="AF61" s="112"/>
      <c r="AG61" s="115"/>
      <c r="AH61" s="115"/>
      <c r="AI61" s="115"/>
      <c r="AJ61" s="115"/>
      <c r="AK61" s="59">
        <f t="shared" si="37"/>
        <v>0</v>
      </c>
      <c r="AL61" s="59">
        <f t="shared" si="35"/>
        <v>0</v>
      </c>
      <c r="AM61" s="59">
        <f t="shared" si="35"/>
        <v>0</v>
      </c>
      <c r="AN61" s="59">
        <f t="shared" si="35"/>
        <v>0</v>
      </c>
      <c r="AO61" s="13">
        <f t="shared" si="38"/>
        <v>0</v>
      </c>
      <c r="AP61" s="60">
        <f t="shared" si="39"/>
        <v>-1376440</v>
      </c>
      <c r="AQ61" s="1"/>
      <c r="AR61" s="1"/>
      <c r="AS61" s="1"/>
      <c r="AT61" s="1"/>
      <c r="AU61" s="1"/>
      <c r="AV61" s="1"/>
    </row>
    <row r="62" spans="1:48" ht="95.25" customHeight="1" thickBot="1">
      <c r="A62" s="542">
        <v>9</v>
      </c>
      <c r="B62" s="955"/>
      <c r="C62" s="955"/>
      <c r="D62" s="7" t="s">
        <v>446</v>
      </c>
      <c r="E62" s="112">
        <v>1</v>
      </c>
      <c r="F62" s="73">
        <v>44063</v>
      </c>
      <c r="G62" s="7" t="s">
        <v>76</v>
      </c>
      <c r="H62" s="132" t="s">
        <v>431</v>
      </c>
      <c r="I62" s="112"/>
      <c r="J62" s="112"/>
      <c r="K62" s="112"/>
      <c r="L62" s="7" t="s">
        <v>447</v>
      </c>
      <c r="M62" s="112"/>
      <c r="N62" s="113">
        <v>1078000</v>
      </c>
      <c r="O62" s="113">
        <v>491400</v>
      </c>
      <c r="P62" s="113">
        <v>1989700</v>
      </c>
      <c r="Q62" s="56">
        <f t="shared" si="36"/>
        <v>3559100</v>
      </c>
      <c r="R62" s="114">
        <v>0</v>
      </c>
      <c r="S62" s="114">
        <v>0</v>
      </c>
      <c r="T62" s="114">
        <v>0</v>
      </c>
      <c r="U62" s="114">
        <v>0</v>
      </c>
      <c r="V62" s="955"/>
      <c r="W62" s="112">
        <v>0</v>
      </c>
      <c r="X62" s="52">
        <v>0</v>
      </c>
      <c r="Y62" s="112"/>
      <c r="Z62" s="112"/>
      <c r="AA62" s="112"/>
      <c r="AB62" s="112"/>
      <c r="AC62" s="112"/>
      <c r="AD62" s="112"/>
      <c r="AE62" s="112"/>
      <c r="AF62" s="112"/>
      <c r="AG62" s="115"/>
      <c r="AH62" s="115"/>
      <c r="AI62" s="115"/>
      <c r="AJ62" s="115"/>
      <c r="AK62" s="59">
        <f t="shared" si="37"/>
        <v>0</v>
      </c>
      <c r="AL62" s="59">
        <f t="shared" si="35"/>
        <v>0</v>
      </c>
      <c r="AM62" s="59">
        <f t="shared" si="35"/>
        <v>0</v>
      </c>
      <c r="AN62" s="59">
        <f t="shared" si="35"/>
        <v>0</v>
      </c>
      <c r="AO62" s="13">
        <f t="shared" si="38"/>
        <v>0</v>
      </c>
      <c r="AP62" s="60">
        <f t="shared" si="39"/>
        <v>-3559100</v>
      </c>
      <c r="AQ62" s="1"/>
      <c r="AR62" s="1"/>
      <c r="AS62" s="1"/>
      <c r="AT62" s="1"/>
      <c r="AU62" s="1"/>
      <c r="AV62" s="1"/>
    </row>
    <row r="63" spans="1:48" ht="27" customHeight="1" thickBot="1">
      <c r="A63" s="136"/>
      <c r="B63" s="137" t="s">
        <v>115</v>
      </c>
      <c r="C63" s="137">
        <f>SUM(C54:C62)</f>
        <v>9</v>
      </c>
      <c r="D63" s="137"/>
      <c r="E63" s="137">
        <f>SUM(E54:E62)</f>
        <v>9</v>
      </c>
      <c r="F63" s="137"/>
      <c r="G63" s="137"/>
      <c r="H63" s="137"/>
      <c r="I63" s="137"/>
      <c r="J63" s="137"/>
      <c r="K63" s="137"/>
      <c r="L63" s="137"/>
      <c r="M63" s="139"/>
      <c r="N63" s="140">
        <f t="shared" ref="N63:AP63" si="40">SUM(N54:N62)</f>
        <v>5424186</v>
      </c>
      <c r="O63" s="141">
        <f t="shared" si="40"/>
        <v>3168120</v>
      </c>
      <c r="P63" s="137">
        <f t="shared" si="40"/>
        <v>2673200</v>
      </c>
      <c r="Q63" s="137">
        <f t="shared" si="40"/>
        <v>11265506</v>
      </c>
      <c r="R63" s="137">
        <f t="shared" si="40"/>
        <v>30000</v>
      </c>
      <c r="S63" s="137">
        <f t="shared" si="40"/>
        <v>0</v>
      </c>
      <c r="T63" s="137">
        <f t="shared" si="40"/>
        <v>0</v>
      </c>
      <c r="U63" s="137">
        <f t="shared" si="40"/>
        <v>91200</v>
      </c>
      <c r="V63" s="137">
        <f t="shared" si="40"/>
        <v>11532</v>
      </c>
      <c r="W63" s="137">
        <f t="shared" si="40"/>
        <v>0</v>
      </c>
      <c r="X63" s="137">
        <f t="shared" si="40"/>
        <v>0</v>
      </c>
      <c r="Y63" s="137">
        <f t="shared" si="40"/>
        <v>0</v>
      </c>
      <c r="Z63" s="137">
        <f t="shared" si="40"/>
        <v>0</v>
      </c>
      <c r="AA63" s="137">
        <f t="shared" si="40"/>
        <v>0</v>
      </c>
      <c r="AB63" s="137">
        <f t="shared" si="40"/>
        <v>0</v>
      </c>
      <c r="AC63" s="137">
        <f t="shared" si="40"/>
        <v>0</v>
      </c>
      <c r="AD63" s="137">
        <f t="shared" si="40"/>
        <v>0</v>
      </c>
      <c r="AE63" s="137">
        <f t="shared" si="40"/>
        <v>0</v>
      </c>
      <c r="AF63" s="137">
        <f t="shared" si="40"/>
        <v>0</v>
      </c>
      <c r="AG63" s="137">
        <f t="shared" si="40"/>
        <v>0</v>
      </c>
      <c r="AH63" s="137">
        <f t="shared" si="40"/>
        <v>0</v>
      </c>
      <c r="AI63" s="137">
        <f t="shared" si="40"/>
        <v>0</v>
      </c>
      <c r="AJ63" s="137">
        <f t="shared" si="40"/>
        <v>0</v>
      </c>
      <c r="AK63" s="137">
        <f t="shared" si="40"/>
        <v>0</v>
      </c>
      <c r="AL63" s="137">
        <f t="shared" si="40"/>
        <v>0</v>
      </c>
      <c r="AM63" s="137">
        <f t="shared" si="40"/>
        <v>0</v>
      </c>
      <c r="AN63" s="137">
        <f t="shared" si="40"/>
        <v>0</v>
      </c>
      <c r="AO63" s="137">
        <f t="shared" si="40"/>
        <v>0</v>
      </c>
      <c r="AP63" s="211">
        <f t="shared" si="40"/>
        <v>-11265506</v>
      </c>
    </row>
    <row r="64" spans="1:48" ht="109.5" customHeight="1">
      <c r="A64" s="540"/>
      <c r="B64" s="859" t="s">
        <v>464</v>
      </c>
      <c r="C64" s="859">
        <v>16</v>
      </c>
      <c r="D64" s="7" t="s">
        <v>1001</v>
      </c>
      <c r="E64" s="47">
        <v>1</v>
      </c>
      <c r="F64" s="52" t="s">
        <v>1002</v>
      </c>
      <c r="G64" s="52" t="s">
        <v>1003</v>
      </c>
      <c r="H64" s="757" t="s">
        <v>1004</v>
      </c>
      <c r="I64" s="39" t="s">
        <v>193</v>
      </c>
      <c r="J64" s="39" t="s">
        <v>193</v>
      </c>
      <c r="K64" s="39" t="s">
        <v>193</v>
      </c>
      <c r="L64" s="88" t="s">
        <v>1005</v>
      </c>
      <c r="M64" s="80" t="s">
        <v>465</v>
      </c>
      <c r="N64" s="41">
        <v>0</v>
      </c>
      <c r="O64" s="55">
        <v>22000</v>
      </c>
      <c r="P64" s="41">
        <v>0</v>
      </c>
      <c r="Q64" s="758">
        <f>N64+O64+P64</f>
        <v>22000</v>
      </c>
      <c r="R64" s="57">
        <v>0</v>
      </c>
      <c r="S64" s="57">
        <v>0</v>
      </c>
      <c r="T64" s="57">
        <v>0</v>
      </c>
      <c r="U64" s="57">
        <v>0</v>
      </c>
      <c r="V64" s="859">
        <v>6431</v>
      </c>
      <c r="W64" s="52">
        <v>0</v>
      </c>
      <c r="X64" s="52">
        <v>0</v>
      </c>
      <c r="Y64" s="52">
        <v>0</v>
      </c>
      <c r="Z64" s="52">
        <v>0</v>
      </c>
      <c r="AA64" s="52">
        <v>771</v>
      </c>
      <c r="AB64" s="52">
        <v>0</v>
      </c>
      <c r="AC64" s="52">
        <v>0</v>
      </c>
      <c r="AD64" s="52">
        <v>0</v>
      </c>
      <c r="AE64" s="52">
        <v>0</v>
      </c>
      <c r="AF64" s="52">
        <v>0</v>
      </c>
      <c r="AG64" s="58">
        <v>0</v>
      </c>
      <c r="AH64" s="58">
        <v>0</v>
      </c>
      <c r="AI64" s="58">
        <v>0</v>
      </c>
      <c r="AJ64" s="58"/>
      <c r="AK64" s="59">
        <v>0</v>
      </c>
      <c r="AL64" s="59">
        <f t="shared" ref="AL64:AN69" si="41">S64*Z64</f>
        <v>0</v>
      </c>
      <c r="AM64" s="59">
        <f t="shared" si="41"/>
        <v>0</v>
      </c>
      <c r="AN64" s="59">
        <f t="shared" si="41"/>
        <v>0</v>
      </c>
      <c r="AO64" s="13">
        <f>AK64+AL64+AM64+AN64</f>
        <v>0</v>
      </c>
      <c r="AP64" s="60">
        <f>AO64-Q64</f>
        <v>-22000</v>
      </c>
      <c r="AQ64" s="1"/>
      <c r="AR64" s="1"/>
      <c r="AS64" s="1"/>
      <c r="AT64" s="1"/>
      <c r="AU64" s="1"/>
      <c r="AV64" s="1"/>
    </row>
    <row r="65" spans="1:48" ht="98.25" customHeight="1">
      <c r="A65" s="540"/>
      <c r="B65" s="866"/>
      <c r="C65" s="866"/>
      <c r="D65" s="7" t="s">
        <v>466</v>
      </c>
      <c r="E65" s="47">
        <v>1</v>
      </c>
      <c r="F65" s="52" t="s">
        <v>1006</v>
      </c>
      <c r="G65" s="52" t="s">
        <v>467</v>
      </c>
      <c r="H65" s="759" t="s">
        <v>1007</v>
      </c>
      <c r="I65" s="39" t="s">
        <v>193</v>
      </c>
      <c r="J65" s="39" t="s">
        <v>193</v>
      </c>
      <c r="K65" s="39" t="s">
        <v>193</v>
      </c>
      <c r="L65" s="80" t="s">
        <v>1005</v>
      </c>
      <c r="M65" s="80" t="s">
        <v>465</v>
      </c>
      <c r="N65" s="41">
        <v>0</v>
      </c>
      <c r="O65" s="41">
        <v>154850</v>
      </c>
      <c r="P65" s="41">
        <v>0</v>
      </c>
      <c r="Q65" s="758">
        <v>154850</v>
      </c>
      <c r="R65" s="57">
        <v>0</v>
      </c>
      <c r="S65" s="57">
        <v>0</v>
      </c>
      <c r="T65" s="57">
        <v>0</v>
      </c>
      <c r="U65" s="57">
        <v>0</v>
      </c>
      <c r="V65" s="866"/>
      <c r="W65" s="52">
        <v>0</v>
      </c>
      <c r="X65" s="52">
        <v>0</v>
      </c>
      <c r="Y65" s="52">
        <v>0</v>
      </c>
      <c r="Z65" s="52">
        <v>0</v>
      </c>
      <c r="AA65" s="52">
        <v>5218</v>
      </c>
      <c r="AB65" s="52">
        <v>0</v>
      </c>
      <c r="AC65" s="52">
        <v>0</v>
      </c>
      <c r="AD65" s="52">
        <v>0</v>
      </c>
      <c r="AE65" s="52">
        <v>0</v>
      </c>
      <c r="AF65" s="52">
        <v>0</v>
      </c>
      <c r="AG65" s="58">
        <v>0</v>
      </c>
      <c r="AH65" s="58">
        <v>0</v>
      </c>
      <c r="AI65" s="58">
        <v>0</v>
      </c>
      <c r="AJ65" s="58">
        <v>0</v>
      </c>
      <c r="AK65" s="59">
        <v>0</v>
      </c>
      <c r="AL65" s="59">
        <v>0</v>
      </c>
      <c r="AM65" s="59">
        <v>315000</v>
      </c>
      <c r="AN65" s="59">
        <v>0</v>
      </c>
      <c r="AO65" s="760">
        <v>315000</v>
      </c>
      <c r="AP65" s="60">
        <f>AO65-Q65</f>
        <v>160150</v>
      </c>
      <c r="AQ65" s="1"/>
      <c r="AR65" s="1"/>
      <c r="AS65" s="1"/>
      <c r="AT65" s="1"/>
      <c r="AU65" s="1"/>
      <c r="AV65" s="1"/>
    </row>
    <row r="66" spans="1:48" s="152" customFormat="1" ht="98.25" customHeight="1">
      <c r="A66" s="640"/>
      <c r="B66" s="866"/>
      <c r="C66" s="866"/>
      <c r="D66" s="48" t="s">
        <v>220</v>
      </c>
      <c r="E66" s="47">
        <v>1</v>
      </c>
      <c r="F66" s="761" t="s">
        <v>1008</v>
      </c>
      <c r="G66" s="202" t="s">
        <v>468</v>
      </c>
      <c r="H66" s="759" t="s">
        <v>1007</v>
      </c>
      <c r="I66" s="47" t="s">
        <v>193</v>
      </c>
      <c r="J66" s="47" t="s">
        <v>193</v>
      </c>
      <c r="K66" s="47" t="s">
        <v>193</v>
      </c>
      <c r="L66" s="762" t="s">
        <v>1005</v>
      </c>
      <c r="M66" s="762" t="s">
        <v>465</v>
      </c>
      <c r="N66" s="55">
        <v>0</v>
      </c>
      <c r="O66" s="55">
        <v>194400</v>
      </c>
      <c r="P66" s="55">
        <v>0</v>
      </c>
      <c r="Q66" s="758">
        <v>194400</v>
      </c>
      <c r="R66" s="57">
        <v>0</v>
      </c>
      <c r="S66" s="57">
        <v>0</v>
      </c>
      <c r="T66" s="57">
        <v>0</v>
      </c>
      <c r="U66" s="57">
        <v>0</v>
      </c>
      <c r="V66" s="866"/>
      <c r="W66" s="149">
        <v>0</v>
      </c>
      <c r="X66" s="149">
        <v>0</v>
      </c>
      <c r="Y66" s="149">
        <v>0</v>
      </c>
      <c r="Z66" s="47">
        <v>220</v>
      </c>
      <c r="AA66" s="149">
        <v>563</v>
      </c>
      <c r="AB66" s="149">
        <v>0</v>
      </c>
      <c r="AC66" s="149">
        <v>0</v>
      </c>
      <c r="AD66" s="149">
        <v>0</v>
      </c>
      <c r="AE66" s="149">
        <v>0</v>
      </c>
      <c r="AF66" s="149">
        <v>0</v>
      </c>
      <c r="AG66" s="58">
        <v>0</v>
      </c>
      <c r="AH66" s="58">
        <v>0</v>
      </c>
      <c r="AI66" s="58">
        <v>15000</v>
      </c>
      <c r="AJ66" s="58">
        <v>0</v>
      </c>
      <c r="AK66" s="59">
        <v>0</v>
      </c>
      <c r="AL66" s="59">
        <v>0</v>
      </c>
      <c r="AM66" s="59">
        <v>0</v>
      </c>
      <c r="AN66" s="59">
        <v>0</v>
      </c>
      <c r="AO66" s="760">
        <v>15000</v>
      </c>
      <c r="AP66" s="60">
        <f>AO66-Q66</f>
        <v>-179400</v>
      </c>
      <c r="AQ66" s="151"/>
      <c r="AR66" s="151"/>
      <c r="AS66" s="151"/>
      <c r="AT66" s="151"/>
      <c r="AU66" s="151"/>
      <c r="AV66" s="151"/>
    </row>
    <row r="67" spans="1:48" s="152" customFormat="1" ht="102" customHeight="1">
      <c r="A67" s="640"/>
      <c r="B67" s="866"/>
      <c r="C67" s="866"/>
      <c r="D67" s="763" t="s">
        <v>1009</v>
      </c>
      <c r="E67" s="47">
        <v>1</v>
      </c>
      <c r="F67" s="277" t="s">
        <v>1010</v>
      </c>
      <c r="G67" s="47" t="s">
        <v>472</v>
      </c>
      <c r="H67" s="759" t="s">
        <v>1007</v>
      </c>
      <c r="I67" s="47" t="s">
        <v>193</v>
      </c>
      <c r="J67" s="47" t="s">
        <v>193</v>
      </c>
      <c r="K67" s="47" t="s">
        <v>193</v>
      </c>
      <c r="L67" s="762" t="s">
        <v>1005</v>
      </c>
      <c r="M67" s="762" t="s">
        <v>465</v>
      </c>
      <c r="N67" s="55">
        <v>0</v>
      </c>
      <c r="O67" s="55">
        <v>163200</v>
      </c>
      <c r="P67" s="55">
        <v>0</v>
      </c>
      <c r="Q67" s="758">
        <v>163200</v>
      </c>
      <c r="R67" s="57">
        <v>0</v>
      </c>
      <c r="S67" s="57">
        <v>0</v>
      </c>
      <c r="T67" s="57">
        <v>0</v>
      </c>
      <c r="U67" s="57">
        <v>0</v>
      </c>
      <c r="V67" s="866"/>
      <c r="W67" s="149">
        <v>0</v>
      </c>
      <c r="X67" s="149">
        <v>0</v>
      </c>
      <c r="Y67" s="149">
        <v>0</v>
      </c>
      <c r="Z67" s="149">
        <v>1070</v>
      </c>
      <c r="AA67" s="149">
        <v>4</v>
      </c>
      <c r="AB67" s="48" t="s">
        <v>1011</v>
      </c>
      <c r="AC67" s="149">
        <v>0</v>
      </c>
      <c r="AD67" s="149">
        <v>0</v>
      </c>
      <c r="AE67" s="149">
        <v>0</v>
      </c>
      <c r="AF67" s="149">
        <v>0</v>
      </c>
      <c r="AG67" s="58">
        <v>0</v>
      </c>
      <c r="AH67" s="58">
        <v>0</v>
      </c>
      <c r="AI67" s="58">
        <v>0</v>
      </c>
      <c r="AJ67" s="58">
        <v>0</v>
      </c>
      <c r="AK67" s="59">
        <v>0</v>
      </c>
      <c r="AL67" s="59">
        <v>0</v>
      </c>
      <c r="AM67" s="59">
        <v>0</v>
      </c>
      <c r="AN67" s="59">
        <v>0</v>
      </c>
      <c r="AO67" s="760">
        <v>0</v>
      </c>
      <c r="AP67" s="60">
        <f>AO67-Q67</f>
        <v>-163200</v>
      </c>
      <c r="AQ67" s="151"/>
      <c r="AR67" s="151"/>
      <c r="AS67" s="151"/>
      <c r="AT67" s="151"/>
      <c r="AU67" s="151"/>
      <c r="AV67" s="151"/>
    </row>
    <row r="68" spans="1:48" s="152" customFormat="1" ht="90.75" customHeight="1">
      <c r="A68" s="640"/>
      <c r="B68" s="866"/>
      <c r="C68" s="866"/>
      <c r="D68" s="48" t="s">
        <v>48</v>
      </c>
      <c r="E68" s="47">
        <v>1</v>
      </c>
      <c r="F68" s="761" t="s">
        <v>1012</v>
      </c>
      <c r="G68" s="149" t="s">
        <v>473</v>
      </c>
      <c r="H68" s="759" t="s">
        <v>1007</v>
      </c>
      <c r="I68" s="47" t="s">
        <v>193</v>
      </c>
      <c r="J68" s="47" t="s">
        <v>193</v>
      </c>
      <c r="K68" s="47" t="s">
        <v>193</v>
      </c>
      <c r="L68" s="762" t="s">
        <v>1005</v>
      </c>
      <c r="M68" s="762" t="s">
        <v>465</v>
      </c>
      <c r="N68" s="55">
        <v>0</v>
      </c>
      <c r="O68" s="55">
        <v>237600</v>
      </c>
      <c r="P68" s="55">
        <v>0</v>
      </c>
      <c r="Q68" s="758">
        <v>237600</v>
      </c>
      <c r="R68" s="57">
        <v>0</v>
      </c>
      <c r="S68" s="57">
        <v>0</v>
      </c>
      <c r="T68" s="57">
        <v>0</v>
      </c>
      <c r="U68" s="57">
        <v>0</v>
      </c>
      <c r="V68" s="866"/>
      <c r="W68" s="47">
        <v>14</v>
      </c>
      <c r="X68" s="47">
        <v>0.21</v>
      </c>
      <c r="Y68" s="47">
        <v>0</v>
      </c>
      <c r="Z68" s="47">
        <v>230</v>
      </c>
      <c r="AA68" s="47">
        <v>0.5</v>
      </c>
      <c r="AB68" s="48" t="s">
        <v>1013</v>
      </c>
      <c r="AC68" s="149">
        <v>0</v>
      </c>
      <c r="AD68" s="149">
        <v>0</v>
      </c>
      <c r="AE68" s="149">
        <v>0</v>
      </c>
      <c r="AF68" s="48" t="s">
        <v>1014</v>
      </c>
      <c r="AG68" s="58">
        <v>0</v>
      </c>
      <c r="AH68" s="58">
        <v>0</v>
      </c>
      <c r="AI68" s="58">
        <v>0</v>
      </c>
      <c r="AJ68" s="58">
        <v>376000</v>
      </c>
      <c r="AK68" s="59">
        <v>0</v>
      </c>
      <c r="AL68" s="59">
        <v>0</v>
      </c>
      <c r="AM68" s="59">
        <v>0</v>
      </c>
      <c r="AN68" s="59">
        <v>0</v>
      </c>
      <c r="AO68" s="760">
        <v>376000</v>
      </c>
      <c r="AP68" s="764">
        <f>AO68-Q68</f>
        <v>138400</v>
      </c>
      <c r="AQ68" s="151"/>
      <c r="AR68" s="151"/>
      <c r="AS68" s="151"/>
      <c r="AT68" s="151"/>
      <c r="AU68" s="151"/>
      <c r="AV68" s="151"/>
    </row>
    <row r="69" spans="1:48" ht="102.75" customHeight="1">
      <c r="A69" s="540"/>
      <c r="B69" s="866"/>
      <c r="C69" s="866"/>
      <c r="D69" s="7" t="s">
        <v>469</v>
      </c>
      <c r="E69" s="47">
        <v>2</v>
      </c>
      <c r="F69" s="75" t="s">
        <v>1015</v>
      </c>
      <c r="G69" s="7" t="s">
        <v>470</v>
      </c>
      <c r="H69" s="765" t="s">
        <v>1007</v>
      </c>
      <c r="I69" s="39" t="s">
        <v>193</v>
      </c>
      <c r="J69" s="39" t="s">
        <v>193</v>
      </c>
      <c r="K69" s="39" t="s">
        <v>193</v>
      </c>
      <c r="L69" s="80" t="s">
        <v>1005</v>
      </c>
      <c r="M69" s="80" t="s">
        <v>465</v>
      </c>
      <c r="N69" s="55">
        <v>0</v>
      </c>
      <c r="O69" s="55">
        <v>0</v>
      </c>
      <c r="P69" s="55">
        <v>0</v>
      </c>
      <c r="Q69" s="758">
        <v>0</v>
      </c>
      <c r="R69" s="57">
        <v>0</v>
      </c>
      <c r="S69" s="57">
        <v>0</v>
      </c>
      <c r="T69" s="57">
        <v>0</v>
      </c>
      <c r="U69" s="57">
        <v>0</v>
      </c>
      <c r="V69" s="866"/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52">
        <v>0</v>
      </c>
      <c r="AF69" s="52">
        <v>0</v>
      </c>
      <c r="AG69" s="58">
        <v>0</v>
      </c>
      <c r="AH69" s="58">
        <v>0</v>
      </c>
      <c r="AI69" s="58">
        <v>0</v>
      </c>
      <c r="AJ69" s="58">
        <v>0</v>
      </c>
      <c r="AK69" s="59">
        <v>0</v>
      </c>
      <c r="AL69" s="59">
        <f t="shared" si="41"/>
        <v>0</v>
      </c>
      <c r="AM69" s="59">
        <f t="shared" si="41"/>
        <v>0</v>
      </c>
      <c r="AN69" s="59">
        <f t="shared" si="41"/>
        <v>0</v>
      </c>
      <c r="AO69" s="760">
        <f t="shared" ref="AO69" si="42">AK69+AL69+AM69+AN69</f>
        <v>0</v>
      </c>
      <c r="AP69" s="764">
        <f t="shared" ref="AP69" si="43">AO69-Q69</f>
        <v>0</v>
      </c>
      <c r="AQ69" s="1"/>
      <c r="AR69" s="1"/>
      <c r="AS69" s="1"/>
      <c r="AT69" s="1"/>
      <c r="AU69" s="1"/>
      <c r="AV69" s="1"/>
    </row>
    <row r="70" spans="1:48" ht="103.5" customHeight="1">
      <c r="A70" s="542"/>
      <c r="B70" s="866"/>
      <c r="C70" s="866"/>
      <c r="D70" s="328" t="s">
        <v>1016</v>
      </c>
      <c r="E70" s="309">
        <v>1</v>
      </c>
      <c r="F70" s="766" t="s">
        <v>1017</v>
      </c>
      <c r="G70" s="7" t="s">
        <v>471</v>
      </c>
      <c r="H70" s="767" t="s">
        <v>1007</v>
      </c>
      <c r="I70" s="39" t="s">
        <v>193</v>
      </c>
      <c r="J70" s="39" t="s">
        <v>193</v>
      </c>
      <c r="K70" s="39" t="s">
        <v>193</v>
      </c>
      <c r="L70" s="80" t="s">
        <v>1005</v>
      </c>
      <c r="M70" s="768" t="s">
        <v>465</v>
      </c>
      <c r="N70" s="113">
        <v>0</v>
      </c>
      <c r="O70" s="113">
        <v>0</v>
      </c>
      <c r="P70" s="113">
        <v>0</v>
      </c>
      <c r="Q70" s="769">
        <v>0</v>
      </c>
      <c r="R70" s="114">
        <v>0</v>
      </c>
      <c r="S70" s="114">
        <v>0</v>
      </c>
      <c r="T70" s="114">
        <v>0</v>
      </c>
      <c r="U70" s="114">
        <v>0</v>
      </c>
      <c r="V70" s="866"/>
      <c r="W70" s="112">
        <v>0</v>
      </c>
      <c r="X70" s="112">
        <v>0</v>
      </c>
      <c r="Y70" s="112">
        <v>0</v>
      </c>
      <c r="Z70" s="112">
        <v>0</v>
      </c>
      <c r="AA70" s="112">
        <v>0</v>
      </c>
      <c r="AB70" s="112">
        <v>0</v>
      </c>
      <c r="AC70" s="112">
        <v>0</v>
      </c>
      <c r="AD70" s="112">
        <v>0</v>
      </c>
      <c r="AE70" s="112">
        <v>0</v>
      </c>
      <c r="AF70" s="112">
        <v>0</v>
      </c>
      <c r="AG70" s="115">
        <v>0</v>
      </c>
      <c r="AH70" s="115">
        <v>0</v>
      </c>
      <c r="AI70" s="115">
        <v>0</v>
      </c>
      <c r="AJ70" s="115">
        <v>0</v>
      </c>
      <c r="AK70" s="135">
        <v>0</v>
      </c>
      <c r="AL70" s="135">
        <v>0</v>
      </c>
      <c r="AM70" s="135">
        <v>0</v>
      </c>
      <c r="AN70" s="135">
        <v>0</v>
      </c>
      <c r="AO70" s="72">
        <v>0</v>
      </c>
      <c r="AP70" s="770">
        <v>0</v>
      </c>
      <c r="AQ70" s="1"/>
      <c r="AR70" s="1"/>
      <c r="AS70" s="1"/>
      <c r="AT70" s="1"/>
      <c r="AU70" s="1"/>
      <c r="AV70" s="1"/>
    </row>
    <row r="71" spans="1:48" ht="102.75" customHeight="1">
      <c r="A71" s="542"/>
      <c r="B71" s="866"/>
      <c r="C71" s="866"/>
      <c r="D71" s="771" t="s">
        <v>1018</v>
      </c>
      <c r="E71" s="309">
        <v>2</v>
      </c>
      <c r="F71" s="766" t="s">
        <v>1019</v>
      </c>
      <c r="G71" s="772" t="s">
        <v>1020</v>
      </c>
      <c r="H71" s="767" t="s">
        <v>1007</v>
      </c>
      <c r="I71" s="39" t="s">
        <v>193</v>
      </c>
      <c r="J71" s="39" t="s">
        <v>193</v>
      </c>
      <c r="K71" s="39" t="s">
        <v>193</v>
      </c>
      <c r="L71" s="80" t="s">
        <v>1005</v>
      </c>
      <c r="M71" s="768" t="s">
        <v>465</v>
      </c>
      <c r="N71" s="113">
        <v>0</v>
      </c>
      <c r="O71" s="113">
        <v>0</v>
      </c>
      <c r="P71" s="113">
        <v>0</v>
      </c>
      <c r="Q71" s="769">
        <v>0</v>
      </c>
      <c r="R71" s="114">
        <v>0</v>
      </c>
      <c r="S71" s="114">
        <v>0</v>
      </c>
      <c r="T71" s="114">
        <v>0</v>
      </c>
      <c r="U71" s="114">
        <v>0</v>
      </c>
      <c r="V71" s="866"/>
      <c r="W71" s="112">
        <v>0</v>
      </c>
      <c r="X71" s="112">
        <v>0</v>
      </c>
      <c r="Y71" s="112">
        <v>0</v>
      </c>
      <c r="Z71" s="112">
        <v>0</v>
      </c>
      <c r="AA71" s="112">
        <v>0</v>
      </c>
      <c r="AB71" s="112">
        <v>0</v>
      </c>
      <c r="AC71" s="112">
        <v>0</v>
      </c>
      <c r="AD71" s="112">
        <v>0</v>
      </c>
      <c r="AE71" s="112">
        <v>0</v>
      </c>
      <c r="AF71" s="112">
        <v>0</v>
      </c>
      <c r="AG71" s="115">
        <v>0</v>
      </c>
      <c r="AH71" s="115">
        <v>0</v>
      </c>
      <c r="AI71" s="115">
        <v>0</v>
      </c>
      <c r="AJ71" s="115">
        <v>0</v>
      </c>
      <c r="AK71" s="135">
        <v>0</v>
      </c>
      <c r="AL71" s="135">
        <v>0</v>
      </c>
      <c r="AM71" s="135">
        <v>0</v>
      </c>
      <c r="AN71" s="135">
        <v>0</v>
      </c>
      <c r="AO71" s="773">
        <v>0</v>
      </c>
      <c r="AP71" s="770">
        <v>0</v>
      </c>
      <c r="AQ71" s="1"/>
      <c r="AR71" s="1"/>
      <c r="AS71" s="1"/>
      <c r="AT71" s="1"/>
      <c r="AU71" s="1"/>
      <c r="AV71" s="1"/>
    </row>
    <row r="72" spans="1:48" ht="103.5" customHeight="1">
      <c r="A72" s="542"/>
      <c r="B72" s="866"/>
      <c r="C72" s="866"/>
      <c r="D72" s="774" t="s">
        <v>1021</v>
      </c>
      <c r="E72" s="309">
        <v>1</v>
      </c>
      <c r="F72" s="75" t="s">
        <v>1012</v>
      </c>
      <c r="G72" s="7"/>
      <c r="H72" s="142" t="s">
        <v>1007</v>
      </c>
      <c r="I72" s="65" t="s">
        <v>193</v>
      </c>
      <c r="J72" s="65" t="s">
        <v>193</v>
      </c>
      <c r="K72" s="65" t="s">
        <v>193</v>
      </c>
      <c r="L72" s="768" t="s">
        <v>1005</v>
      </c>
      <c r="M72" s="768" t="s">
        <v>465</v>
      </c>
      <c r="N72" s="113">
        <v>0</v>
      </c>
      <c r="O72" s="113">
        <v>0</v>
      </c>
      <c r="P72" s="113">
        <v>0</v>
      </c>
      <c r="Q72" s="769">
        <v>0</v>
      </c>
      <c r="R72" s="114">
        <v>0</v>
      </c>
      <c r="S72" s="114">
        <v>0</v>
      </c>
      <c r="T72" s="114">
        <v>0</v>
      </c>
      <c r="U72" s="114">
        <v>0</v>
      </c>
      <c r="V72" s="866"/>
      <c r="W72" s="112">
        <v>0</v>
      </c>
      <c r="X72" s="112">
        <v>0</v>
      </c>
      <c r="Y72" s="112">
        <v>0</v>
      </c>
      <c r="Z72" s="112">
        <v>0</v>
      </c>
      <c r="AA72" s="112">
        <v>0</v>
      </c>
      <c r="AB72" s="112">
        <v>0</v>
      </c>
      <c r="AC72" s="112">
        <v>0</v>
      </c>
      <c r="AD72" s="112">
        <v>0</v>
      </c>
      <c r="AE72" s="112">
        <v>0</v>
      </c>
      <c r="AF72" s="112">
        <v>0</v>
      </c>
      <c r="AG72" s="115">
        <v>0</v>
      </c>
      <c r="AH72" s="115">
        <v>0</v>
      </c>
      <c r="AI72" s="115">
        <v>0</v>
      </c>
      <c r="AJ72" s="115">
        <v>0</v>
      </c>
      <c r="AK72" s="135">
        <v>0</v>
      </c>
      <c r="AL72" s="135">
        <v>0</v>
      </c>
      <c r="AM72" s="135">
        <v>0</v>
      </c>
      <c r="AN72" s="135">
        <v>0</v>
      </c>
      <c r="AO72" s="775">
        <v>0</v>
      </c>
      <c r="AP72" s="776">
        <v>0</v>
      </c>
      <c r="AQ72" s="1"/>
      <c r="AR72" s="1"/>
      <c r="AS72" s="1"/>
      <c r="AT72" s="1"/>
      <c r="AU72" s="1"/>
      <c r="AV72" s="1"/>
    </row>
    <row r="73" spans="1:48" ht="114" customHeight="1">
      <c r="A73" s="542"/>
      <c r="B73" s="866"/>
      <c r="C73" s="866"/>
      <c r="D73" s="771" t="s">
        <v>1022</v>
      </c>
      <c r="E73" s="309">
        <v>2</v>
      </c>
      <c r="F73" s="766" t="s">
        <v>1023</v>
      </c>
      <c r="G73" s="66" t="s">
        <v>1024</v>
      </c>
      <c r="H73" s="142" t="s">
        <v>1007</v>
      </c>
      <c r="I73" s="65" t="s">
        <v>193</v>
      </c>
      <c r="J73" s="65" t="s">
        <v>193</v>
      </c>
      <c r="K73" s="65" t="s">
        <v>193</v>
      </c>
      <c r="L73" s="768" t="s">
        <v>1005</v>
      </c>
      <c r="M73" s="768" t="s">
        <v>465</v>
      </c>
      <c r="N73" s="113">
        <v>0</v>
      </c>
      <c r="O73" s="113">
        <v>0</v>
      </c>
      <c r="P73" s="113">
        <v>0</v>
      </c>
      <c r="Q73" s="769">
        <v>0</v>
      </c>
      <c r="R73" s="114">
        <v>0</v>
      </c>
      <c r="S73" s="114">
        <v>0</v>
      </c>
      <c r="T73" s="114">
        <v>0</v>
      </c>
      <c r="U73" s="114">
        <v>0</v>
      </c>
      <c r="V73" s="866"/>
      <c r="W73" s="112">
        <v>0</v>
      </c>
      <c r="X73" s="112">
        <v>0</v>
      </c>
      <c r="Y73" s="112">
        <v>0</v>
      </c>
      <c r="Z73" s="112">
        <v>0</v>
      </c>
      <c r="AA73" s="112">
        <v>0</v>
      </c>
      <c r="AB73" s="112">
        <v>0</v>
      </c>
      <c r="AC73" s="112">
        <v>0</v>
      </c>
      <c r="AD73" s="112">
        <v>0</v>
      </c>
      <c r="AE73" s="112">
        <v>0</v>
      </c>
      <c r="AF73" s="112">
        <v>0</v>
      </c>
      <c r="AG73" s="115">
        <v>0</v>
      </c>
      <c r="AH73" s="115">
        <v>0</v>
      </c>
      <c r="AI73" s="115">
        <v>0</v>
      </c>
      <c r="AJ73" s="115">
        <v>0</v>
      </c>
      <c r="AK73" s="135">
        <v>0</v>
      </c>
      <c r="AL73" s="135">
        <v>0</v>
      </c>
      <c r="AM73" s="135">
        <v>0</v>
      </c>
      <c r="AN73" s="135">
        <v>0</v>
      </c>
      <c r="AO73" s="775">
        <v>0</v>
      </c>
      <c r="AP73" s="776">
        <v>0</v>
      </c>
      <c r="AQ73" s="1"/>
      <c r="AR73" s="1"/>
      <c r="AS73" s="1"/>
      <c r="AT73" s="1"/>
      <c r="AU73" s="1"/>
      <c r="AV73" s="1"/>
    </row>
    <row r="74" spans="1:48" ht="107.25" customHeight="1" thickBot="1">
      <c r="A74" s="542"/>
      <c r="B74" s="955"/>
      <c r="C74" s="955"/>
      <c r="D74" s="66" t="s">
        <v>1025</v>
      </c>
      <c r="E74" s="47">
        <v>2</v>
      </c>
      <c r="F74" s="766" t="s">
        <v>1026</v>
      </c>
      <c r="G74" s="66" t="s">
        <v>1027</v>
      </c>
      <c r="H74" s="142" t="s">
        <v>1007</v>
      </c>
      <c r="I74" s="65" t="s">
        <v>193</v>
      </c>
      <c r="J74" s="65" t="s">
        <v>193</v>
      </c>
      <c r="K74" s="65" t="s">
        <v>193</v>
      </c>
      <c r="L74" s="768" t="s">
        <v>1005</v>
      </c>
      <c r="M74" s="768" t="s">
        <v>465</v>
      </c>
      <c r="N74" s="113">
        <v>0</v>
      </c>
      <c r="O74" s="113">
        <v>0</v>
      </c>
      <c r="P74" s="113">
        <v>0</v>
      </c>
      <c r="Q74" s="769">
        <v>0</v>
      </c>
      <c r="R74" s="114">
        <v>0</v>
      </c>
      <c r="S74" s="114">
        <v>0</v>
      </c>
      <c r="T74" s="114">
        <v>0</v>
      </c>
      <c r="U74" s="114">
        <v>0</v>
      </c>
      <c r="V74" s="866"/>
      <c r="W74" s="112">
        <v>0</v>
      </c>
      <c r="X74" s="112">
        <v>0</v>
      </c>
      <c r="Y74" s="112">
        <v>0</v>
      </c>
      <c r="Z74" s="112">
        <v>0</v>
      </c>
      <c r="AA74" s="112">
        <v>0</v>
      </c>
      <c r="AB74" s="112">
        <v>0</v>
      </c>
      <c r="AC74" s="112">
        <v>0</v>
      </c>
      <c r="AD74" s="112">
        <v>0</v>
      </c>
      <c r="AE74" s="112">
        <v>0</v>
      </c>
      <c r="AF74" s="112">
        <v>0</v>
      </c>
      <c r="AG74" s="115">
        <v>0</v>
      </c>
      <c r="AH74" s="115">
        <v>0</v>
      </c>
      <c r="AI74" s="115">
        <v>0</v>
      </c>
      <c r="AJ74" s="115">
        <v>0</v>
      </c>
      <c r="AK74" s="135">
        <v>0</v>
      </c>
      <c r="AL74" s="135">
        <v>0</v>
      </c>
      <c r="AM74" s="135">
        <v>0</v>
      </c>
      <c r="AN74" s="135">
        <v>0</v>
      </c>
      <c r="AO74" s="72">
        <v>0</v>
      </c>
      <c r="AP74" s="342">
        <v>0</v>
      </c>
      <c r="AQ74" s="1"/>
      <c r="AR74" s="1"/>
      <c r="AS74" s="1"/>
      <c r="AT74" s="1"/>
      <c r="AU74" s="1"/>
      <c r="AV74" s="1"/>
    </row>
    <row r="75" spans="1:48" ht="27" customHeight="1" thickBot="1">
      <c r="A75" s="136"/>
      <c r="B75" s="137" t="s">
        <v>115</v>
      </c>
      <c r="C75" s="138">
        <v>12</v>
      </c>
      <c r="D75" s="137"/>
      <c r="E75" s="195">
        <f>SUM(E64:E74)</f>
        <v>15</v>
      </c>
      <c r="F75" s="137"/>
      <c r="G75" s="137"/>
      <c r="H75" s="137"/>
      <c r="I75" s="137"/>
      <c r="J75" s="137"/>
      <c r="K75" s="137"/>
      <c r="L75" s="137"/>
      <c r="M75" s="139"/>
      <c r="N75" s="140">
        <f t="shared" ref="N75:V75" si="44">SUM(N64:N74)</f>
        <v>0</v>
      </c>
      <c r="O75" s="141">
        <f t="shared" si="44"/>
        <v>772050</v>
      </c>
      <c r="P75" s="137">
        <f t="shared" si="44"/>
        <v>0</v>
      </c>
      <c r="Q75" s="137">
        <f t="shared" si="44"/>
        <v>772050</v>
      </c>
      <c r="R75" s="137">
        <f t="shared" si="44"/>
        <v>0</v>
      </c>
      <c r="S75" s="137">
        <f t="shared" si="44"/>
        <v>0</v>
      </c>
      <c r="T75" s="137">
        <f t="shared" si="44"/>
        <v>0</v>
      </c>
      <c r="U75" s="137">
        <f t="shared" si="44"/>
        <v>0</v>
      </c>
      <c r="V75" s="137">
        <f t="shared" si="44"/>
        <v>6431</v>
      </c>
      <c r="W75" s="777">
        <v>0</v>
      </c>
      <c r="X75" s="137">
        <f t="shared" ref="X75:AP75" si="45">SUM(X64:X74)</f>
        <v>0.21</v>
      </c>
      <c r="Y75" s="137">
        <f t="shared" si="45"/>
        <v>0</v>
      </c>
      <c r="Z75" s="137">
        <f t="shared" si="45"/>
        <v>1520</v>
      </c>
      <c r="AA75" s="137">
        <f t="shared" si="45"/>
        <v>6556.5</v>
      </c>
      <c r="AB75" s="137">
        <f t="shared" si="45"/>
        <v>0</v>
      </c>
      <c r="AC75" s="137">
        <f t="shared" si="45"/>
        <v>0</v>
      </c>
      <c r="AD75" s="137">
        <f t="shared" si="45"/>
        <v>0</v>
      </c>
      <c r="AE75" s="137">
        <f t="shared" si="45"/>
        <v>0</v>
      </c>
      <c r="AF75" s="137">
        <f t="shared" si="45"/>
        <v>0</v>
      </c>
      <c r="AG75" s="137">
        <f t="shared" si="45"/>
        <v>0</v>
      </c>
      <c r="AH75" s="137">
        <f t="shared" si="45"/>
        <v>0</v>
      </c>
      <c r="AI75" s="137">
        <f t="shared" si="45"/>
        <v>15000</v>
      </c>
      <c r="AJ75" s="137">
        <f t="shared" si="45"/>
        <v>376000</v>
      </c>
      <c r="AK75" s="137">
        <f t="shared" si="45"/>
        <v>0</v>
      </c>
      <c r="AL75" s="137">
        <f t="shared" si="45"/>
        <v>0</v>
      </c>
      <c r="AM75" s="137">
        <f t="shared" si="45"/>
        <v>315000</v>
      </c>
      <c r="AN75" s="137">
        <f t="shared" si="45"/>
        <v>0</v>
      </c>
      <c r="AO75" s="137">
        <f t="shared" si="45"/>
        <v>706000</v>
      </c>
      <c r="AP75" s="211">
        <f t="shared" si="45"/>
        <v>-66050</v>
      </c>
      <c r="AQ75" s="1"/>
      <c r="AR75" s="1"/>
    </row>
    <row r="76" spans="1:48" ht="27" customHeight="1" thickBot="1">
      <c r="A76" s="171"/>
      <c r="B76" s="173"/>
      <c r="C76" s="216"/>
      <c r="D76" s="173"/>
      <c r="E76" s="308"/>
      <c r="F76" s="173"/>
      <c r="G76" s="173"/>
      <c r="H76" s="173"/>
      <c r="I76" s="173"/>
      <c r="J76" s="173"/>
      <c r="K76" s="173"/>
      <c r="L76" s="173"/>
      <c r="M76" s="778"/>
      <c r="N76" s="779"/>
      <c r="O76" s="780"/>
      <c r="P76" s="173"/>
      <c r="Q76" s="173"/>
      <c r="R76" s="173"/>
      <c r="S76" s="173"/>
      <c r="T76" s="173"/>
      <c r="U76" s="173"/>
      <c r="V76" s="173"/>
      <c r="W76" s="752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  <c r="AM76" s="173"/>
      <c r="AN76" s="173"/>
      <c r="AO76" s="173"/>
      <c r="AP76" s="781"/>
      <c r="AQ76" s="1"/>
      <c r="AR76" s="1"/>
    </row>
    <row r="77" spans="1:48" ht="46.5" customHeight="1" thickBot="1">
      <c r="A77" s="136"/>
      <c r="B77" s="137" t="s">
        <v>115</v>
      </c>
      <c r="C77" s="138">
        <f>C75+C63+C53+C42+C13</f>
        <v>42</v>
      </c>
      <c r="D77" s="138"/>
      <c r="E77" s="138">
        <f t="shared" ref="E77:AP77" si="46">E75+E63+E53+E42+E13</f>
        <v>72</v>
      </c>
      <c r="F77" s="138"/>
      <c r="G77" s="138"/>
      <c r="H77" s="138"/>
      <c r="I77" s="138"/>
      <c r="J77" s="138"/>
      <c r="K77" s="138">
        <f t="shared" si="46"/>
        <v>0</v>
      </c>
      <c r="L77" s="138"/>
      <c r="M77" s="138"/>
      <c r="N77" s="138">
        <f t="shared" si="46"/>
        <v>41606057</v>
      </c>
      <c r="O77" s="138">
        <f t="shared" si="46"/>
        <v>29689661</v>
      </c>
      <c r="P77" s="138">
        <f t="shared" si="46"/>
        <v>11219580</v>
      </c>
      <c r="Q77" s="138">
        <f t="shared" si="46"/>
        <v>80333808</v>
      </c>
      <c r="R77" s="138">
        <f t="shared" si="46"/>
        <v>30000</v>
      </c>
      <c r="S77" s="138">
        <f t="shared" si="46"/>
        <v>24200</v>
      </c>
      <c r="T77" s="138">
        <f t="shared" si="46"/>
        <v>1070</v>
      </c>
      <c r="U77" s="138">
        <f t="shared" si="46"/>
        <v>254460</v>
      </c>
      <c r="V77" s="138">
        <f t="shared" si="46"/>
        <v>60228</v>
      </c>
      <c r="W77" s="138">
        <f t="shared" si="46"/>
        <v>24432</v>
      </c>
      <c r="X77" s="138">
        <f t="shared" si="46"/>
        <v>253.60542091131276</v>
      </c>
      <c r="Y77" s="138">
        <f t="shared" si="46"/>
        <v>22</v>
      </c>
      <c r="Z77" s="138">
        <f t="shared" si="46"/>
        <v>2160</v>
      </c>
      <c r="AA77" s="138">
        <f t="shared" si="46"/>
        <v>28631.5</v>
      </c>
      <c r="AB77" s="138">
        <f t="shared" si="46"/>
        <v>722540</v>
      </c>
      <c r="AC77" s="138">
        <f t="shared" si="46"/>
        <v>0</v>
      </c>
      <c r="AD77" s="138">
        <f t="shared" si="46"/>
        <v>72</v>
      </c>
      <c r="AE77" s="138">
        <f t="shared" si="46"/>
        <v>12570</v>
      </c>
      <c r="AF77" s="138">
        <f t="shared" si="46"/>
        <v>6760</v>
      </c>
      <c r="AG77" s="138">
        <f t="shared" si="46"/>
        <v>0</v>
      </c>
      <c r="AH77" s="138">
        <f t="shared" si="46"/>
        <v>0</v>
      </c>
      <c r="AI77" s="138">
        <f t="shared" si="46"/>
        <v>115800</v>
      </c>
      <c r="AJ77" s="138">
        <f t="shared" si="46"/>
        <v>16516200</v>
      </c>
      <c r="AK77" s="138">
        <f t="shared" si="46"/>
        <v>0</v>
      </c>
      <c r="AL77" s="138">
        <f t="shared" si="46"/>
        <v>0</v>
      </c>
      <c r="AM77" s="138">
        <f t="shared" si="46"/>
        <v>6920425</v>
      </c>
      <c r="AN77" s="138">
        <f t="shared" si="46"/>
        <v>4107160</v>
      </c>
      <c r="AO77" s="138">
        <f t="shared" si="46"/>
        <v>19457585</v>
      </c>
      <c r="AP77" s="138">
        <f t="shared" si="46"/>
        <v>-55691923</v>
      </c>
      <c r="AQ77" s="1"/>
      <c r="AR77" s="1"/>
    </row>
    <row r="78" spans="1:48" ht="36" customHeight="1">
      <c r="B78" s="895" t="s">
        <v>116</v>
      </c>
      <c r="C78" s="895"/>
      <c r="D78" s="895"/>
      <c r="E78" s="895"/>
      <c r="F78" s="895"/>
      <c r="G78" s="895"/>
      <c r="H78" s="895"/>
      <c r="I78" s="895"/>
      <c r="J78" s="895"/>
      <c r="K78" s="895"/>
      <c r="L78" s="895"/>
      <c r="M78" s="895"/>
      <c r="N78" s="895"/>
      <c r="O78" s="895"/>
      <c r="P78" s="895"/>
      <c r="Q78" s="895"/>
      <c r="R78" s="895"/>
      <c r="S78" s="895"/>
      <c r="T78" s="895"/>
      <c r="U78" s="895"/>
      <c r="V78" s="895"/>
      <c r="W78" s="895"/>
      <c r="X78" s="895"/>
      <c r="Y78" s="895"/>
      <c r="Z78" s="895"/>
      <c r="AA78" s="895"/>
      <c r="AB78" s="895"/>
      <c r="AC78" s="895"/>
      <c r="AD78" s="895"/>
      <c r="AE78" s="895"/>
      <c r="AF78" s="895"/>
      <c r="AG78" s="348"/>
      <c r="AH78" s="348"/>
      <c r="AI78" s="348"/>
      <c r="AJ78" s="348"/>
      <c r="AK78" s="348"/>
      <c r="AL78" s="348"/>
      <c r="AM78" s="348"/>
      <c r="AN78" s="348"/>
    </row>
    <row r="79" spans="1:48">
      <c r="AG79" s="50"/>
      <c r="AH79" s="50"/>
      <c r="AI79" s="50"/>
      <c r="AJ79" s="50"/>
    </row>
    <row r="80" spans="1:48">
      <c r="AG80" s="50"/>
      <c r="AH80" s="50"/>
      <c r="AI80" s="50"/>
      <c r="AJ80" s="50"/>
    </row>
    <row r="81" s="50" customFormat="1"/>
    <row r="82" s="50" customFormat="1"/>
    <row r="83" s="50" customFormat="1"/>
    <row r="84" s="50" customFormat="1"/>
    <row r="85" s="50" customFormat="1"/>
    <row r="86" s="50" customFormat="1"/>
    <row r="87" s="50" customFormat="1"/>
    <row r="88" s="50" customFormat="1"/>
    <row r="89" s="50" customFormat="1"/>
    <row r="90" s="50" customFormat="1"/>
    <row r="91" s="50" customFormat="1"/>
    <row r="92" s="50" customFormat="1"/>
    <row r="93" s="50" customFormat="1"/>
    <row r="94" s="50" customFormat="1"/>
    <row r="95" s="50" customFormat="1"/>
    <row r="96" s="50" customFormat="1"/>
    <row r="97" s="50" customFormat="1"/>
    <row r="98" s="50" customFormat="1"/>
    <row r="99" s="50" customFormat="1"/>
    <row r="100" s="50" customFormat="1"/>
    <row r="101" s="50" customFormat="1"/>
    <row r="102" s="50" customFormat="1"/>
    <row r="103" s="50" customFormat="1"/>
    <row r="104" s="50" customFormat="1"/>
    <row r="105" s="50" customFormat="1"/>
    <row r="106" s="50" customFormat="1"/>
    <row r="107" s="50" customFormat="1"/>
    <row r="108" s="50" customFormat="1"/>
    <row r="109" s="50" customFormat="1"/>
    <row r="110" s="50" customFormat="1"/>
    <row r="111" s="50" customFormat="1"/>
    <row r="112" s="50" customFormat="1"/>
    <row r="113" s="50" customFormat="1"/>
    <row r="114" s="50" customFormat="1"/>
    <row r="115" s="50" customFormat="1"/>
    <row r="116" s="50" customFormat="1"/>
    <row r="117" s="50" customFormat="1"/>
    <row r="118" s="50" customFormat="1"/>
    <row r="119" s="50" customFormat="1"/>
    <row r="120" s="50" customFormat="1"/>
    <row r="121" s="50" customFormat="1"/>
    <row r="122" s="50" customFormat="1"/>
    <row r="123" s="50" customFormat="1"/>
    <row r="124" s="50" customFormat="1"/>
    <row r="125" s="50" customFormat="1"/>
    <row r="126" s="50" customFormat="1"/>
    <row r="127" s="50" customFormat="1"/>
    <row r="128" s="50" customFormat="1"/>
    <row r="129" s="50" customFormat="1"/>
    <row r="130" s="50" customFormat="1"/>
    <row r="131" s="50" customFormat="1"/>
    <row r="132" s="50" customFormat="1"/>
    <row r="133" s="50" customFormat="1"/>
    <row r="134" s="50" customFormat="1"/>
    <row r="135" s="50" customFormat="1"/>
    <row r="136" s="50" customFormat="1"/>
    <row r="137" s="50" customFormat="1"/>
    <row r="138" s="50" customFormat="1"/>
    <row r="139" s="50" customFormat="1"/>
    <row r="140" s="50" customFormat="1"/>
    <row r="141" s="50" customFormat="1"/>
    <row r="142" s="50" customFormat="1"/>
    <row r="143" s="50" customFormat="1"/>
    <row r="144" s="50" customFormat="1"/>
    <row r="145" s="50" customFormat="1"/>
    <row r="146" s="50" customFormat="1"/>
    <row r="147" s="50" customFormat="1"/>
    <row r="148" s="50" customFormat="1"/>
    <row r="149" s="50" customFormat="1"/>
    <row r="150" s="50" customFormat="1"/>
    <row r="151" s="50" customFormat="1"/>
    <row r="152" s="50" customFormat="1"/>
    <row r="153" s="50" customFormat="1"/>
    <row r="154" s="50" customFormat="1"/>
    <row r="155" s="50" customFormat="1"/>
    <row r="156" s="50" customFormat="1"/>
    <row r="157" s="50" customFormat="1"/>
    <row r="158" s="50" customFormat="1"/>
    <row r="159" s="50" customFormat="1"/>
    <row r="160" s="50" customFormat="1"/>
    <row r="161" s="50" customFormat="1"/>
    <row r="162" s="50" customFormat="1"/>
    <row r="163" s="50" customFormat="1"/>
    <row r="164" s="50" customFormat="1"/>
    <row r="165" s="50" customFormat="1"/>
    <row r="166" s="50" customFormat="1"/>
    <row r="167" s="50" customFormat="1"/>
    <row r="168" s="50" customFormat="1"/>
    <row r="169" s="50" customFormat="1"/>
    <row r="170" s="50" customFormat="1"/>
    <row r="171" s="50" customFormat="1"/>
    <row r="172" s="50" customFormat="1"/>
    <row r="173" s="50" customFormat="1"/>
    <row r="174" s="50" customFormat="1"/>
    <row r="175" s="50" customFormat="1"/>
    <row r="176" s="50" customFormat="1"/>
    <row r="177" s="50" customFormat="1"/>
    <row r="178" s="50" customFormat="1"/>
    <row r="179" s="50" customFormat="1"/>
    <row r="180" s="50" customFormat="1"/>
    <row r="181" s="50" customFormat="1"/>
    <row r="182" s="50" customFormat="1"/>
    <row r="183" s="50" customFormat="1"/>
    <row r="184" s="50" customFormat="1"/>
    <row r="185" s="50" customFormat="1"/>
    <row r="186" s="50" customFormat="1"/>
    <row r="187" s="50" customFormat="1"/>
    <row r="188" s="50" customFormat="1"/>
    <row r="189" s="50" customFormat="1"/>
    <row r="190" s="50" customFormat="1"/>
    <row r="191" s="50" customFormat="1"/>
    <row r="192" s="50" customFormat="1"/>
    <row r="193" s="50" customFormat="1"/>
    <row r="194" s="50" customFormat="1"/>
    <row r="195" s="50" customFormat="1"/>
    <row r="196" s="50" customFormat="1"/>
    <row r="197" s="50" customFormat="1"/>
    <row r="198" s="50" customFormat="1"/>
    <row r="199" s="50" customFormat="1"/>
    <row r="200" s="50" customFormat="1"/>
    <row r="201" s="50" customFormat="1"/>
    <row r="202" s="50" customFormat="1"/>
    <row r="203" s="50" customFormat="1"/>
    <row r="204" s="50" customFormat="1"/>
  </sheetData>
  <mergeCells count="48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B7:B12"/>
    <mergeCell ref="C7:C12"/>
    <mergeCell ref="V7:V12"/>
    <mergeCell ref="B14:B41"/>
    <mergeCell ref="C14:C41"/>
    <mergeCell ref="V14:V41"/>
    <mergeCell ref="B64:B74"/>
    <mergeCell ref="C64:C74"/>
    <mergeCell ref="V64:V74"/>
    <mergeCell ref="B78:AF78"/>
    <mergeCell ref="B43:B52"/>
    <mergeCell ref="C43:C52"/>
    <mergeCell ref="V43:V52"/>
    <mergeCell ref="B54:B62"/>
    <mergeCell ref="C54:C62"/>
    <mergeCell ref="V54:V62"/>
  </mergeCells>
  <pageMargins left="0.22" right="0.2" top="0.4" bottom="0.17" header="0.3" footer="0.17"/>
  <pageSetup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Արագածոտն</vt:lpstr>
      <vt:lpstr>Արարատ</vt:lpstr>
      <vt:lpstr>Արմավիր</vt:lpstr>
      <vt:lpstr>Գեղարքունիք</vt:lpstr>
      <vt:lpstr>Լոռի</vt:lpstr>
      <vt:lpstr>Կոտայք</vt:lpstr>
      <vt:lpstr>Շիրակ</vt:lpstr>
      <vt:lpstr>Սյունիք</vt:lpstr>
      <vt:lpstr>Վայոց ձոր</vt:lpstr>
      <vt:lpstr>Տավուշ</vt:lpstr>
      <vt:lpstr>Ամփոփ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Yeghiazar Davtyan</cp:lastModifiedBy>
  <dcterms:created xsi:type="dcterms:W3CDTF">2025-05-08T06:51:19Z</dcterms:created>
  <dcterms:modified xsi:type="dcterms:W3CDTF">2026-06-17T14:07:51Z</dcterms:modified>
</cp:coreProperties>
</file>