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F6382120-C077-42C8-963A-D6C1ECA10416}" xr6:coauthVersionLast="47" xr6:coauthVersionMax="47" xr10:uidLastSave="{00000000-0000-0000-0000-000000000000}"/>
  <bookViews>
    <workbookView xWindow="-120" yWindow="-120" windowWidth="29040" windowHeight="15720" tabRatio="627" firstSheet="8" activeTab="15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 (42013)" sheetId="8" r:id="rId6"/>
    <sheet name="Հ5 (ԿֆՎ)" sheetId="28" r:id="rId7"/>
    <sheet name="Հ6" sheetId="7" r:id="rId8"/>
    <sheet name="Հ7 Ձև1 (Grant Euro)" sheetId="30" r:id="rId9"/>
    <sheet name="Հ7 Ձև1 (Grant AMD) " sheetId="31" r:id="rId10"/>
    <sheet name="Հ7 Ձև2 (Loan 42008 Euro)" sheetId="32" r:id="rId11"/>
    <sheet name="Հ7 Ձև2 (Loan 42008 AMD)" sheetId="33" r:id="rId12"/>
    <sheet name="Հ7 Ձև2" sheetId="19" r:id="rId13"/>
    <sheet name="Հ7 Ձև2 (դրամ)" sheetId="26" r:id="rId14"/>
    <sheet name="Հ7 Ձև3" sheetId="20" r:id="rId15"/>
    <sheet name="Հ8" sheetId="10" r:id="rId16"/>
    <sheet name="Հ9" sheetId="12" r:id="rId17"/>
    <sheet name="Հ10" sheetId="16" r:id="rId18"/>
    <sheet name="Հ11" sheetId="25" r:id="rId19"/>
    <sheet name="Լրացման պահանջներ" sheetId="14" r:id="rId20"/>
  </sheets>
  <definedNames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2'!$H$25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  <definedName name="_xlnm._FilterDatabase" localSheetId="18" hidden="1">Հ11!$B$5:$T$5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9" l="1"/>
  <c r="F8" i="19"/>
  <c r="W8" i="19"/>
  <c r="S5" i="8"/>
  <c r="R5" i="8"/>
  <c r="P5" i="8"/>
  <c r="O5" i="8"/>
  <c r="M5" i="8"/>
  <c r="L5" i="8"/>
  <c r="Z11" i="31" l="1"/>
  <c r="AA11" i="31"/>
  <c r="AA10" i="31"/>
  <c r="Z10" i="31"/>
  <c r="X10" i="31"/>
  <c r="W11" i="31"/>
  <c r="X11" i="31"/>
  <c r="N5" i="8"/>
  <c r="AA8" i="26"/>
  <c r="O8" i="26"/>
  <c r="AD11" i="32" l="1"/>
  <c r="AC11" i="32"/>
  <c r="P18" i="31"/>
  <c r="P11" i="31"/>
  <c r="P10" i="31"/>
  <c r="Q18" i="30"/>
  <c r="P18" i="30"/>
  <c r="P11" i="30"/>
  <c r="P10" i="30"/>
  <c r="T10" i="30"/>
  <c r="S10" i="30" s="1"/>
  <c r="U11" i="30" l="1"/>
  <c r="AA11" i="30" s="1"/>
  <c r="T11" i="30"/>
  <c r="Z11" i="30" s="1"/>
  <c r="V9" i="30"/>
  <c r="Z10" i="30"/>
  <c r="Y10" i="30" s="1"/>
  <c r="V10" i="30"/>
  <c r="S11" i="30" l="1"/>
  <c r="V11" i="30" l="1"/>
  <c r="H9" i="1"/>
  <c r="I9" i="1"/>
  <c r="J9" i="1"/>
  <c r="K9" i="1"/>
  <c r="G9" i="1"/>
  <c r="G8" i="1" s="1"/>
  <c r="R8" i="28"/>
  <c r="J7" i="28"/>
  <c r="I7" i="28"/>
  <c r="P7" i="28"/>
  <c r="O7" i="28"/>
  <c r="S5" i="28"/>
  <c r="R5" i="28"/>
  <c r="J5" i="28"/>
  <c r="I5" i="28"/>
  <c r="E9" i="10" l="1"/>
  <c r="F9" i="10"/>
  <c r="D9" i="10"/>
  <c r="C7" i="10"/>
  <c r="AS17" i="33" l="1"/>
  <c r="AR17" i="33"/>
  <c r="AQ17" i="33" s="1"/>
  <c r="AP17" i="33"/>
  <c r="AO17" i="33"/>
  <c r="AN17" i="33"/>
  <c r="AM17" i="33"/>
  <c r="AL17" i="33"/>
  <c r="AK17" i="33"/>
  <c r="AJ17" i="33"/>
  <c r="AI17" i="33"/>
  <c r="AH17" i="33"/>
  <c r="AG17" i="33"/>
  <c r="AF17" i="33"/>
  <c r="AE17" i="33" s="1"/>
  <c r="R17" i="33"/>
  <c r="Q17" i="33"/>
  <c r="P17" i="33" s="1"/>
  <c r="O17" i="33"/>
  <c r="N17" i="33"/>
  <c r="M17" i="33"/>
  <c r="L17" i="33"/>
  <c r="K17" i="33"/>
  <c r="J17" i="33"/>
  <c r="H17" i="33"/>
  <c r="G17" i="33" s="1"/>
  <c r="AT16" i="33"/>
  <c r="AQ16" i="33"/>
  <c r="AN16" i="33"/>
  <c r="AK16" i="33"/>
  <c r="AH16" i="33"/>
  <c r="AE16" i="33"/>
  <c r="AB16" i="33"/>
  <c r="Y16" i="33"/>
  <c r="V16" i="33"/>
  <c r="S16" i="33"/>
  <c r="P16" i="33"/>
  <c r="M16" i="33"/>
  <c r="J16" i="33"/>
  <c r="G16" i="33"/>
  <c r="AT15" i="33"/>
  <c r="AQ15" i="33"/>
  <c r="AN15" i="33"/>
  <c r="AK15" i="33"/>
  <c r="AH15" i="33"/>
  <c r="AE15" i="33"/>
  <c r="AB15" i="33"/>
  <c r="Y15" i="33"/>
  <c r="V15" i="33"/>
  <c r="S15" i="33"/>
  <c r="P15" i="33"/>
  <c r="M15" i="33"/>
  <c r="J15" i="33"/>
  <c r="G15" i="33"/>
  <c r="AT14" i="33"/>
  <c r="AQ14" i="33"/>
  <c r="AN14" i="33"/>
  <c r="AK14" i="33"/>
  <c r="AH14" i="33"/>
  <c r="AE14" i="33"/>
  <c r="AB14" i="33"/>
  <c r="Y14" i="33"/>
  <c r="V14" i="33"/>
  <c r="S14" i="33"/>
  <c r="P14" i="33"/>
  <c r="M14" i="33"/>
  <c r="J14" i="33"/>
  <c r="G14" i="33"/>
  <c r="AT13" i="33"/>
  <c r="AQ13" i="33"/>
  <c r="AN13" i="33"/>
  <c r="AK13" i="33"/>
  <c r="AH13" i="33"/>
  <c r="AE13" i="33"/>
  <c r="AB13" i="33"/>
  <c r="Y13" i="33"/>
  <c r="V13" i="33"/>
  <c r="S13" i="33"/>
  <c r="P13" i="33"/>
  <c r="M13" i="33"/>
  <c r="J13" i="33"/>
  <c r="G13" i="33"/>
  <c r="AT12" i="33"/>
  <c r="AQ12" i="33"/>
  <c r="AN12" i="33"/>
  <c r="AK12" i="33"/>
  <c r="AH12" i="33"/>
  <c r="AE12" i="33"/>
  <c r="AB12" i="33"/>
  <c r="Y12" i="33"/>
  <c r="V12" i="33"/>
  <c r="S12" i="33"/>
  <c r="P12" i="33"/>
  <c r="M12" i="33"/>
  <c r="J12" i="33"/>
  <c r="G12" i="33"/>
  <c r="AQ11" i="33"/>
  <c r="AN11" i="33"/>
  <c r="AK11" i="33"/>
  <c r="AH11" i="33"/>
  <c r="AE11" i="33"/>
  <c r="AA11" i="33"/>
  <c r="AA17" i="33" s="1"/>
  <c r="Z11" i="33"/>
  <c r="Y11" i="33" s="1"/>
  <c r="X11" i="33"/>
  <c r="X17" i="33" s="1"/>
  <c r="W11" i="33"/>
  <c r="W17" i="33" s="1"/>
  <c r="V17" i="33" s="1"/>
  <c r="V11" i="33"/>
  <c r="P11" i="33"/>
  <c r="M11" i="33"/>
  <c r="J11" i="33"/>
  <c r="I11" i="33"/>
  <c r="I17" i="33" s="1"/>
  <c r="H11" i="33"/>
  <c r="G11" i="33" s="1"/>
  <c r="AS10" i="33"/>
  <c r="AR10" i="33"/>
  <c r="AQ10" i="33"/>
  <c r="AP10" i="33"/>
  <c r="AO10" i="33"/>
  <c r="AN10" i="33"/>
  <c r="AM10" i="33"/>
  <c r="AL10" i="33"/>
  <c r="AK10" i="33" s="1"/>
  <c r="AJ10" i="33"/>
  <c r="AV10" i="33" s="1"/>
  <c r="AI10" i="33"/>
  <c r="AU10" i="33" s="1"/>
  <c r="AT10" i="33" s="1"/>
  <c r="AH10" i="33"/>
  <c r="AE10" i="33"/>
  <c r="AA10" i="33"/>
  <c r="Z10" i="33"/>
  <c r="Y10" i="33"/>
  <c r="X10" i="33"/>
  <c r="V10" i="33" s="1"/>
  <c r="W10" i="33"/>
  <c r="Q10" i="33"/>
  <c r="P10" i="33"/>
  <c r="M10" i="33"/>
  <c r="J10" i="33"/>
  <c r="I10" i="33"/>
  <c r="U10" i="33" s="1"/>
  <c r="AD10" i="33" s="1"/>
  <c r="H10" i="33"/>
  <c r="T10" i="33" s="1"/>
  <c r="G10" i="33"/>
  <c r="AS9" i="33"/>
  <c r="AQ9" i="33" s="1"/>
  <c r="AR9" i="33"/>
  <c r="AP9" i="33"/>
  <c r="AO9" i="33"/>
  <c r="AN9" i="33" s="1"/>
  <c r="AM9" i="33"/>
  <c r="AL9" i="33"/>
  <c r="AK9" i="33"/>
  <c r="AJ9" i="33"/>
  <c r="AV9" i="33" s="1"/>
  <c r="AI9" i="33"/>
  <c r="AU9" i="33" s="1"/>
  <c r="AT9" i="33" s="1"/>
  <c r="AH9" i="33"/>
  <c r="AE9" i="33"/>
  <c r="AA9" i="33"/>
  <c r="Z9" i="33"/>
  <c r="Y9" i="33"/>
  <c r="X9" i="33"/>
  <c r="W9" i="33"/>
  <c r="V9" i="33" s="1"/>
  <c r="Q9" i="33"/>
  <c r="P9" i="33"/>
  <c r="M9" i="33"/>
  <c r="J9" i="33"/>
  <c r="H9" i="33"/>
  <c r="T9" i="33" s="1"/>
  <c r="AR8" i="33"/>
  <c r="AL8" i="33"/>
  <c r="AJ8" i="33"/>
  <c r="AE8" i="33"/>
  <c r="Z8" i="33"/>
  <c r="X8" i="33"/>
  <c r="W8" i="33"/>
  <c r="V8" i="33"/>
  <c r="P8" i="33"/>
  <c r="M8" i="33"/>
  <c r="J8" i="33"/>
  <c r="I8" i="33"/>
  <c r="G8" i="33" s="1"/>
  <c r="H8" i="33"/>
  <c r="T8" i="33" s="1"/>
  <c r="AV17" i="32"/>
  <c r="AU17" i="32"/>
  <c r="AT17" i="32"/>
  <c r="AS17" i="32"/>
  <c r="AR17" i="32"/>
  <c r="AQ17" i="32"/>
  <c r="AP17" i="32"/>
  <c r="AN17" i="32" s="1"/>
  <c r="AO17" i="32"/>
  <c r="AM17" i="32"/>
  <c r="AL17" i="32"/>
  <c r="AK17" i="32" s="1"/>
  <c r="AJ17" i="32"/>
  <c r="AI17" i="32"/>
  <c r="AH17" i="32"/>
  <c r="AG17" i="32"/>
  <c r="AF17" i="32"/>
  <c r="AE17" i="32"/>
  <c r="AA17" i="32"/>
  <c r="Y17" i="32" s="1"/>
  <c r="Z17" i="32"/>
  <c r="X17" i="32"/>
  <c r="W17" i="32"/>
  <c r="V17" i="32"/>
  <c r="R17" i="32"/>
  <c r="P17" i="32" s="1"/>
  <c r="Q17" i="32"/>
  <c r="O17" i="32"/>
  <c r="M17" i="32" s="1"/>
  <c r="N17" i="32"/>
  <c r="L17" i="32"/>
  <c r="K17" i="32"/>
  <c r="J17" i="32"/>
  <c r="I17" i="32"/>
  <c r="H17" i="32"/>
  <c r="G17" i="32"/>
  <c r="AT16" i="32"/>
  <c r="AQ16" i="32"/>
  <c r="AN16" i="32"/>
  <c r="AK16" i="32"/>
  <c r="AH16" i="32"/>
  <c r="AE16" i="32"/>
  <c r="AB16" i="32"/>
  <c r="Y16" i="32"/>
  <c r="V16" i="32"/>
  <c r="S16" i="32"/>
  <c r="P16" i="32"/>
  <c r="M16" i="32"/>
  <c r="J16" i="32"/>
  <c r="G16" i="32"/>
  <c r="AT15" i="32"/>
  <c r="AQ15" i="32"/>
  <c r="AN15" i="32"/>
  <c r="AK15" i="32"/>
  <c r="AH15" i="32"/>
  <c r="AE15" i="32"/>
  <c r="AB15" i="32"/>
  <c r="Y15" i="32"/>
  <c r="V15" i="32"/>
  <c r="S15" i="32"/>
  <c r="P15" i="32"/>
  <c r="M15" i="32"/>
  <c r="J15" i="32"/>
  <c r="G15" i="32"/>
  <c r="AT14" i="32"/>
  <c r="AQ14" i="32"/>
  <c r="AN14" i="32"/>
  <c r="AK14" i="32"/>
  <c r="AH14" i="32"/>
  <c r="AE14" i="32"/>
  <c r="AB14" i="32"/>
  <c r="Y14" i="32"/>
  <c r="V14" i="32"/>
  <c r="S14" i="32"/>
  <c r="P14" i="32"/>
  <c r="M14" i="32"/>
  <c r="J14" i="32"/>
  <c r="G14" i="32"/>
  <c r="AT13" i="32"/>
  <c r="AQ13" i="32"/>
  <c r="AN13" i="32"/>
  <c r="AK13" i="32"/>
  <c r="AH13" i="32"/>
  <c r="AE13" i="32"/>
  <c r="AB13" i="32"/>
  <c r="Y13" i="32"/>
  <c r="V13" i="32"/>
  <c r="S13" i="32"/>
  <c r="P13" i="32"/>
  <c r="M13" i="32"/>
  <c r="J13" i="32"/>
  <c r="G13" i="32"/>
  <c r="AT12" i="32"/>
  <c r="AQ12" i="32"/>
  <c r="AN12" i="32"/>
  <c r="AK12" i="32"/>
  <c r="AH12" i="32"/>
  <c r="AE12" i="32"/>
  <c r="AB12" i="32"/>
  <c r="Y12" i="32"/>
  <c r="V12" i="32"/>
  <c r="S12" i="32"/>
  <c r="P12" i="32"/>
  <c r="M12" i="32"/>
  <c r="J12" i="32"/>
  <c r="G12" i="32"/>
  <c r="AV11" i="32"/>
  <c r="AU11" i="32"/>
  <c r="AT11" i="32"/>
  <c r="AQ11" i="32"/>
  <c r="AN11" i="32"/>
  <c r="AK11" i="32"/>
  <c r="AH11" i="32"/>
  <c r="AE11" i="32"/>
  <c r="Y11" i="32"/>
  <c r="V11" i="32"/>
  <c r="U11" i="32"/>
  <c r="U17" i="32" s="1"/>
  <c r="T11" i="32"/>
  <c r="P11" i="32"/>
  <c r="M11" i="32"/>
  <c r="J11" i="32"/>
  <c r="G11" i="32"/>
  <c r="AV10" i="32"/>
  <c r="AU10" i="32"/>
  <c r="AT10" i="32"/>
  <c r="AQ10" i="32"/>
  <c r="AN10" i="32"/>
  <c r="AK10" i="32"/>
  <c r="AH10" i="32"/>
  <c r="AE10" i="32"/>
  <c r="Y10" i="32"/>
  <c r="V10" i="32"/>
  <c r="U10" i="32"/>
  <c r="AD10" i="32" s="1"/>
  <c r="T10" i="32"/>
  <c r="S10" i="32" s="1"/>
  <c r="P10" i="32"/>
  <c r="M10" i="32"/>
  <c r="J10" i="32"/>
  <c r="I10" i="32"/>
  <c r="G10" i="32"/>
  <c r="AV9" i="32"/>
  <c r="AU9" i="32"/>
  <c r="AT9" i="32" s="1"/>
  <c r="AQ9" i="32"/>
  <c r="AN9" i="32"/>
  <c r="AK9" i="32"/>
  <c r="AH9" i="32"/>
  <c r="AE9" i="32"/>
  <c r="AD9" i="32"/>
  <c r="AC9" i="32"/>
  <c r="AB9" i="32" s="1"/>
  <c r="Y9" i="32"/>
  <c r="V9" i="32"/>
  <c r="U9" i="32"/>
  <c r="T9" i="32"/>
  <c r="S9" i="32"/>
  <c r="P9" i="32"/>
  <c r="M9" i="32"/>
  <c r="J9" i="32"/>
  <c r="I9" i="32"/>
  <c r="I9" i="33" s="1"/>
  <c r="G9" i="32"/>
  <c r="AS8" i="32"/>
  <c r="AS8" i="33" s="1"/>
  <c r="AR8" i="32"/>
  <c r="AQ8" i="32" s="1"/>
  <c r="AO8" i="32"/>
  <c r="AP8" i="32" s="1"/>
  <c r="AL8" i="32"/>
  <c r="AJ8" i="32"/>
  <c r="AI8" i="32"/>
  <c r="AI8" i="33" s="1"/>
  <c r="AE8" i="32"/>
  <c r="AA8" i="32"/>
  <c r="AA8" i="33" s="1"/>
  <c r="Y8" i="32"/>
  <c r="X8" i="32"/>
  <c r="AM8" i="32" s="1"/>
  <c r="V8" i="32"/>
  <c r="U8" i="32"/>
  <c r="AD8" i="32" s="1"/>
  <c r="T8" i="32"/>
  <c r="AC8" i="32" s="1"/>
  <c r="AB8" i="32" s="1"/>
  <c r="P8" i="32"/>
  <c r="M8" i="32"/>
  <c r="J8" i="32"/>
  <c r="I8" i="32"/>
  <c r="G8" i="32"/>
  <c r="AD17" i="32" l="1"/>
  <c r="S10" i="33"/>
  <c r="AC10" i="33"/>
  <c r="AB10" i="33" s="1"/>
  <c r="AC9" i="33"/>
  <c r="AM8" i="33"/>
  <c r="AK8" i="33" s="1"/>
  <c r="AK8" i="32"/>
  <c r="AC17" i="32"/>
  <c r="AB11" i="32"/>
  <c r="AN8" i="32"/>
  <c r="AP8" i="33"/>
  <c r="AC8" i="33"/>
  <c r="AH8" i="33"/>
  <c r="AV8" i="32"/>
  <c r="Y8" i="33"/>
  <c r="AQ8" i="33"/>
  <c r="G9" i="33"/>
  <c r="U9" i="33"/>
  <c r="AD9" i="33" s="1"/>
  <c r="AC10" i="32"/>
  <c r="AB10" i="32" s="1"/>
  <c r="AO8" i="33"/>
  <c r="AH8" i="32"/>
  <c r="T11" i="33"/>
  <c r="Z17" i="33"/>
  <c r="Y17" i="33" s="1"/>
  <c r="S8" i="32"/>
  <c r="AU8" i="32"/>
  <c r="S11" i="32"/>
  <c r="U11" i="33"/>
  <c r="T17" i="32"/>
  <c r="S17" i="32" s="1"/>
  <c r="U8" i="33"/>
  <c r="AD8" i="33" s="1"/>
  <c r="AU20" i="30"/>
  <c r="AU18" i="30"/>
  <c r="AB17" i="32" l="1"/>
  <c r="S8" i="33"/>
  <c r="AN8" i="33"/>
  <c r="AB9" i="33"/>
  <c r="S9" i="33"/>
  <c r="T17" i="33"/>
  <c r="AC11" i="33"/>
  <c r="S11" i="33"/>
  <c r="AT8" i="32"/>
  <c r="AU8" i="33"/>
  <c r="AD11" i="33"/>
  <c r="AD17" i="33" s="1"/>
  <c r="U17" i="33"/>
  <c r="AB8" i="33"/>
  <c r="AV8" i="33"/>
  <c r="AV11" i="33" s="1"/>
  <c r="AV17" i="33" s="1"/>
  <c r="AU11" i="33" l="1"/>
  <c r="AT8" i="33"/>
  <c r="AB11" i="33"/>
  <c r="AC17" i="33"/>
  <c r="AB17" i="33" s="1"/>
  <c r="S17" i="33"/>
  <c r="AU17" i="33" l="1"/>
  <c r="AT17" i="33" s="1"/>
  <c r="AT11" i="33"/>
  <c r="U10" i="30" l="1"/>
  <c r="G20" i="30" l="1"/>
  <c r="G18" i="30"/>
  <c r="AG20" i="31"/>
  <c r="AF20" i="31"/>
  <c r="R20" i="31"/>
  <c r="Q20" i="31"/>
  <c r="O20" i="31"/>
  <c r="N20" i="31"/>
  <c r="L20" i="31"/>
  <c r="K20" i="31"/>
  <c r="AV19" i="31"/>
  <c r="AU19" i="31"/>
  <c r="AT19" i="31"/>
  <c r="AS19" i="31"/>
  <c r="AR19" i="31"/>
  <c r="AQ19" i="31"/>
  <c r="AP19" i="31"/>
  <c r="AO19" i="31"/>
  <c r="AN19" i="31"/>
  <c r="AM19" i="31"/>
  <c r="AL19" i="31"/>
  <c r="AK19" i="31"/>
  <c r="AJ19" i="31"/>
  <c r="AI19" i="31"/>
  <c r="AH19" i="31"/>
  <c r="AG19" i="31"/>
  <c r="AF19" i="31"/>
  <c r="AE19" i="31"/>
  <c r="AD19" i="31"/>
  <c r="AC19" i="31"/>
  <c r="AB19" i="31"/>
  <c r="AA19" i="31"/>
  <c r="Z19" i="31"/>
  <c r="Y19" i="31"/>
  <c r="X19" i="31"/>
  <c r="W19" i="31"/>
  <c r="V19" i="31"/>
  <c r="U19" i="31"/>
  <c r="T19" i="31"/>
  <c r="S19" i="31"/>
  <c r="R19" i="31"/>
  <c r="Q19" i="31"/>
  <c r="P19" i="31"/>
  <c r="O19" i="31"/>
  <c r="N19" i="31"/>
  <c r="M19" i="31"/>
  <c r="L19" i="31"/>
  <c r="K19" i="31"/>
  <c r="J19" i="31"/>
  <c r="I19" i="31"/>
  <c r="H19" i="31"/>
  <c r="G19" i="31"/>
  <c r="AG18" i="31"/>
  <c r="AF18" i="31"/>
  <c r="R18" i="31"/>
  <c r="Q18" i="31"/>
  <c r="O18" i="31"/>
  <c r="N18" i="31"/>
  <c r="L18" i="31"/>
  <c r="K18" i="31"/>
  <c r="AT17" i="31"/>
  <c r="AQ17" i="31"/>
  <c r="AN17" i="31"/>
  <c r="AK17" i="31"/>
  <c r="AH17" i="31"/>
  <c r="AE17" i="31"/>
  <c r="AB17" i="31"/>
  <c r="Y17" i="31"/>
  <c r="V17" i="31"/>
  <c r="S17" i="31"/>
  <c r="P17" i="31"/>
  <c r="M17" i="31"/>
  <c r="J17" i="31"/>
  <c r="G17" i="31"/>
  <c r="AT16" i="31"/>
  <c r="AQ16" i="31"/>
  <c r="AN16" i="31"/>
  <c r="AK16" i="31"/>
  <c r="AH16" i="31"/>
  <c r="AE16" i="31"/>
  <c r="AB16" i="31"/>
  <c r="Y16" i="31"/>
  <c r="V16" i="31"/>
  <c r="S16" i="31"/>
  <c r="P16" i="31"/>
  <c r="M16" i="31"/>
  <c r="J16" i="31"/>
  <c r="G16" i="31"/>
  <c r="AT15" i="31"/>
  <c r="AQ15" i="31"/>
  <c r="AN15" i="31"/>
  <c r="AK15" i="31"/>
  <c r="AH15" i="31"/>
  <c r="AE15" i="31"/>
  <c r="AB15" i="31"/>
  <c r="Y15" i="31"/>
  <c r="V15" i="31"/>
  <c r="S15" i="31"/>
  <c r="P15" i="31"/>
  <c r="M15" i="31"/>
  <c r="J15" i="31"/>
  <c r="G15" i="31"/>
  <c r="AT14" i="31"/>
  <c r="AQ14" i="31"/>
  <c r="AN14" i="31"/>
  <c r="AK14" i="31"/>
  <c r="AH14" i="31"/>
  <c r="AE14" i="31"/>
  <c r="AB14" i="31"/>
  <c r="Y14" i="31"/>
  <c r="V14" i="31"/>
  <c r="S14" i="31"/>
  <c r="P14" i="31"/>
  <c r="M14" i="31"/>
  <c r="J14" i="31"/>
  <c r="G14" i="31"/>
  <c r="AT13" i="31"/>
  <c r="AQ13" i="31"/>
  <c r="AN13" i="31"/>
  <c r="AK13" i="31"/>
  <c r="AH13" i="31"/>
  <c r="AE13" i="31"/>
  <c r="AB13" i="31"/>
  <c r="Y13" i="31"/>
  <c r="V13" i="31"/>
  <c r="S13" i="31"/>
  <c r="P13" i="31"/>
  <c r="M13" i="31"/>
  <c r="J13" i="31"/>
  <c r="G13" i="31"/>
  <c r="AT12" i="31"/>
  <c r="AQ12" i="31"/>
  <c r="AN12" i="31"/>
  <c r="AK12" i="31"/>
  <c r="AH12" i="31"/>
  <c r="AE12" i="31"/>
  <c r="AB12" i="31"/>
  <c r="Y12" i="31"/>
  <c r="V12" i="31"/>
  <c r="S12" i="31"/>
  <c r="P12" i="31"/>
  <c r="M12" i="31"/>
  <c r="J12" i="31"/>
  <c r="G12" i="31"/>
  <c r="AR11" i="31"/>
  <c r="AN11" i="31"/>
  <c r="AH11" i="31"/>
  <c r="AE11" i="31"/>
  <c r="AM11" i="31"/>
  <c r="V11" i="31"/>
  <c r="M11" i="31"/>
  <c r="J11" i="31"/>
  <c r="I11" i="31"/>
  <c r="U11" i="31" s="1"/>
  <c r="AD11" i="31" s="1"/>
  <c r="AB11" i="31" s="1"/>
  <c r="H11" i="31"/>
  <c r="H20" i="31" s="1"/>
  <c r="G11" i="31"/>
  <c r="AN10" i="31"/>
  <c r="AH10" i="31"/>
  <c r="AE10" i="31"/>
  <c r="AE20" i="31" s="1"/>
  <c r="AD10" i="31"/>
  <c r="AB10" i="31" s="1"/>
  <c r="Z20" i="31"/>
  <c r="AS10" i="31"/>
  <c r="W10" i="31"/>
  <c r="AR10" i="31" s="1"/>
  <c r="AQ10" i="31" s="1"/>
  <c r="U10" i="31"/>
  <c r="T10" i="31"/>
  <c r="S10" i="31" s="1"/>
  <c r="M10" i="31"/>
  <c r="M20" i="31" s="1"/>
  <c r="J10" i="31"/>
  <c r="I10" i="31"/>
  <c r="H10" i="31"/>
  <c r="G10" i="31"/>
  <c r="AR9" i="31"/>
  <c r="AO9" i="31"/>
  <c r="AI9" i="31"/>
  <c r="AJ9" i="31" s="1"/>
  <c r="AE9" i="31"/>
  <c r="AC9" i="31"/>
  <c r="AC20" i="31" s="1"/>
  <c r="AA9" i="31"/>
  <c r="Z9" i="31"/>
  <c r="Y9" i="31" s="1"/>
  <c r="W9" i="31"/>
  <c r="W20" i="31" s="1"/>
  <c r="T9" i="31"/>
  <c r="P9" i="31"/>
  <c r="P20" i="31" s="1"/>
  <c r="M9" i="31"/>
  <c r="J9" i="31"/>
  <c r="J20" i="31" s="1"/>
  <c r="I9" i="31"/>
  <c r="I18" i="31" s="1"/>
  <c r="H9" i="31"/>
  <c r="G9" i="31" s="1"/>
  <c r="AR20" i="30"/>
  <c r="AI20" i="30"/>
  <c r="AG20" i="30"/>
  <c r="AF20" i="30"/>
  <c r="AE20" i="30"/>
  <c r="AA20" i="30"/>
  <c r="Z20" i="30"/>
  <c r="W20" i="30"/>
  <c r="R20" i="30"/>
  <c r="Q20" i="30"/>
  <c r="O20" i="30"/>
  <c r="N20" i="30"/>
  <c r="L20" i="30"/>
  <c r="K20" i="30"/>
  <c r="I20" i="30"/>
  <c r="H20" i="30"/>
  <c r="AV19" i="30"/>
  <c r="AU19" i="30"/>
  <c r="AT19" i="30"/>
  <c r="AS19" i="30"/>
  <c r="AR19" i="30"/>
  <c r="AQ19" i="30"/>
  <c r="AP19" i="30"/>
  <c r="AO19" i="30"/>
  <c r="AN19" i="30"/>
  <c r="AM19" i="30"/>
  <c r="AL19" i="30"/>
  <c r="AK19" i="30"/>
  <c r="AJ19" i="30"/>
  <c r="AI19" i="30"/>
  <c r="AH19" i="30"/>
  <c r="AG19" i="30"/>
  <c r="AF19" i="30"/>
  <c r="AE19" i="30"/>
  <c r="AD19" i="30"/>
  <c r="AC19" i="30"/>
  <c r="AB19" i="30"/>
  <c r="AA19" i="30"/>
  <c r="Z19" i="30"/>
  <c r="Y19" i="30"/>
  <c r="X19" i="30"/>
  <c r="W19" i="30"/>
  <c r="V19" i="30"/>
  <c r="U19" i="30"/>
  <c r="T19" i="30"/>
  <c r="S19" i="30"/>
  <c r="R19" i="30"/>
  <c r="Q19" i="30"/>
  <c r="P19" i="30"/>
  <c r="O19" i="30"/>
  <c r="N19" i="30"/>
  <c r="M19" i="30"/>
  <c r="L19" i="30"/>
  <c r="K19" i="30"/>
  <c r="J19" i="30"/>
  <c r="I19" i="30"/>
  <c r="H19" i="30"/>
  <c r="G19" i="30"/>
  <c r="AR18" i="30"/>
  <c r="AI18" i="30"/>
  <c r="AG18" i="30"/>
  <c r="AF18" i="30"/>
  <c r="AA18" i="30"/>
  <c r="Z18" i="30"/>
  <c r="W18" i="30"/>
  <c r="R18" i="30"/>
  <c r="O18" i="30"/>
  <c r="N18" i="30"/>
  <c r="L18" i="30"/>
  <c r="K18" i="30"/>
  <c r="I18" i="30"/>
  <c r="H18" i="30"/>
  <c r="AT17" i="30"/>
  <c r="AQ17" i="30"/>
  <c r="AN17" i="30"/>
  <c r="AK17" i="30"/>
  <c r="AH17" i="30"/>
  <c r="AE17" i="30"/>
  <c r="AB17" i="30"/>
  <c r="Y17" i="30"/>
  <c r="V17" i="30"/>
  <c r="S17" i="30"/>
  <c r="P17" i="30"/>
  <c r="M17" i="30"/>
  <c r="J17" i="30"/>
  <c r="G17" i="30"/>
  <c r="AT16" i="30"/>
  <c r="AQ16" i="30"/>
  <c r="AN16" i="30"/>
  <c r="AK16" i="30"/>
  <c r="AH16" i="30"/>
  <c r="AE16" i="30"/>
  <c r="AB16" i="30"/>
  <c r="Y16" i="30"/>
  <c r="V16" i="30"/>
  <c r="S16" i="30"/>
  <c r="P16" i="30"/>
  <c r="M16" i="30"/>
  <c r="J16" i="30"/>
  <c r="G16" i="30"/>
  <c r="AT15" i="30"/>
  <c r="AQ15" i="30"/>
  <c r="AN15" i="30"/>
  <c r="AK15" i="30"/>
  <c r="AH15" i="30"/>
  <c r="AE15" i="30"/>
  <c r="AB15" i="30"/>
  <c r="Y15" i="30"/>
  <c r="V15" i="30"/>
  <c r="S15" i="30"/>
  <c r="P15" i="30"/>
  <c r="M15" i="30"/>
  <c r="J15" i="30"/>
  <c r="G15" i="30"/>
  <c r="AT14" i="30"/>
  <c r="AQ14" i="30"/>
  <c r="AN14" i="30"/>
  <c r="AK14" i="30"/>
  <c r="AH14" i="30"/>
  <c r="AE14" i="30"/>
  <c r="AB14" i="30"/>
  <c r="Y14" i="30"/>
  <c r="V14" i="30"/>
  <c r="S14" i="30"/>
  <c r="P14" i="30"/>
  <c r="M14" i="30"/>
  <c r="J14" i="30"/>
  <c r="G14" i="30"/>
  <c r="AT13" i="30"/>
  <c r="AQ13" i="30"/>
  <c r="AN13" i="30"/>
  <c r="AK13" i="30"/>
  <c r="AH13" i="30"/>
  <c r="AE13" i="30"/>
  <c r="AB13" i="30"/>
  <c r="Y13" i="30"/>
  <c r="V13" i="30"/>
  <c r="S13" i="30"/>
  <c r="P13" i="30"/>
  <c r="M13" i="30"/>
  <c r="J13" i="30"/>
  <c r="G13" i="30"/>
  <c r="AT12" i="30"/>
  <c r="AQ12" i="30"/>
  <c r="AN12" i="30"/>
  <c r="AK12" i="30"/>
  <c r="AH12" i="30"/>
  <c r="AE12" i="30"/>
  <c r="AE18" i="30" s="1"/>
  <c r="AB12" i="30"/>
  <c r="Y12" i="30"/>
  <c r="V12" i="30"/>
  <c r="S12" i="30"/>
  <c r="P12" i="30"/>
  <c r="M12" i="30"/>
  <c r="J12" i="30"/>
  <c r="G12" i="30"/>
  <c r="AV11" i="30"/>
  <c r="AU11" i="30"/>
  <c r="AT11" i="30"/>
  <c r="AQ11" i="30"/>
  <c r="AO11" i="30"/>
  <c r="AN11" i="30" s="1"/>
  <c r="AK11" i="30"/>
  <c r="AH11" i="30"/>
  <c r="AE11" i="30"/>
  <c r="Y11" i="30"/>
  <c r="AD11" i="30"/>
  <c r="M11" i="30"/>
  <c r="J11" i="30"/>
  <c r="G11" i="30"/>
  <c r="AV10" i="30"/>
  <c r="AQ10" i="30"/>
  <c r="AO10" i="30"/>
  <c r="AO18" i="30" s="1"/>
  <c r="AN10" i="30"/>
  <c r="AK10" i="30"/>
  <c r="AH10" i="30"/>
  <c r="AE10" i="30"/>
  <c r="AD10" i="30"/>
  <c r="AC10" i="30"/>
  <c r="P20" i="30"/>
  <c r="M10" i="30"/>
  <c r="J10" i="30"/>
  <c r="G10" i="30"/>
  <c r="AS9" i="30"/>
  <c r="AS18" i="30" s="1"/>
  <c r="AO9" i="30"/>
  <c r="AP9" i="30" s="1"/>
  <c r="AL9" i="30"/>
  <c r="AL20" i="30" s="1"/>
  <c r="AJ9" i="30"/>
  <c r="AJ20" i="30" s="1"/>
  <c r="AE9" i="30"/>
  <c r="AC9" i="30"/>
  <c r="AA9" i="30"/>
  <c r="Y9" i="30"/>
  <c r="Y20" i="30" s="1"/>
  <c r="X9" i="30"/>
  <c r="X9" i="31" s="1"/>
  <c r="V20" i="30"/>
  <c r="U9" i="30"/>
  <c r="U20" i="30" s="1"/>
  <c r="T9" i="30"/>
  <c r="S9" i="30" s="1"/>
  <c r="P9" i="30"/>
  <c r="M9" i="30"/>
  <c r="M20" i="30" s="1"/>
  <c r="J9" i="30"/>
  <c r="J18" i="30" s="1"/>
  <c r="G9" i="30"/>
  <c r="Q7" i="28"/>
  <c r="Q6" i="28"/>
  <c r="Q5" i="28"/>
  <c r="N7" i="28"/>
  <c r="N6" i="28"/>
  <c r="N5" i="28"/>
  <c r="K7" i="28"/>
  <c r="K6" i="28"/>
  <c r="K5" i="28"/>
  <c r="H7" i="28"/>
  <c r="H6" i="28"/>
  <c r="H5" i="28"/>
  <c r="E6" i="28"/>
  <c r="E7" i="28"/>
  <c r="E5" i="28"/>
  <c r="M8" i="28"/>
  <c r="S8" i="28"/>
  <c r="O8" i="28"/>
  <c r="I8" i="28"/>
  <c r="F8" i="28"/>
  <c r="I7" i="22"/>
  <c r="H7" i="22"/>
  <c r="H6" i="22"/>
  <c r="I37" i="22"/>
  <c r="I31" i="22" s="1"/>
  <c r="H37" i="22"/>
  <c r="H31" i="22" s="1"/>
  <c r="H29" i="22"/>
  <c r="I29" i="22"/>
  <c r="J29" i="22"/>
  <c r="K29" i="22"/>
  <c r="L29" i="22"/>
  <c r="I20" i="22"/>
  <c r="I14" i="22" s="1"/>
  <c r="J20" i="22"/>
  <c r="K20" i="22"/>
  <c r="L20" i="22"/>
  <c r="L14" i="22" s="1"/>
  <c r="H20" i="22"/>
  <c r="H14" i="22" s="1"/>
  <c r="L37" i="22"/>
  <c r="L31" i="22" s="1"/>
  <c r="K37" i="22"/>
  <c r="K31" i="22" s="1"/>
  <c r="J37" i="22"/>
  <c r="J31" i="22" s="1"/>
  <c r="L23" i="22"/>
  <c r="K23" i="22"/>
  <c r="J23" i="22"/>
  <c r="I23" i="22"/>
  <c r="H23" i="22"/>
  <c r="K14" i="22"/>
  <c r="J14" i="22"/>
  <c r="K41" i="5"/>
  <c r="L41" i="5"/>
  <c r="M41" i="5"/>
  <c r="M40" i="5" s="1"/>
  <c r="N41" i="5"/>
  <c r="J41" i="5"/>
  <c r="K32" i="5"/>
  <c r="K31" i="5" s="1"/>
  <c r="L32" i="5"/>
  <c r="M32" i="5"/>
  <c r="N32" i="5"/>
  <c r="N31" i="5" s="1"/>
  <c r="J32" i="5"/>
  <c r="K21" i="5"/>
  <c r="K20" i="5" s="1"/>
  <c r="L21" i="5"/>
  <c r="M21" i="5"/>
  <c r="N21" i="5"/>
  <c r="N20" i="5" s="1"/>
  <c r="J21" i="5"/>
  <c r="J20" i="5" s="1"/>
  <c r="J11" i="5" s="1"/>
  <c r="N40" i="5"/>
  <c r="L40" i="5"/>
  <c r="K40" i="5"/>
  <c r="J40" i="5"/>
  <c r="M31" i="5"/>
  <c r="L31" i="5"/>
  <c r="J31" i="5"/>
  <c r="M20" i="5"/>
  <c r="L20" i="5"/>
  <c r="I8" i="1"/>
  <c r="J8" i="1"/>
  <c r="H8" i="1"/>
  <c r="K8" i="1"/>
  <c r="Y10" i="31" l="1"/>
  <c r="Y11" i="31"/>
  <c r="AA20" i="31"/>
  <c r="Z18" i="31"/>
  <c r="AJ20" i="31"/>
  <c r="AJ18" i="31"/>
  <c r="G20" i="31"/>
  <c r="G18" i="31"/>
  <c r="AR20" i="31"/>
  <c r="S20" i="30"/>
  <c r="S18" i="30"/>
  <c r="AP20" i="30"/>
  <c r="AP18" i="30"/>
  <c r="AN9" i="30"/>
  <c r="AB10" i="30"/>
  <c r="AB9" i="30"/>
  <c r="T20" i="31"/>
  <c r="X20" i="31"/>
  <c r="X18" i="31"/>
  <c r="V9" i="31"/>
  <c r="M18" i="31"/>
  <c r="AM9" i="30"/>
  <c r="AO20" i="30"/>
  <c r="AS11" i="31"/>
  <c r="AQ11" i="31" s="1"/>
  <c r="AA18" i="31"/>
  <c r="AS9" i="31"/>
  <c r="AL10" i="31"/>
  <c r="AC18" i="31"/>
  <c r="AO18" i="31"/>
  <c r="AO20" i="31"/>
  <c r="AQ9" i="30"/>
  <c r="AU10" i="30"/>
  <c r="AT10" i="30" s="1"/>
  <c r="AB11" i="30"/>
  <c r="T18" i="30"/>
  <c r="T20" i="30"/>
  <c r="AH9" i="31"/>
  <c r="V10" i="31"/>
  <c r="AM10" i="31"/>
  <c r="AV10" i="31" s="1"/>
  <c r="AS20" i="30"/>
  <c r="AD9" i="30"/>
  <c r="V18" i="30"/>
  <c r="T18" i="31"/>
  <c r="AR18" i="31"/>
  <c r="T11" i="31"/>
  <c r="S11" i="31" s="1"/>
  <c r="I20" i="31"/>
  <c r="AH9" i="30"/>
  <c r="AV9" i="30"/>
  <c r="X18" i="30"/>
  <c r="AJ18" i="30"/>
  <c r="X20" i="30"/>
  <c r="AL9" i="31"/>
  <c r="AU9" i="31" s="1"/>
  <c r="AL11" i="31"/>
  <c r="J18" i="31"/>
  <c r="AP9" i="31"/>
  <c r="U18" i="30"/>
  <c r="U9" i="31"/>
  <c r="AE18" i="31"/>
  <c r="J20" i="30"/>
  <c r="AU9" i="30"/>
  <c r="M18" i="30"/>
  <c r="Y18" i="30"/>
  <c r="W18" i="31"/>
  <c r="AI18" i="31"/>
  <c r="AI20" i="31"/>
  <c r="H18" i="31"/>
  <c r="AK9" i="30"/>
  <c r="AL18" i="30"/>
  <c r="N8" i="28"/>
  <c r="E8" i="28"/>
  <c r="K8" i="28"/>
  <c r="L8" i="28"/>
  <c r="J8" i="28"/>
  <c r="H8" i="28"/>
  <c r="G8" i="28"/>
  <c r="P8" i="28"/>
  <c r="Q8" i="28"/>
  <c r="I6" i="22"/>
  <c r="K40" i="22"/>
  <c r="L40" i="22"/>
  <c r="H40" i="22"/>
  <c r="I40" i="22"/>
  <c r="J40" i="22"/>
  <c r="K11" i="5"/>
  <c r="Y20" i="31" l="1"/>
  <c r="Y18" i="31"/>
  <c r="AC18" i="30"/>
  <c r="AC20" i="30"/>
  <c r="AB18" i="30"/>
  <c r="AB20" i="30"/>
  <c r="V20" i="31"/>
  <c r="V18" i="31"/>
  <c r="AD20" i="30"/>
  <c r="AD18" i="30"/>
  <c r="AU10" i="31"/>
  <c r="AT10" i="31" s="1"/>
  <c r="AK10" i="31"/>
  <c r="AS18" i="31"/>
  <c r="AQ9" i="31"/>
  <c r="AS20" i="31"/>
  <c r="AT9" i="30"/>
  <c r="AH20" i="31"/>
  <c r="AH18" i="31"/>
  <c r="AV20" i="30"/>
  <c r="AV18" i="30"/>
  <c r="AH18" i="30"/>
  <c r="AH20" i="30"/>
  <c r="AP20" i="31"/>
  <c r="AP18" i="31"/>
  <c r="AQ20" i="30"/>
  <c r="AQ18" i="30"/>
  <c r="AN20" i="30"/>
  <c r="AN18" i="30"/>
  <c r="AK11" i="31"/>
  <c r="AU11" i="31"/>
  <c r="AN9" i="31"/>
  <c r="AM9" i="31"/>
  <c r="AK9" i="31"/>
  <c r="AL20" i="31"/>
  <c r="AL18" i="31"/>
  <c r="U20" i="31"/>
  <c r="U18" i="31"/>
  <c r="AD9" i="31"/>
  <c r="S9" i="31"/>
  <c r="AK20" i="30"/>
  <c r="AK18" i="30"/>
  <c r="AM20" i="30"/>
  <c r="AM18" i="30"/>
  <c r="AV11" i="31"/>
  <c r="S20" i="31" l="1"/>
  <c r="S18" i="31"/>
  <c r="AK20" i="31"/>
  <c r="AK18" i="31"/>
  <c r="AM18" i="31"/>
  <c r="AM20" i="31"/>
  <c r="AV9" i="31"/>
  <c r="AN20" i="31"/>
  <c r="AN18" i="31"/>
  <c r="AT20" i="30"/>
  <c r="AT18" i="30"/>
  <c r="AD20" i="31"/>
  <c r="AD18" i="31"/>
  <c r="AB9" i="31"/>
  <c r="AT11" i="31"/>
  <c r="AU18" i="31"/>
  <c r="AQ18" i="31"/>
  <c r="AQ20" i="31"/>
  <c r="AU20" i="31"/>
  <c r="AB18" i="31" l="1"/>
  <c r="AB20" i="31"/>
  <c r="AV20" i="31"/>
  <c r="AV18" i="31"/>
  <c r="AT9" i="31"/>
  <c r="AT20" i="31" l="1"/>
  <c r="AT18" i="31"/>
  <c r="AQ8" i="26" l="1"/>
  <c r="AQ9" i="26" s="1"/>
  <c r="AP8" i="26"/>
  <c r="AP9" i="26" s="1"/>
  <c r="AN8" i="26"/>
  <c r="AN9" i="26" s="1"/>
  <c r="AM8" i="26"/>
  <c r="AM9" i="26" s="1"/>
  <c r="AK8" i="26"/>
  <c r="AK9" i="26" s="1"/>
  <c r="AJ8" i="26"/>
  <c r="AI8" i="26" s="1"/>
  <c r="AI9" i="26" s="1"/>
  <c r="AH8" i="26"/>
  <c r="AG8" i="26"/>
  <c r="AF8" i="26" s="1"/>
  <c r="AF9" i="26" s="1"/>
  <c r="Z8" i="26"/>
  <c r="Z9" i="26" s="1"/>
  <c r="AB8" i="26"/>
  <c r="AA9" i="26"/>
  <c r="Y8" i="26"/>
  <c r="Y9" i="26" s="1"/>
  <c r="X8" i="26"/>
  <c r="X9" i="26" s="1"/>
  <c r="U8" i="26"/>
  <c r="U9" i="26" s="1"/>
  <c r="V8" i="26"/>
  <c r="V9" i="26" s="1"/>
  <c r="M8" i="26"/>
  <c r="L8" i="26"/>
  <c r="L9" i="26" s="1"/>
  <c r="I8" i="26"/>
  <c r="I9" i="26" s="1"/>
  <c r="J8" i="26"/>
  <c r="J9" i="26" s="1"/>
  <c r="G8" i="26"/>
  <c r="G9" i="26" s="1"/>
  <c r="F8" i="26"/>
  <c r="AE9" i="26"/>
  <c r="AD9" i="26"/>
  <c r="AB9" i="26"/>
  <c r="P9" i="26"/>
  <c r="O9" i="26"/>
  <c r="M9" i="26"/>
  <c r="AC8" i="26"/>
  <c r="AC9" i="26" s="1"/>
  <c r="N8" i="26"/>
  <c r="N9" i="26" s="1"/>
  <c r="K8" i="26"/>
  <c r="K9" i="26" s="1"/>
  <c r="H8" i="26"/>
  <c r="H9" i="26" s="1"/>
  <c r="D8" i="26"/>
  <c r="AO8" i="26" l="1"/>
  <c r="AO9" i="26" s="1"/>
  <c r="AT8" i="26"/>
  <c r="AT9" i="26" s="1"/>
  <c r="AH9" i="26"/>
  <c r="AG9" i="26"/>
  <c r="AJ9" i="26"/>
  <c r="AS8" i="26"/>
  <c r="AL8" i="26"/>
  <c r="AL9" i="26" s="1"/>
  <c r="W8" i="26"/>
  <c r="W9" i="26" s="1"/>
  <c r="F9" i="26"/>
  <c r="E9" i="26" s="1"/>
  <c r="R8" i="26"/>
  <c r="T8" i="26"/>
  <c r="T9" i="26" s="1"/>
  <c r="E8" i="26"/>
  <c r="S8" i="26"/>
  <c r="S9" i="26" s="1"/>
  <c r="AT8" i="19"/>
  <c r="AS8" i="19"/>
  <c r="AR8" i="26" l="1"/>
  <c r="AR9" i="26" s="1"/>
  <c r="AS9" i="26"/>
  <c r="R9" i="26"/>
  <c r="Q8" i="26"/>
  <c r="Q9" i="26" s="1"/>
  <c r="S8" i="19"/>
  <c r="R8" i="19"/>
  <c r="K8" i="19"/>
  <c r="D8" i="19"/>
  <c r="L6" i="8"/>
  <c r="F6" i="8"/>
  <c r="Q5" i="8"/>
  <c r="K5" i="8"/>
  <c r="H5" i="8"/>
  <c r="E5" i="8"/>
  <c r="K12" i="5"/>
  <c r="N13" i="5"/>
  <c r="N12" i="5" s="1"/>
  <c r="N11" i="5" s="1"/>
  <c r="M13" i="5"/>
  <c r="K13" i="22" s="1"/>
  <c r="K7" i="22" s="1"/>
  <c r="K6" i="22" s="1"/>
  <c r="L13" i="5"/>
  <c r="J13" i="22" s="1"/>
  <c r="J7" i="22" s="1"/>
  <c r="J6" i="22" s="1"/>
  <c r="K13" i="5"/>
  <c r="I13" i="22" s="1"/>
  <c r="L13" i="22" l="1"/>
  <c r="L7" i="22" s="1"/>
  <c r="L6" i="22" s="1"/>
  <c r="L12" i="5"/>
  <c r="L11" i="5" s="1"/>
  <c r="M12" i="5"/>
  <c r="M11" i="5" s="1"/>
  <c r="G9" i="19"/>
  <c r="I9" i="19"/>
  <c r="J9" i="19"/>
  <c r="L9" i="19"/>
  <c r="M9" i="19"/>
  <c r="O9" i="19"/>
  <c r="P9" i="19"/>
  <c r="R9" i="19"/>
  <c r="S9" i="19"/>
  <c r="U9" i="19"/>
  <c r="V9" i="19"/>
  <c r="X9" i="19"/>
  <c r="Y9" i="19"/>
  <c r="AA9" i="19"/>
  <c r="AB9" i="19"/>
  <c r="AD9" i="19"/>
  <c r="AE9" i="19"/>
  <c r="AG9" i="19"/>
  <c r="AH9" i="19"/>
  <c r="AJ9" i="19"/>
  <c r="AK9" i="19"/>
  <c r="AM9" i="19"/>
  <c r="AN9" i="19"/>
  <c r="AP9" i="19"/>
  <c r="AQ9" i="19"/>
  <c r="AS9" i="19"/>
  <c r="AT9" i="19"/>
  <c r="F9" i="19"/>
  <c r="E9" i="19" l="1"/>
  <c r="J11" i="20"/>
  <c r="J10" i="20" s="1"/>
  <c r="J9" i="20" s="1"/>
  <c r="AR8" i="19"/>
  <c r="Z8" i="19"/>
  <c r="T8" i="19"/>
  <c r="N8" i="19"/>
  <c r="AO8" i="19"/>
  <c r="AL8" i="19"/>
  <c r="AI8" i="19"/>
  <c r="AF8" i="19"/>
  <c r="AC8" i="19"/>
  <c r="AO9" i="19" l="1"/>
  <c r="AR9" i="19"/>
  <c r="K9" i="19"/>
  <c r="Z9" i="19"/>
  <c r="N9" i="19"/>
  <c r="AC9" i="19"/>
  <c r="W9" i="19"/>
  <c r="AF9" i="19"/>
  <c r="AI9" i="19"/>
  <c r="AL9" i="19"/>
  <c r="T9" i="1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Q8" i="19" l="1"/>
  <c r="H8" i="19"/>
  <c r="E8" i="19"/>
  <c r="H9" i="19" l="1"/>
  <c r="Q9" i="19"/>
  <c r="G6" i="8"/>
  <c r="E6" i="8" s="1"/>
  <c r="I6" i="8"/>
  <c r="J6" i="8"/>
  <c r="M6" i="8"/>
  <c r="O6" i="8"/>
  <c r="P6" i="8"/>
  <c r="R6" i="8"/>
  <c r="S6" i="8"/>
  <c r="D6" i="7"/>
  <c r="E6" i="7"/>
  <c r="F6" i="7"/>
  <c r="G6" i="7"/>
  <c r="D9" i="7"/>
  <c r="E9" i="7"/>
  <c r="F9" i="7"/>
  <c r="G9" i="7"/>
  <c r="C9" i="7"/>
  <c r="C6" i="7"/>
  <c r="Q6" i="8" l="1"/>
  <c r="N6" i="8"/>
  <c r="K6" i="8"/>
  <c r="H6" i="8"/>
  <c r="D5" i="7"/>
  <c r="F5" i="7"/>
  <c r="G5" i="7"/>
  <c r="E5" i="7"/>
  <c r="C5" i="7"/>
  <c r="E8" i="10" l="1"/>
  <c r="F8" i="10"/>
  <c r="E13" i="10" l="1"/>
  <c r="E12" i="10"/>
  <c r="F13" i="10"/>
  <c r="F12" i="10"/>
  <c r="D8" i="10"/>
  <c r="D12" i="10" s="1"/>
  <c r="D13" i="10" l="1"/>
</calcChain>
</file>

<file path=xl/sharedStrings.xml><?xml version="1.0" encoding="utf-8"?>
<sst xmlns="http://schemas.openxmlformats.org/spreadsheetml/2006/main" count="975" uniqueCount="345">
  <si>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</si>
  <si>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</si>
  <si>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</si>
  <si>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</si>
  <si>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</si>
  <si>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</si>
  <si>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</si>
  <si>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</si>
  <si>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</si>
  <si>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</si>
  <si>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</si>
  <si>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</si>
  <si>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</si>
  <si>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</si>
  <si>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</si>
  <si>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</si>
  <si>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</si>
  <si>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</si>
  <si>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</si>
  <si>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</si>
  <si>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</si>
  <si>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</si>
  <si>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</si>
  <si>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</si>
  <si>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</si>
  <si>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</si>
  <si>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</si>
  <si>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</si>
  <si>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</si>
  <si>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</si>
  <si>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</si>
  <si>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</si>
  <si>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</si>
  <si>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</si>
  <si>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</si>
  <si>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</si>
  <si>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</si>
  <si>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</si>
  <si>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</si>
  <si>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</si>
  <si>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</si>
  <si>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</si>
  <si>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</si>
  <si>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</si>
  <si>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</si>
  <si>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</si>
  <si>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</si>
  <si>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</si>
  <si>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</si>
  <si>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</si>
  <si>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</si>
  <si>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</si>
  <si>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</si>
  <si>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</si>
  <si>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</si>
  <si>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</si>
  <si>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</si>
  <si>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</si>
  <si>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</si>
  <si>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</si>
  <si>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</si>
  <si>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</si>
  <si>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</si>
  <si>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</si>
  <si>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</si>
  <si>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</si>
  <si>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</si>
  <si>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</si>
  <si>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</si>
  <si>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</si>
  <si>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</si>
  <si>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</si>
  <si>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</si>
  <si>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</si>
  <si>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</si>
  <si>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</si>
  <si>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</si>
  <si>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</si>
  <si>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</si>
  <si>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</si>
  <si>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</si>
  <si>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</si>
  <si>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</si>
  <si>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</si>
  <si>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</si>
  <si>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</si>
  <si>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</si>
  <si>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</si>
  <si>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</si>
  <si>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</si>
  <si>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</si>
  <si>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</si>
  <si>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</si>
  <si>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</si>
  <si>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</si>
  <si>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</si>
  <si>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</si>
  <si>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</si>
  <si>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</si>
  <si>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</si>
  <si>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</si>
  <si>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</si>
  <si>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</si>
  <si>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</si>
  <si>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</si>
  <si>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</si>
  <si>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</si>
  <si>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</si>
  <si>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</si>
  <si>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</si>
  <si>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</si>
  <si>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</si>
  <si>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</si>
  <si>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</si>
  <si>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2027թ.</t>
  </si>
  <si>
    <t>2027թ</t>
  </si>
  <si>
    <t>Հայտի և 2025-2027թթ ՄԺԾԾ-ով 2024թ. համար նախատեսված չափաքանակի տարբերության պարզաբանումը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</si>
  <si>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</si>
  <si>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</si>
  <si>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</si>
  <si>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</si>
  <si>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</si>
  <si>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</si>
  <si>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</si>
  <si>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</si>
  <si>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</si>
  <si>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</si>
  <si>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</si>
  <si>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</si>
  <si>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</si>
  <si>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</si>
  <si>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</si>
  <si>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</si>
  <si>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</si>
  <si>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</si>
  <si>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</si>
  <si>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</si>
  <si>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</si>
  <si>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</si>
  <si>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</si>
  <si>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</si>
  <si>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</si>
  <si>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</si>
  <si>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</si>
  <si>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</si>
  <si>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</si>
  <si>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</si>
  <si>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</si>
  <si>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</si>
  <si>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</si>
  <si>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</si>
  <si>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</si>
  <si>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</si>
  <si>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</si>
  <si>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</si>
  <si>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</si>
  <si>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</si>
  <si>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</si>
  <si>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</si>
  <si>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</si>
  <si>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</si>
  <si>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</si>
  <si>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</si>
  <si>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</si>
  <si>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</si>
  <si>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</si>
  <si>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</si>
  <si>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</si>
  <si>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</si>
  <si>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</si>
  <si>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</si>
  <si>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</si>
  <si>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</si>
  <si>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</si>
  <si>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</si>
  <si>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</si>
  <si>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</si>
  <si>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</si>
  <si>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</si>
  <si>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</si>
  <si>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</si>
  <si>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</si>
  <si>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</si>
  <si>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</si>
  <si>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</si>
  <si>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</si>
  <si>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</si>
  <si>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</si>
  <si>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</si>
  <si>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</si>
  <si>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</si>
  <si>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</si>
  <si>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</si>
  <si>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</si>
  <si>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</si>
  <si>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</si>
  <si>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</si>
  <si>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</si>
  <si>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</si>
  <si>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</si>
  <si>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</si>
  <si>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</si>
  <si>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</si>
  <si>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</si>
  <si>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</si>
  <si>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</si>
  <si>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</si>
  <si>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</si>
  <si>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</si>
  <si>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</si>
  <si>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</si>
  <si>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</si>
  <si>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</si>
  <si>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</si>
  <si>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</si>
  <si>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</si>
  <si>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</si>
  <si>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</si>
  <si>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</si>
  <si>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</si>
  <si>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</si>
  <si>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</si>
  <si>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</si>
  <si>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</si>
  <si>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</si>
  <si>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</si>
  <si>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</si>
  <si>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</si>
  <si>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</si>
  <si>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</si>
  <si>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</si>
  <si>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</si>
  <si>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</si>
  <si>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</si>
  <si>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</si>
  <si>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</si>
  <si>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r>
      <t xml:space="preserve">Պետական մարմնի անվանումը </t>
    </r>
    <r>
      <rPr>
        <u/>
        <sz val="11"/>
        <color theme="1"/>
        <rFont val="GHEA Grapalat"/>
        <family val="3"/>
      </rPr>
      <t>Տարածքային կառավարման և ենթակառուցվածքոների նախարարություն</t>
    </r>
  </si>
  <si>
    <t xml:space="preserve">ՀՀ տարածքային կառավարման և ենթակառուցվածքների նախարարություն </t>
  </si>
  <si>
    <t>Էլեկտրաէներգետիկ համակարգի զարգացման ծրագիր</t>
  </si>
  <si>
    <t>Վերակառուցման և զարգացման միջազգային բանկի աջակցությամբ իրականացվող «Շահումյան-2», «Մարաշ» և «Եղեգնաձոր» ենթակայանների վերակառուցման շրջանակներում ենթավարկի տրամադրում «Բարձրավոլտ էլեկտրացանցեր» ՓԲԸ-ին</t>
  </si>
  <si>
    <t>Նպաստել էլեկտրաէներգետիկ համակարգի հուսալիության բարձրացմանը և էլեկտրաէներգիայի անխափան մատակարարման ապահովմանը</t>
  </si>
  <si>
    <t>Հուսալի և անվտանգ էլեկտրամատակարարման ապահովում</t>
  </si>
  <si>
    <t xml:space="preserve">Էլեկտրաէներգետիկ համակարգի զարգացման ծրագիր՝ «Հայաստանի էներգետիկ անցումն ապահովող ծրագիր» </t>
  </si>
  <si>
    <t>Վերակառուցվող ենթակայանների քանակ, հատ</t>
  </si>
  <si>
    <t>2025թ․</t>
  </si>
  <si>
    <t>2029թ․</t>
  </si>
  <si>
    <t xml:space="preserve">  ՀՀ Կառավարության 2021թ. հունվարի 14-ի  «Հայաստանի Հանրապետության էներգետիկայի բնագավառի զարգացման ռազմավարական ծրագրին (մինչև 2040թ.), ՀՀ  էներգետիկայի բնագավառի զարգացման ռազմավարական ծրագրի իրագործումն ապահովող ծրագիր-ժամանակացույցին հավանություն տալու և ՀՀ կառավարության մի շարք որոշումներ ուժը կորցրած ճանաչելու մասին» N 48-Լ որոշում:    </t>
  </si>
  <si>
    <t>Ծրագիրը ներառված չէ ՄԱԿ-ի կայուն զարգացման նպատակներում</t>
  </si>
  <si>
    <t>այո</t>
  </si>
  <si>
    <t>«Բարձրավոլտ էլեկտրացանցեր» ՓԲԸ</t>
  </si>
  <si>
    <t>Տրամադրվող ենթավարկերի քանակ, հատ</t>
  </si>
  <si>
    <t>02</t>
  </si>
  <si>
    <t>04</t>
  </si>
  <si>
    <t>2025թ. (հաստատված բյուջե)</t>
  </si>
  <si>
    <t>Ներքին վարկեր և փոխատվություններ 6212</t>
  </si>
  <si>
    <t>Երևան</t>
  </si>
  <si>
    <t>Վայոց Ձորի մարզ</t>
  </si>
  <si>
    <t>Էլեկտրաէներգետիկ համակարգի զարգացման ծրագիր/Վերակառուցման և զարգացման միջազգային բանկի աջակցությամբ իրականացվող «Շահումյան-2», «Մարաշ» և «Եղեգնաձոր» ենթակայանների վերակառուցման շրջանակներում ենթավարկի տրամադրում «Բարձրավոլտ էլեկտրացանցեր» ՓԲԸ-ին</t>
  </si>
  <si>
    <t>Ծրագրով նախատեսված ամբողջ գումարը, ԱՄՆ դոլար</t>
  </si>
  <si>
    <t>Միջոցառման շրջանակներում նախատեսվում է վերակառուցել 40 և ավելի տարիներ շահագործման մեջ գտնվող «Շահումյան-2» 220/110/10 կՎ, «Մարաշ» 220/110/10 կՎ «Եղեգնաձոր» 220/110/35 կՎ ենթակայանները</t>
  </si>
  <si>
    <t>2024թ․</t>
  </si>
  <si>
    <t xml:space="preserve">30․06․2029թ․ </t>
  </si>
  <si>
    <t>Ծրագրի գծով 2025-2027թթ ՄԺԾԾ-ով 2026թ. համար նախատեսված չափաքանակները (գոյություն ունեցող պարտավորություններ)</t>
  </si>
  <si>
    <t>Ծրագրով նախատեսված ամբողջ գումարը, հազար դրամ</t>
  </si>
  <si>
    <t>5. Տարբերությունը 2025-2027 թվականների համար սահմանված ֆինանսավորման նախնական ընդհանուր կողմնորոշիչ չափաքանակներից (տող 3-տող 1)</t>
  </si>
  <si>
    <t>«Հայաստանի էներգետիկ անցումն ապահովող ծրագիր»  ծրագրի շրջանակներում նախատեսվում է վերակառուցել 40 և ավելի տարիներ շահագործման մեջ գտնվող «Շահումյան-2» 220/110/10 կՎ, «Մարաշ» 220/110/10 կՎ և «Եղեգնաձոր» 220/110/35 կՎ ենթակայանները</t>
  </si>
  <si>
    <t>Ընդհանուր արժեքը (հազար դոլար)</t>
  </si>
  <si>
    <t>Վարկերի տրամադրում</t>
  </si>
  <si>
    <t>Գերմանիայի  զարգացման  վարկերի  բանկի  (KFW)  աջակցությամբ  իրականացվող 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ՓԲԸ-ին</t>
  </si>
  <si>
    <t>Գերմանիայի զարգացման վարկերի բանկի (KFW)) աջակցությամբ իրականացվող «Կովկասյան էլեկտրահաղորդման ցանց I» Հայաստան-Վրաստան հաղորդիչ գիծ/ենթակայանների դրամաշնորհային ծրագիր</t>
  </si>
  <si>
    <t>Գերմանիայի զարգացման վարկերի բանկի (KFW) աջակցությամբ իրականացվող Կովկասյան էլեկտրահաղորդման ցանց I Հայաստան-Վրաստան հաղորդիչ գիծ/ենթակայանների դրամաշնորհային ծրագրի շրջանակներում իրականացվող ներդրումներ</t>
  </si>
  <si>
    <t>Հայաստան-Վրաստան 400 կՎ լարման էլեկտրահաղորդման օդային գծի և համապատասխան ենթակայանների կառուցում</t>
  </si>
  <si>
    <t>Հայաստան-Վրաստան 400 կՎ լարման էլեկտրահաղորդման օդային գծի և համապատասխան ենթակայանների կառուցում (խորհրդատվական և կառավարման ծառայություններ)</t>
  </si>
  <si>
    <t>Հայաստան-Վրաստան 400կՎլարման էլեկտրահաղորդման օդային գծի և համապատասխան ենթակայանների կառուցում</t>
  </si>
  <si>
    <t>Ծառայությունների մատուցում</t>
  </si>
  <si>
    <t>Այլ պետական կազմակերպությունների կողմից օգտագործվող ոչ ֆինանսական ակտիվների հետ գործառնություններ</t>
  </si>
  <si>
    <t xml:space="preserve">Էլեկտրաէներգետիկ համակարգի զարգացման ծրագիր՝ 
Կովկասյան էլեկտրահաղորդման ցանց I  ծրագիր </t>
  </si>
  <si>
    <t xml:space="preserve"> 220 կՎ էլեկտրահաղորդման օդային գծի կառուցում, կմ </t>
  </si>
  <si>
    <t>2025թ.</t>
  </si>
  <si>
    <t>11</t>
  </si>
  <si>
    <t>2029թ.</t>
  </si>
  <si>
    <t xml:space="preserve"> ՀՀ Կառավարության 2021թ. հունվարի 14-ի  «Հայաստանի Հանրապետության էներգետիկայի բնագավառի զարգացման ռազմավարական ծրագրին (մինչև 2040թ.), ՀՀ  էներգետիկայի բնագավառի զարգացման ռազմավարական ծրագրի իրագործումն ապահովող ծրագիր-ժամանակացույցին հավանություն տալու և  ՀՀ կառավարության մի շարք որոշումներ ուժը կորցրած ճանաչելու մասին» N 48-Լ որոշում
 ՀՀ Կառավարության 2021թ. նոյեմբերի 18-ի «ՀՀ Կառավարության 2021-2026թթ. գործունեության միջոցառումների ծրագիրը հաստատելու մասին»  N 1902-Լ որոշում՝ 31.1 և 31.2 կետեր:</t>
  </si>
  <si>
    <t xml:space="preserve"> 400 կՎ էլեկտրահաղորդման օդային գծի կառուցում, կմ</t>
  </si>
  <si>
    <t>96,7</t>
  </si>
  <si>
    <t xml:space="preserve"> 500 կՎ էլեկտրահաղորդման օդային գծի կառուցում, կմ </t>
  </si>
  <si>
    <t>7,01</t>
  </si>
  <si>
    <t xml:space="preserve"> Կառուցվող ենթակայանների քանակը, հատ </t>
  </si>
  <si>
    <t xml:space="preserve"> ՀՀ տարածքային կառավարման և ենթակառուցվածքների նախարարություն /  «Բարձրավոլտ էլեկտրացանցեր» ՓԲԸ</t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</si>
  <si>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</si>
  <si>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</si>
  <si>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</si>
  <si>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Միջոցառումը իրականացնողի անվանումը՝ «Բարձրավոլտ էլեկտրացանցեր» ՓԲԸ</t>
  </si>
  <si>
    <t>Գերմանիայի զարգացման վարկերի բանկի (KFW) աջակցությամբ իրականացվող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 ին</t>
  </si>
  <si>
    <t>220 կՎ էլեկտրահաղորդման օդային գծի կառուցում, կմ</t>
  </si>
  <si>
    <t>400 կՎ էլեկտրահաղորդման օդային գծի կառուցում, կմ</t>
  </si>
  <si>
    <t>500 կՎ էլեկտրահաղորդման օդային գծի կառուցում, կմ</t>
  </si>
  <si>
    <t>Կառուցվող ենթակայանների քանակ, հատ</t>
  </si>
  <si>
    <t xml:space="preserve"> Հայաստան-Վրաստան 400 կՎ լարման էլեկտրահաղորդման օդային գծի և համապատասխան ենթակայանների կառուցում (խորհրդատվական և կառավարման ծառայություններ) </t>
  </si>
  <si>
    <t xml:space="preserve"> Ծառայությունների մատուցում </t>
  </si>
  <si>
    <t>Տրամադրվող ենթադրամաշնորհի քանակ, հատ</t>
  </si>
  <si>
    <t>Կառավարվող/վերահսկվող պայմանագրերի քանակ, հատ</t>
  </si>
  <si>
    <t>Արդյունքային չափորոշիչը</t>
  </si>
  <si>
    <t xml:space="preserve"> Հայաստան-Վրաստան 400կՎլարման էլեկտրահաղորդման օդային գծի և համապատասխան ենթակայանների կառուցում </t>
  </si>
  <si>
    <t xml:space="preserve"> Այլ պետական կազմակերպությունների կողմից օգտագործվող ոչ ֆինանսական ակտիվների հետ գործառնություններ </t>
  </si>
  <si>
    <t>Կառուցվող ենթակայանների քանակը, հատ</t>
  </si>
  <si>
    <t xml:space="preserve"> այդ թվում` բյուջետային ծախսերի տնտեսագիտական դասակարգման հոդվածներ</t>
  </si>
  <si>
    <t>Ներքին վարկեր և փոխատվություններ 
6212</t>
  </si>
  <si>
    <t>&lt;Հոդվածի  անվանումը և կոդը&gt;</t>
  </si>
  <si>
    <t>…</t>
  </si>
  <si>
    <t>03</t>
  </si>
  <si>
    <t>05</t>
  </si>
  <si>
    <t>Այլ ծախսեր 
4861</t>
  </si>
  <si>
    <t>ԸՆԴԱՄԵՆԸ ԾԱԽՍԵՐ</t>
  </si>
  <si>
    <t>Շենքերի և շինությունների կապիտալ վերանարոգում 
5113</t>
  </si>
  <si>
    <t>այլ մեքենաներ և սարքավորումներ
 5129</t>
  </si>
  <si>
    <t xml:space="preserve">Ընդամենը </t>
  </si>
  <si>
    <t xml:space="preserve"> Գերմանիայի  զարգացման  վարկերի  բանկի  (KFW)  աջակցությամբ  իրականացվող 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ՓԲԸ-ին</t>
  </si>
  <si>
    <t>Գերմանիայի զարգացման վարկերի բանկի (KFW) աջակցությամբ իրականացվող «Կովկասյան  էլեկտրահաղորդման ցանց I» Հայաստան-Վրաստան հաղորդիչ գիծ/ենթակայանների դրամաշնորհային ծրագիր</t>
  </si>
  <si>
    <t>Գերմանիայի զարգացման վարկերի բանկի (KFW) աջակցությամբ իրականացվող «Կովկասյան  էլեկտրահաղորդման ցանց I» Հայաստան-Վրաստան հաղորդիչ գիծ/ենթակայանների դրամաշնորհային ծրագրի շրջանակներում իրականացվող ներդրումներ</t>
  </si>
  <si>
    <t>Գեղարքունիքի մարզ</t>
  </si>
  <si>
    <t>Լոռու մարզ</t>
  </si>
  <si>
    <t>հազար ՀՀ դրամ</t>
  </si>
  <si>
    <t>Ծրագրով նախատեսված ամբողջ գումարը, Եվրո</t>
  </si>
  <si>
    <t>Դրամաշնորհային ծրագիր</t>
  </si>
  <si>
    <t>Ծրագրի նախապատրստման, վերահսկողության և կառավարման խորհրդատվական ծառայություններ</t>
  </si>
  <si>
    <t>30.05.2016թ.</t>
  </si>
  <si>
    <t>30.12.2029թ.</t>
  </si>
  <si>
    <t>Շենքերի և շինությունների կապիտալ վերանորոգում</t>
  </si>
  <si>
    <t>Այլ մեքենաներ և սարքավորումներ</t>
  </si>
  <si>
    <t>հազար եվրո</t>
  </si>
  <si>
    <t>Հայտի և 2025-2027թթ ՄԺԾԾ-ով 2026թ. համար նախատեսված չափաքանակի տարբերության պարզաբանումը</t>
  </si>
  <si>
    <t>«Բարձրավոլտ էլեկտրացանցեր» ՓԲԸ (այսուհետ՝ Ընկերություն)  կողմից ներկայացված հայտի համաձայն՝  2025-2027թթ ՄԺԾԾ-ով 2026թ. համար նախատեսվել էր 3,243.80 հազար եվրո, սակայն  2026թ. հայտով նախատեսված չափաքանակը կազմում է 4,831,0 հազար եվրո: Տարբերությունը պայմանավորված է  արտարժույթի փոխարժեքային տարբերությամբ, ինչպես նաև այն հանգամանքով, որ 2024թ. նախատեսված էր կապալառուների ընտրություն և կանխավճարի վճարում, սակայն  2024թ. ընթացքում Լոտ-3-ի մրցույթի չեղարկումից հետո, սկսվել է նոր մրցութային գործընթաց, որի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որը Խորհրդատուի հետ համատեղ քննարկելուց և վերջնականացնելուց հետո Ընկերության կողմից 2025թ. հունվարի վերջ ներկայացվել է KfW բանկի հաստատմանը: 2025թ. ընթացքում նախատեսվում է Լոտ 3-ով մրցույթի իրականացում և հաղթող ընկերության հետ  Պայմանագրի կնքում:</t>
  </si>
  <si>
    <t>«Բարձրավոլտ էլեկտրացանցեր» ՓԲԸ (այսուհետ՝ Ընկերություն)  կողմից ներկայացված հայտի համաձայն՝  2025-2027թթ ՄԺԾԾ-ով 2026թ. համար նախատեսվել էր 1,414,006.34 հազար ՀՀ դրամ:, սակայն  2026թ. հայտով նախատեսված չափաքանակը կազմում է 1,991,579,75 հազար ՀՀ դրամ: Տարբերությունը պայմանավորված է  արտարժույթի փոխարժեքային տարբերությամբ, ինչպես նաև այն հանգամանքով, որ 2024թ. նախատեսված էր կապալառուների ընտրություն և կանխավճարի վճարում, սակայն  2024թ. ընթացքում Լոտ-3-ի մրցույթի չեղարկումից հետո, սկսվել է նոր մրցութային գործընթաց, որի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որը Խորհրդատուի հետ համատեղ քննարկելուց և վերջնականացնելուց հետո Ընկերության կողմից 2025թ. հունվարի վերջ ներկայացվել է KfW բանկի հաստատման:2025թ. ընթացքում նախատեսվում է Լոտ 3-ով մրցույթի իրականացում և հաղթող ընկերության հետ Պայմանագրի կնքում:</t>
  </si>
  <si>
    <r>
      <t xml:space="preserve">Տնտեսագիտական դասակարգման </t>
    </r>
    <r>
      <rPr>
        <vertAlign val="superscript"/>
        <sz val="8"/>
        <color rgb="FFFF0000"/>
        <rFont val="GHEA Grapalat"/>
        <family val="3"/>
      </rPr>
      <t>32</t>
    </r>
  </si>
  <si>
    <t xml:space="preserve">  Գերմանիայի  զարգացման  վարկերի  բանկի  (KFW)  աջակցությամբ  իրականացվող 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ՓԲԸ-ին</t>
  </si>
  <si>
    <t>Ենթավարկային ծրագիր</t>
  </si>
  <si>
    <t>09.12.2014թ.</t>
  </si>
  <si>
    <t>31.12.2027թ.</t>
  </si>
  <si>
    <t xml:space="preserve">«Բարձրավոլտ էլեկտրացանցեր» ՓԲԸ կողմից ներկայացված հայտի համաձայն՝  2025-2027թթ ՄԺԾԾ-ով 2026թ. համար նախատեսվել էր 60,751.69 հազար եվրո, սակայն  2026թ. հայտով նախատեսված չափաքանակը կազմում է 115,875.00 հազար եվրո: Տարբերությունը պայմանավորված է Fichtner GmbH խորհրդատվական ընկերության կողմից  2024թ. նոյեմբերին բյուջեի վերագնահատմամբ, ինչպես նաև այն հանգամանքով, որ 2024թ. նախատեսված էր կապալառուների ընտրություն և կանխավճարի վճարում, սակայն  2024թ. ընթացքումԼոտ 1-ով և Լոտ 3-ով նախատեսված մրցույթները չեղարկվել են, որից հետո, սկսվել է նոր մրցութային գործընթաց, ինչի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այդ թվում՝ Լոտ 3-ի մրցութային փաստաթղթերը Խորհրդատուի հետ համատեղ քննարկելուց և վերջնականացնելուց հետո Ընկերության կողմից 2025թ. հունվարի վերջ ներկայացվել է KfW բանկի հաստատմանը: 2025թ.-ի ընթացքում նախատեսվում է Լոտ 1-ով և Լոտ 3-ով մրցույթների իրականացում և հաղթող ընկերության հետ գլխավոր կապալառուի Պայմանագրի կնքում: </t>
  </si>
  <si>
    <t xml:space="preserve">«Բարձրավոլտ էլեկտրացանցեր» ՓԲԸ կողմից ներկայացված հայտի համաձայն՝  2025-2027թթ ՄԺԾԾ-ով 2026թ. համար նախատեսվել էր 26,482,268.32 հազար ՀՀ դրամ, սակայն  2026թ. հայտով նախատեսված չափաքանակը կազմում է 47,769,468.75 հազար ՀՀ դրամ: Տարբերությունը պայմանավորված է Fichtner GmbH խորհրդատվական ընկերության կողմից  2024թ. նոյեմբերին բյուջեի վերագնահատմամբ, ինչպես նաև այն հանգամանքով, որ 2024թ. նախատեսված էր կապալառուների ընտրություն և կանխավճարի վճարում, սակայն  2024թ. ընթացքում Լոտ 1-ով և Լոտ 3-ով նախատեսված մրցույթները չեղարկվել են, որից հետո, սկսվել է նոր մրցութային գործընթաց, ինչի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այդ թվում՝ Լոտ 3-ի մրցութային փաստաթղթերը Խորհրդատուի հետ համատեղ քննարկելուց և վերջնականացնելուց հետո Ընկերության կողմից 2025թ. հունվարի վերջ ներկայացվել է KfW բանկի հաստատմանը: 2025թ.-ի ընթացքում նախատեսվում է Լոտ 1-ով և Լոտ 3-ով մրցույթների իրականացում և հաղթող ընկերության հետ գլխավոր կապալառուի Պայմանագրի կնքում: </t>
  </si>
  <si>
    <t xml:space="preserve">«Բարձրավոլտ էլեկտրացանցեր» ՓԲԸ կողմից ներկայացված հայտի համաձայն՝  2025-2027թթ ՄԺԾԾ-ով 2026թ. համար նախատեսվել էր 60,751.69 հազար եվրո, սակայն  2026թ. հայտով նախատեսված չափաքանակը կազմում է 115,875.00 հազար եվրո: Տարբերությունը պայմանավորված է Fichtner GmbH խորհրդատվական ընկերության կողմից  2024թ. նոյեմբերին բյուջեի վերագնահատմամբ, ինչպես նաև այն հանգամանքով, որ 2024թ. նախատեսված էր կապալառուների ընտրություն և կանխավճարի վճարում, սակայն  2024թ. ընթացքումԼոտ 1-ով և Լոտ 3-ով նախատեսված մրցույթները չեղարկվել են, որից հետո, սկսվել է նոր մրցութային գործընթաց, ինչի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այդ թվում՝ Լոտ 3-ի մրցութային փաստաթղթերը Խորհրդատուի հետ համատեղ քննարկելուց և վերջնականացնելուց հետո Ընկերության կողմից 2025թ. հունվարի վերջ ներկայացվել է KfW բանկի հաստատմանը: 2025թ.-ի ընթացքում նախատեսվում է Լոտ 1-ով և Լոտ 3-ով մրցույթների իրականացում և հաղթող ընկերության հետ Պայմանագրի կնքում: </t>
  </si>
  <si>
    <t>Ծրագրով նախատեսված ամբողջ գումարը, հազար եվրո</t>
  </si>
  <si>
    <t xml:space="preserve">«Բարձրավոլտ էլեկտրացանցեր» ՓԲԸ կողմից ներկայացված հայտի համաձայն՝  2025-2027թթ ՄԺԾԾ-ով 2026թ. համար նախատեսվել էր 26,482,268.32 հազար ՀՀ դրամ, սակայն  2026թ. հայտով նախատեսված չափաքանակը կազմում է 47,769,468.75 հազար ՀՀ դրամ: Տարբերությունը պայմանավորված է Fichtner GmbH խորհրդատվական ընկերության կողմից  2024թ. նոյեմբերին բյուջեի վերագնահատմամբ, ինչպես նաև այն հանգամանքով, որ 2024թ. նախատեսված էր կապալառուների ընտրություն և կանխավճարի վճարում, սակայն  2024թ. ընթացքում Լոտ 1-ով և Լոտ 3-ով նախատեսված մրցույթները չեղարկվել են, որից հետո, սկսվել է նոր մրցութային գործընթաց, ինչի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այդ թվում՝ Լոտ 3-ի մրցութային փաստաթղթերը Խորհրդատուի հետ համատեղ քննարկելուց և վերջնականացնելուց հետո Ընկերության կողմից 2025թ. հունվարի վերջ ներկայացվել է KfW բանկի հաստատմանը: 2025թ.-ի ընթացքում նախատեսվում է Լոտ 1-ով և Լոտ 3-ով մրցույթների իրականացում և հաղթող ընկերության հետ Պայմանագրի կնքում: </t>
  </si>
  <si>
    <t>«Բարձրավոլտ էլեկտրացանցեր» ՓԲԸ կողմից ներկայացված հայտի համաձայն՝ 2025-2027թթ ՄԺԾԾ-ով 2026թ. նախատեսվել էր 30,815․0 հազար ԱՄՆ դոլար, սակայն 2026թ. հայտով նախատեսված չափաքանակը կազմում է 9,583․6 հազար ԱՄՆ դոլար:  Տարբերությունը պայմանավորված է այն հանգամանքով, որ Միջոցառման շրջանակներում նախատեսվում էր, որ  ենթակայանների վերակառուցման աշխատանքների մեծ մասը կիրականացվի 2026թ․ և աշխատանքները կավարտվեն 2027թ․։ Միջոցառման շրջանակներում ենթավարկային համաձայնագիրը կնքվել է 2025թ․ փետրվարի 03-ին, իսկ ֆինանսական միջոցները հասանելի են մինչև 2029թ․ հունիսի 30-ը, 2025թ․ նախատեսվում է կապալառուների ընտրության մրցույթների իրականացում և կանխավճարի տրամադրում, իսկ 2026թ․ սարքերի և սարքավորումների 20 տոկոսի մատակարարում և շինարարական աշխատանքների 20 տոկոսի իրականացում։</t>
  </si>
  <si>
    <t>«Բարձրավոլտ էլեկտրացանցեր» ՓԲԸ կողմից ներկայացված հայտի համաձայն՝ 2025-2027թթ ՄԺԾԾ-ով 2026թ. նախատեսվել էր 12,445․6 հազար դրամ, սակայն 2026թ. հայտով նախատեսված չափաքանակը կազմում է 3,808․0 հազար ԱՄՆ դոլար:  Տարբերությունը պայմանավորված է այն հանգամանքով, որ Միջոցառման շրջանակներում նախատեսվում էր, որ  ենթակայանների վերակառուցման աշխատանքների մեծ մասը կիրականացվի 2026թ․ և աշխատանքները կավարտվեն 2027թ․։ Միջոցառման շրջանակներում ենթավարկային համաձայնագիրը կնքվել է 2025թ․ փետրվարի 03-ին, իսկ ֆինանսական միջոցները հասանելի են մինչև 2029թ․ հունիսի 30-ը, 2025թ․ նախատեսվում է կապալառուների ընտրության մրցույթների իրականացում և կանխավճարի տրամադրում, իսկ 2026թ․ սարքերի և սարքավորումների 20 տոկոսի մատակարարում և շինարարական աշխատանքների 20 տոկոսի իրականացում։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</si>
</sst>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##,##0.0;\(##,##0.0\);\-"/>
    <numFmt numFmtId="166" formatCode="#,##0.0_);\(#,##0.0\)"/>
    <numFmt numFmtId="167" formatCode="_(* #,##0.0_);_(* \(#,##0.0\);_(* &quot;-&quot;??_);_(@_)"/>
    <numFmt numFmtId="168" formatCode="_-* #,##0.00\ _₽_-;\-* #,##0.00\ _₽_-;_-* &quot;-&quot;??\ _₽_-;_-@_-"/>
    <numFmt numFmtId="169" formatCode="00000"/>
    <numFmt numFmtId="170" formatCode="_(* #,##0_);_(* \(#,##0\);_(* &quot;-&quot;??_);_(@_)"/>
  </numFmts>
  <fonts count="86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u/>
      <sz val="11"/>
      <color theme="1"/>
      <name val="GHEA Grapalat"/>
      <family val="3"/>
    </font>
    <font>
      <i/>
      <sz val="10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9"/>
      <color theme="0" tint="-0.499984740745262"/>
      <name val="GHEA Grapalat"/>
      <family val="3"/>
    </font>
    <font>
      <b/>
      <i/>
      <sz val="8"/>
      <color theme="1"/>
      <name val="GHEA Grapalat"/>
      <family val="3"/>
    </font>
    <font>
      <sz val="8"/>
      <color theme="8"/>
      <name val="GHEA Grapalat"/>
      <family val="3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8"/>
      <color rgb="FFFF0000"/>
      <name val="GHEA Grapalat"/>
      <family val="3"/>
    </font>
  </fonts>
  <fills count="4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24" fillId="0" borderId="0"/>
    <xf numFmtId="0" fontId="25" fillId="17" borderId="31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4" applyNumberFormat="0" applyFill="0" applyAlignment="0" applyProtection="0"/>
    <xf numFmtId="0" fontId="31" fillId="0" borderId="25" applyNumberFormat="0" applyFill="0" applyAlignment="0" applyProtection="0"/>
    <xf numFmtId="0" fontId="32" fillId="0" borderId="26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27" applyNumberFormat="0" applyAlignment="0" applyProtection="0"/>
    <xf numFmtId="0" fontId="37" fillId="15" borderId="28" applyNumberFormat="0" applyAlignment="0" applyProtection="0"/>
    <xf numFmtId="0" fontId="38" fillId="15" borderId="27" applyNumberFormat="0" applyAlignment="0" applyProtection="0"/>
    <xf numFmtId="0" fontId="39" fillId="0" borderId="29" applyNumberFormat="0" applyFill="0" applyAlignment="0" applyProtection="0"/>
    <xf numFmtId="0" fontId="40" fillId="16" borderId="30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2" applyNumberFormat="0" applyFill="0" applyAlignment="0" applyProtection="0"/>
    <xf numFmtId="0" fontId="43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43" fillId="41" borderId="0" applyNumberFormat="0" applyBorder="0" applyAlignment="0" applyProtection="0"/>
    <xf numFmtId="165" fontId="28" fillId="0" borderId="0" applyFill="0" applyBorder="0" applyProtection="0">
      <alignment horizontal="right" vertical="top"/>
    </xf>
    <xf numFmtId="0" fontId="25" fillId="17" borderId="31" applyNumberFormat="0" applyFont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164" fontId="44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55" fillId="0" borderId="0" applyFill="0" applyBorder="0" applyProtection="0">
      <alignment horizontal="right" vertical="top"/>
    </xf>
    <xf numFmtId="164" fontId="59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371">
    <xf numFmtId="0" fontId="0" fillId="0" borderId="0" xfId="0"/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6" xfId="0" applyFont="1" applyFill="1" applyBorder="1" applyAlignment="1">
      <alignment vertical="center" textRotation="90" wrapText="1"/>
    </xf>
    <xf numFmtId="0" fontId="7" fillId="10" borderId="17" xfId="0" applyFont="1" applyFill="1" applyBorder="1" applyAlignment="1">
      <alignment vertical="center" textRotation="90" wrapText="1"/>
    </xf>
    <xf numFmtId="0" fontId="7" fillId="5" borderId="16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/>
    <xf numFmtId="0" fontId="47" fillId="0" borderId="0" xfId="0" applyFont="1" applyAlignment="1">
      <alignment vertical="center"/>
    </xf>
    <xf numFmtId="0" fontId="50" fillId="0" borderId="0" xfId="0" applyFont="1"/>
    <xf numFmtId="49" fontId="48" fillId="2" borderId="16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16" fontId="0" fillId="0" borderId="0" xfId="0" applyNumberForma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/>
    <xf numFmtId="1" fontId="52" fillId="0" borderId="0" xfId="0" applyNumberFormat="1" applyFont="1" applyAlignment="1" applyProtection="1">
      <alignment horizontal="center" vertical="center"/>
      <protection locked="0"/>
    </xf>
    <xf numFmtId="167" fontId="11" fillId="0" borderId="0" xfId="59" applyNumberFormat="1" applyFont="1" applyFill="1" applyAlignment="1" applyProtection="1">
      <alignment horizontal="left" vertical="center" wrapText="1"/>
    </xf>
    <xf numFmtId="167" fontId="11" fillId="0" borderId="0" xfId="59" applyNumberFormat="1" applyFont="1" applyFill="1" applyAlignment="1" applyProtection="1">
      <alignment horizontal="center" vertic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167" fontId="11" fillId="0" borderId="0" xfId="59" applyNumberFormat="1" applyFont="1" applyFill="1" applyAlignment="1" applyProtection="1">
      <alignment horizontal="left" vertical="center"/>
    </xf>
    <xf numFmtId="167" fontId="11" fillId="0" borderId="0" xfId="59" applyNumberFormat="1" applyFont="1" applyFill="1" applyAlignment="1" applyProtection="1">
      <alignment horizontal="center"/>
    </xf>
    <xf numFmtId="164" fontId="11" fillId="0" borderId="0" xfId="59" applyFont="1" applyFill="1" applyAlignment="1" applyProtection="1">
      <alignment horizontal="left"/>
    </xf>
    <xf numFmtId="164" fontId="56" fillId="0" borderId="0" xfId="59" applyFont="1" applyFill="1" applyAlignment="1" applyProtection="1">
      <alignment vertical="center"/>
    </xf>
    <xf numFmtId="167" fontId="11" fillId="0" borderId="0" xfId="59" applyNumberFormat="1" applyFont="1" applyFill="1" applyAlignment="1" applyProtection="1">
      <alignment vertical="center" wrapText="1"/>
    </xf>
    <xf numFmtId="164" fontId="52" fillId="0" borderId="0" xfId="59" applyFont="1" applyFill="1" applyAlignment="1" applyProtection="1">
      <alignment vertical="center"/>
    </xf>
    <xf numFmtId="0" fontId="52" fillId="0" borderId="0" xfId="0" applyFont="1" applyAlignment="1">
      <alignment horizontal="left"/>
    </xf>
    <xf numFmtId="0" fontId="53" fillId="0" borderId="0" xfId="0" applyFont="1"/>
    <xf numFmtId="0" fontId="58" fillId="0" borderId="0" xfId="0" applyFont="1" applyAlignment="1">
      <alignment horizontal="left" vertical="center"/>
    </xf>
    <xf numFmtId="167" fontId="58" fillId="0" borderId="0" xfId="59" applyNumberFormat="1" applyFont="1" applyFill="1" applyAlignment="1" applyProtection="1">
      <alignment horizontal="left" vertical="center"/>
    </xf>
    <xf numFmtId="167" fontId="58" fillId="0" borderId="0" xfId="59" applyNumberFormat="1" applyFont="1" applyFill="1" applyAlignment="1" applyProtection="1">
      <alignment horizontal="left"/>
    </xf>
    <xf numFmtId="164" fontId="58" fillId="0" borderId="0" xfId="59" applyFont="1" applyFill="1" applyAlignment="1" applyProtection="1">
      <alignment horizontal="left"/>
    </xf>
    <xf numFmtId="164" fontId="57" fillId="0" borderId="0" xfId="59" applyFont="1" applyFill="1" applyAlignment="1" applyProtection="1">
      <alignment horizontal="left" vertical="center"/>
    </xf>
    <xf numFmtId="0" fontId="53" fillId="0" borderId="0" xfId="0" applyFont="1" applyAlignment="1">
      <alignment horizontal="left"/>
    </xf>
    <xf numFmtId="1" fontId="52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164" fontId="11" fillId="43" borderId="7" xfId="0" applyNumberFormat="1" applyFont="1" applyFill="1" applyBorder="1" applyAlignment="1">
      <alignment horizontal="center" vertical="center" wrapText="1"/>
    </xf>
    <xf numFmtId="164" fontId="56" fillId="43" borderId="7" xfId="0" applyNumberFormat="1" applyFont="1" applyFill="1" applyBorder="1" applyAlignment="1">
      <alignment horizontal="center" vertical="center" wrapText="1"/>
    </xf>
    <xf numFmtId="164" fontId="11" fillId="43" borderId="1" xfId="0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 wrapText="1"/>
    </xf>
    <xf numFmtId="0" fontId="61" fillId="0" borderId="0" xfId="0" applyFont="1" applyAlignment="1">
      <alignment horizontal="left" wrapText="1"/>
    </xf>
    <xf numFmtId="0" fontId="63" fillId="0" borderId="0" xfId="0" applyFont="1" applyAlignment="1">
      <alignment vertical="top" wrapText="1"/>
    </xf>
    <xf numFmtId="0" fontId="22" fillId="0" borderId="0" xfId="0" applyFont="1"/>
    <xf numFmtId="0" fontId="22" fillId="0" borderId="0" xfId="0" applyFont="1" applyAlignment="1">
      <alignment horizontal="left"/>
    </xf>
    <xf numFmtId="0" fontId="61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62" fillId="0" borderId="0" xfId="0" applyFont="1" applyAlignment="1">
      <alignment vertical="center"/>
    </xf>
    <xf numFmtId="0" fontId="64" fillId="0" borderId="0" xfId="0" applyFont="1" applyAlignment="1">
      <alignment vertical="center" wrapText="1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5" fillId="5" borderId="1" xfId="0" applyFont="1" applyFill="1" applyBorder="1" applyAlignment="1">
      <alignment horizontal="center" vertical="center" wrapText="1"/>
    </xf>
    <xf numFmtId="167" fontId="60" fillId="0" borderId="0" xfId="59" applyNumberFormat="1" applyFont="1" applyFill="1" applyAlignment="1" applyProtection="1">
      <alignment horizontal="left" vertical="center"/>
    </xf>
    <xf numFmtId="0" fontId="73" fillId="0" borderId="0" xfId="0" applyFont="1" applyAlignment="1">
      <alignment vertical="center"/>
    </xf>
    <xf numFmtId="0" fontId="74" fillId="7" borderId="0" xfId="0" applyFont="1" applyFill="1" applyAlignment="1">
      <alignment vertical="center"/>
    </xf>
    <xf numFmtId="0" fontId="13" fillId="7" borderId="0" xfId="0" applyFont="1" applyFill="1"/>
    <xf numFmtId="0" fontId="73" fillId="7" borderId="0" xfId="0" applyFont="1" applyFill="1" applyAlignment="1">
      <alignment vertical="center"/>
    </xf>
    <xf numFmtId="0" fontId="67" fillId="0" borderId="0" xfId="0" applyFont="1" applyAlignment="1">
      <alignment horizontal="left" vertical="top" wrapText="1"/>
    </xf>
    <xf numFmtId="0" fontId="13" fillId="6" borderId="3" xfId="0" applyFont="1" applyFill="1" applyBorder="1" applyAlignment="1">
      <alignment horizontal="center"/>
    </xf>
    <xf numFmtId="0" fontId="13" fillId="42" borderId="0" xfId="0" applyFont="1" applyFill="1"/>
    <xf numFmtId="0" fontId="67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10" fillId="5" borderId="1" xfId="0" applyFont="1" applyFill="1" applyBorder="1" applyAlignment="1">
      <alignment horizontal="center" vertical="center" wrapText="1"/>
    </xf>
    <xf numFmtId="164" fontId="3" fillId="6" borderId="1" xfId="59" applyFont="1" applyFill="1" applyBorder="1" applyAlignment="1">
      <alignment vertical="center" wrapText="1"/>
    </xf>
    <xf numFmtId="168" fontId="52" fillId="0" borderId="0" xfId="0" applyNumberFormat="1" applyFont="1" applyAlignment="1">
      <alignment horizontal="left" vertical="top" wrapText="1"/>
    </xf>
    <xf numFmtId="0" fontId="77" fillId="6" borderId="1" xfId="0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top" wrapText="1"/>
    </xf>
    <xf numFmtId="0" fontId="7" fillId="2" borderId="19" xfId="0" applyFont="1" applyFill="1" applyBorder="1" applyAlignment="1">
      <alignment horizontal="left" vertical="center" wrapText="1"/>
    </xf>
    <xf numFmtId="164" fontId="4" fillId="6" borderId="1" xfId="59" applyFont="1" applyFill="1" applyBorder="1" applyAlignment="1">
      <alignment vertical="center" wrapText="1"/>
    </xf>
    <xf numFmtId="0" fontId="7" fillId="6" borderId="7" xfId="0" applyFont="1" applyFill="1" applyBorder="1" applyAlignment="1">
      <alignment horizontal="center" vertical="center" textRotation="90" wrapText="1"/>
    </xf>
    <xf numFmtId="164" fontId="7" fillId="9" borderId="1" xfId="59" applyFont="1" applyFill="1" applyBorder="1" applyAlignment="1">
      <alignment vertical="center" wrapText="1"/>
    </xf>
    <xf numFmtId="164" fontId="7" fillId="6" borderId="1" xfId="59" applyFont="1" applyFill="1" applyBorder="1" applyAlignment="1">
      <alignment vertical="center" wrapText="1"/>
    </xf>
    <xf numFmtId="164" fontId="7" fillId="2" borderId="1" xfId="59" applyFont="1" applyFill="1" applyBorder="1" applyAlignment="1">
      <alignment vertical="center" wrapText="1"/>
    </xf>
    <xf numFmtId="168" fontId="0" fillId="0" borderId="0" xfId="0" applyNumberFormat="1"/>
    <xf numFmtId="164" fontId="7" fillId="6" borderId="1" xfId="59" applyFont="1" applyFill="1" applyBorder="1" applyAlignment="1">
      <alignment horizontal="center" vertical="center" wrapText="1"/>
    </xf>
    <xf numFmtId="164" fontId="7" fillId="5" borderId="1" xfId="59" applyFont="1" applyFill="1" applyBorder="1" applyAlignment="1">
      <alignment horizontal="center" vertical="center" wrapText="1"/>
    </xf>
    <xf numFmtId="164" fontId="7" fillId="5" borderId="19" xfId="59" applyFont="1" applyFill="1" applyBorder="1" applyAlignment="1">
      <alignment horizontal="center" vertical="center" wrapText="1"/>
    </xf>
    <xf numFmtId="168" fontId="7" fillId="6" borderId="1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textRotation="90" wrapText="1"/>
    </xf>
    <xf numFmtId="0" fontId="7" fillId="10" borderId="16" xfId="0" applyFont="1" applyFill="1" applyBorder="1" applyAlignment="1">
      <alignment horizontal="center" vertical="center" textRotation="90" wrapText="1"/>
    </xf>
    <xf numFmtId="0" fontId="7" fillId="10" borderId="1" xfId="0" applyFont="1" applyFill="1" applyBorder="1" applyAlignment="1">
      <alignment horizontal="center" vertical="center" textRotation="90" wrapText="1"/>
    </xf>
    <xf numFmtId="0" fontId="7" fillId="10" borderId="17" xfId="0" applyFont="1" applyFill="1" applyBorder="1" applyAlignment="1">
      <alignment horizontal="center" vertical="center" textRotation="90" wrapText="1"/>
    </xf>
    <xf numFmtId="164" fontId="13" fillId="6" borderId="1" xfId="59" applyFont="1" applyFill="1" applyBorder="1" applyAlignment="1">
      <alignment horizontal="center" vertical="center" wrapText="1"/>
    </xf>
    <xf numFmtId="164" fontId="13" fillId="5" borderId="1" xfId="59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164" fontId="3" fillId="6" borderId="1" xfId="59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 wrapText="1"/>
    </xf>
    <xf numFmtId="164" fontId="3" fillId="6" borderId="1" xfId="0" applyNumberFormat="1" applyFont="1" applyFill="1" applyBorder="1" applyAlignment="1">
      <alignment vertical="center" wrapText="1"/>
    </xf>
    <xf numFmtId="49" fontId="4" fillId="6" borderId="1" xfId="59" applyNumberFormat="1" applyFont="1" applyFill="1" applyBorder="1" applyAlignment="1">
      <alignment horizontal="center" vertical="center" wrapText="1"/>
    </xf>
    <xf numFmtId="164" fontId="71" fillId="6" borderId="1" xfId="59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left" vertical="center"/>
    </xf>
    <xf numFmtId="0" fontId="67" fillId="43" borderId="1" xfId="0" applyFont="1" applyFill="1" applyBorder="1" applyAlignment="1">
      <alignment horizontal="center" vertical="center" wrapText="1"/>
    </xf>
    <xf numFmtId="166" fontId="79" fillId="0" borderId="0" xfId="60" applyNumberFormat="1" applyFont="1">
      <alignment horizontal="right" vertical="top"/>
    </xf>
    <xf numFmtId="0" fontId="67" fillId="43" borderId="33" xfId="0" applyFont="1" applyFill="1" applyBorder="1" applyAlignment="1">
      <alignment horizontal="left" vertical="top" wrapText="1"/>
    </xf>
    <xf numFmtId="164" fontId="13" fillId="6" borderId="1" xfId="59" applyFont="1" applyFill="1" applyBorder="1" applyAlignment="1">
      <alignment horizontal="center" vertical="center"/>
    </xf>
    <xf numFmtId="0" fontId="67" fillId="43" borderId="33" xfId="0" applyFont="1" applyFill="1" applyBorder="1" applyAlignment="1">
      <alignment horizontal="center" vertical="top" wrapText="1"/>
    </xf>
    <xf numFmtId="0" fontId="67" fillId="43" borderId="0" xfId="0" applyFont="1" applyFill="1" applyAlignment="1">
      <alignment horizontal="center" vertical="top" wrapText="1"/>
    </xf>
    <xf numFmtId="0" fontId="80" fillId="43" borderId="0" xfId="0" applyFont="1" applyFill="1" applyAlignment="1">
      <alignment horizontal="center" vertical="center" wrapText="1"/>
    </xf>
    <xf numFmtId="0" fontId="67" fillId="43" borderId="0" xfId="0" applyFont="1" applyFill="1" applyAlignment="1">
      <alignment horizontal="left" vertical="top" wrapText="1"/>
    </xf>
    <xf numFmtId="0" fontId="13" fillId="6" borderId="6" xfId="0" applyFont="1" applyFill="1" applyBorder="1" applyAlignment="1">
      <alignment horizontal="center" wrapText="1"/>
    </xf>
    <xf numFmtId="0" fontId="13" fillId="6" borderId="6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67" fillId="43" borderId="0" xfId="0" applyFont="1" applyFill="1" applyAlignment="1">
      <alignment horizontal="center" vertical="center" wrapText="1"/>
    </xf>
    <xf numFmtId="0" fontId="13" fillId="6" borderId="3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vertical="center" wrapText="1"/>
    </xf>
    <xf numFmtId="164" fontId="13" fillId="6" borderId="8" xfId="59" applyFont="1" applyFill="1" applyBorder="1" applyAlignment="1">
      <alignment horizontal="center" vertical="center"/>
    </xf>
    <xf numFmtId="0" fontId="13" fillId="6" borderId="36" xfId="0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13" fillId="6" borderId="3" xfId="0" applyFont="1" applyFill="1" applyBorder="1" applyAlignment="1">
      <alignment vertical="center"/>
    </xf>
    <xf numFmtId="0" fontId="13" fillId="6" borderId="8" xfId="0" applyFont="1" applyFill="1" applyBorder="1" applyAlignment="1">
      <alignment vertical="center"/>
    </xf>
    <xf numFmtId="0" fontId="13" fillId="6" borderId="2" xfId="0" applyFont="1" applyFill="1" applyBorder="1" applyAlignment="1">
      <alignment vertical="center"/>
    </xf>
    <xf numFmtId="164" fontId="13" fillId="6" borderId="1" xfId="0" applyNumberFormat="1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left" vertical="center"/>
    </xf>
    <xf numFmtId="0" fontId="13" fillId="6" borderId="6" xfId="0" applyFont="1" applyFill="1" applyBorder="1" applyAlignment="1">
      <alignment horizontal="center"/>
    </xf>
    <xf numFmtId="168" fontId="13" fillId="6" borderId="1" xfId="0" applyNumberFormat="1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left" vertical="center" wrapText="1"/>
    </xf>
    <xf numFmtId="0" fontId="48" fillId="6" borderId="7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vertical="center" wrapText="1"/>
    </xf>
    <xf numFmtId="164" fontId="81" fillId="6" borderId="1" xfId="59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164" fontId="4" fillId="6" borderId="1" xfId="0" applyNumberFormat="1" applyFont="1" applyFill="1" applyBorder="1" applyAlignment="1">
      <alignment vertical="center" wrapText="1"/>
    </xf>
    <xf numFmtId="164" fontId="2" fillId="2" borderId="1" xfId="59" applyFont="1" applyFill="1" applyBorder="1" applyAlignment="1">
      <alignment horizontal="center" vertical="center" wrapText="1"/>
    </xf>
    <xf numFmtId="164" fontId="0" fillId="0" borderId="0" xfId="59" applyFont="1"/>
    <xf numFmtId="164" fontId="7" fillId="2" borderId="1" xfId="59" applyFont="1" applyFill="1" applyBorder="1" applyAlignment="1">
      <alignment horizontal="center" vertical="center" textRotation="90" wrapText="1"/>
    </xf>
    <xf numFmtId="164" fontId="7" fillId="6" borderId="7" xfId="59" applyFont="1" applyFill="1" applyBorder="1" applyAlignment="1">
      <alignment horizontal="center" vertical="center" textRotation="90" wrapText="1"/>
    </xf>
    <xf numFmtId="164" fontId="0" fillId="0" borderId="0" xfId="59" applyFont="1" applyAlignment="1">
      <alignment horizontal="center" vertical="center" wrapText="1"/>
    </xf>
    <xf numFmtId="164" fontId="0" fillId="0" borderId="12" xfId="59" applyFont="1" applyBorder="1" applyAlignment="1">
      <alignment horizontal="right"/>
    </xf>
    <xf numFmtId="164" fontId="7" fillId="5" borderId="16" xfId="59" applyFont="1" applyFill="1" applyBorder="1" applyAlignment="1">
      <alignment horizontal="center" vertical="center" wrapText="1"/>
    </xf>
    <xf numFmtId="169" fontId="7" fillId="6" borderId="16" xfId="0" applyNumberFormat="1" applyFont="1" applyFill="1" applyBorder="1" applyAlignment="1">
      <alignment horizontal="center" vertical="center" textRotation="90" wrapText="1"/>
    </xf>
    <xf numFmtId="169" fontId="7" fillId="6" borderId="1" xfId="0" applyNumberFormat="1" applyFont="1" applyFill="1" applyBorder="1" applyAlignment="1">
      <alignment horizontal="center" vertical="center" textRotation="90" wrapText="1"/>
    </xf>
    <xf numFmtId="164" fontId="7" fillId="6" borderId="17" xfId="59" applyFont="1" applyFill="1" applyBorder="1" applyAlignment="1">
      <alignment horizontal="center" vertical="center" wrapText="1"/>
    </xf>
    <xf numFmtId="164" fontId="7" fillId="5" borderId="8" xfId="59" applyFont="1" applyFill="1" applyBorder="1" applyAlignment="1">
      <alignment horizontal="center" vertical="center" wrapText="1"/>
    </xf>
    <xf numFmtId="164" fontId="7" fillId="5" borderId="5" xfId="59" applyFont="1" applyFill="1" applyBorder="1" applyAlignment="1">
      <alignment horizontal="center" vertical="center" wrapText="1"/>
    </xf>
    <xf numFmtId="164" fontId="0" fillId="0" borderId="0" xfId="0" applyNumberFormat="1"/>
    <xf numFmtId="170" fontId="0" fillId="0" borderId="0" xfId="0" applyNumberFormat="1"/>
    <xf numFmtId="168" fontId="83" fillId="0" borderId="0" xfId="0" applyNumberFormat="1" applyFont="1"/>
    <xf numFmtId="170" fontId="84" fillId="0" borderId="0" xfId="59" applyNumberFormat="1" applyFont="1"/>
    <xf numFmtId="0" fontId="48" fillId="6" borderId="7" xfId="0" applyFont="1" applyFill="1" applyBorder="1" applyAlignment="1">
      <alignment horizontal="center" vertical="center" wrapText="1"/>
    </xf>
    <xf numFmtId="0" fontId="71" fillId="6" borderId="1" xfId="0" applyFont="1" applyFill="1" applyBorder="1" applyAlignment="1">
      <alignment horizontal="center" vertical="center" wrapText="1"/>
    </xf>
    <xf numFmtId="0" fontId="48" fillId="6" borderId="1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textRotation="90" wrapText="1"/>
    </xf>
    <xf numFmtId="0" fontId="7" fillId="6" borderId="1" xfId="0" applyFont="1" applyFill="1" applyBorder="1" applyAlignment="1">
      <alignment horizontal="center" vertical="center" textRotation="90" wrapText="1"/>
    </xf>
    <xf numFmtId="0" fontId="4" fillId="6" borderId="16" xfId="0" applyFont="1" applyFill="1" applyBorder="1" applyAlignment="1">
      <alignment horizontal="center" vertical="center" wrapText="1"/>
    </xf>
    <xf numFmtId="0" fontId="67" fillId="5" borderId="1" xfId="0" applyFont="1" applyFill="1" applyBorder="1" applyAlignment="1">
      <alignment horizontal="left" vertical="center" wrapText="1"/>
    </xf>
    <xf numFmtId="164" fontId="48" fillId="6" borderId="1" xfId="59" applyFont="1" applyFill="1" applyBorder="1" applyAlignment="1">
      <alignment vertical="center" wrapText="1"/>
    </xf>
    <xf numFmtId="168" fontId="0" fillId="44" borderId="0" xfId="0" applyNumberFormat="1" applyFill="1"/>
    <xf numFmtId="0" fontId="48" fillId="6" borderId="16" xfId="0" applyFont="1" applyFill="1" applyBorder="1" applyAlignment="1">
      <alignment horizontal="center" vertical="center" wrapText="1"/>
    </xf>
    <xf numFmtId="0" fontId="48" fillId="6" borderId="17" xfId="0" applyFont="1" applyFill="1" applyBorder="1" applyAlignment="1">
      <alignment horizontal="center" vertical="center" wrapText="1"/>
    </xf>
    <xf numFmtId="168" fontId="48" fillId="6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9" fontId="0" fillId="0" borderId="0" xfId="62" applyFont="1"/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3" fillId="6" borderId="7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54" fillId="0" borderId="0" xfId="0" applyFont="1"/>
    <xf numFmtId="0" fontId="45" fillId="5" borderId="1" xfId="0" applyFont="1" applyFill="1" applyBorder="1" applyAlignment="1">
      <alignment horizontal="center" vertical="center" wrapText="1"/>
    </xf>
    <xf numFmtId="49" fontId="70" fillId="2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1" fillId="6" borderId="2" xfId="0" applyFont="1" applyFill="1" applyBorder="1" applyAlignment="1">
      <alignment horizontal="center" vertical="center" wrapText="1"/>
    </xf>
    <xf numFmtId="0" fontId="71" fillId="6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4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77" fillId="6" borderId="7" xfId="0" applyFont="1" applyFill="1" applyBorder="1" applyAlignment="1">
      <alignment horizontal="center" vertical="center" wrapText="1"/>
    </xf>
    <xf numFmtId="0" fontId="77" fillId="6" borderId="10" xfId="0" applyFont="1" applyFill="1" applyBorder="1" applyAlignment="1">
      <alignment horizontal="center" vertical="center" wrapText="1"/>
    </xf>
    <xf numFmtId="0" fontId="77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left" vertical="center"/>
    </xf>
    <xf numFmtId="0" fontId="67" fillId="43" borderId="33" xfId="0" applyFont="1" applyFill="1" applyBorder="1" applyAlignment="1">
      <alignment horizontal="center" vertical="top" wrapText="1"/>
    </xf>
    <xf numFmtId="0" fontId="67" fillId="43" borderId="0" xfId="0" applyFont="1" applyFill="1" applyAlignment="1">
      <alignment horizontal="center" vertical="top" wrapText="1"/>
    </xf>
    <xf numFmtId="0" fontId="13" fillId="6" borderId="2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67" fillId="43" borderId="1" xfId="0" applyFont="1" applyFill="1" applyBorder="1" applyAlignment="1">
      <alignment horizontal="center" vertical="center" wrapText="1"/>
    </xf>
    <xf numFmtId="0" fontId="79" fillId="0" borderId="0" xfId="0" applyFont="1" applyAlignment="1">
      <alignment horizontal="left" vertical="top"/>
    </xf>
    <xf numFmtId="0" fontId="13" fillId="6" borderId="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50" fillId="0" borderId="37" xfId="0" applyFont="1" applyBorder="1" applyAlignment="1">
      <alignment horizontal="right"/>
    </xf>
    <xf numFmtId="0" fontId="48" fillId="2" borderId="13" xfId="0" applyFont="1" applyFill="1" applyBorder="1" applyAlignment="1">
      <alignment horizontal="center" vertical="center" wrapText="1"/>
    </xf>
    <xf numFmtId="0" fontId="48" fillId="2" borderId="14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4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48" fillId="2" borderId="15" xfId="0" applyFont="1" applyFill="1" applyBorder="1" applyAlignment="1">
      <alignment horizontal="center" vertical="center" textRotation="90" wrapText="1"/>
    </xf>
    <xf numFmtId="0" fontId="48" fillId="2" borderId="17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7" fillId="6" borderId="38" xfId="0" applyFont="1" applyFill="1" applyBorder="1" applyAlignment="1">
      <alignment horizontal="center" vertical="center" wrapText="1"/>
    </xf>
    <xf numFmtId="0" fontId="7" fillId="6" borderId="40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169" fontId="7" fillId="6" borderId="21" xfId="0" applyNumberFormat="1" applyFont="1" applyFill="1" applyBorder="1" applyAlignment="1">
      <alignment horizontal="center" vertical="center" textRotation="90" wrapText="1"/>
    </xf>
    <xf numFmtId="169" fontId="7" fillId="6" borderId="41" xfId="0" applyNumberFormat="1" applyFont="1" applyFill="1" applyBorder="1" applyAlignment="1">
      <alignment horizontal="center" vertical="center" textRotation="90" wrapText="1"/>
    </xf>
    <xf numFmtId="169" fontId="7" fillId="6" borderId="7" xfId="0" applyNumberFormat="1" applyFont="1" applyFill="1" applyBorder="1" applyAlignment="1">
      <alignment horizontal="center" vertical="center" textRotation="90" wrapText="1"/>
    </xf>
    <xf numFmtId="169" fontId="7" fillId="6" borderId="10" xfId="0" applyNumberFormat="1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69" fontId="7" fillId="6" borderId="6" xfId="0" applyNumberFormat="1" applyFont="1" applyFill="1" applyBorder="1" applyAlignment="1">
      <alignment horizontal="center" vertical="center" textRotation="90" wrapText="1"/>
    </xf>
    <xf numFmtId="0" fontId="48" fillId="6" borderId="38" xfId="0" applyFont="1" applyFill="1" applyBorder="1" applyAlignment="1">
      <alignment horizontal="center" vertical="center" wrapText="1"/>
    </xf>
    <xf numFmtId="0" fontId="48" fillId="6" borderId="40" xfId="0" applyFont="1" applyFill="1" applyBorder="1" applyAlignment="1">
      <alignment horizontal="center" vertical="center" wrapText="1"/>
    </xf>
    <xf numFmtId="0" fontId="48" fillId="6" borderId="4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1" fillId="6" borderId="7" xfId="0" applyFont="1" applyFill="1" applyBorder="1" applyAlignment="1">
      <alignment horizontal="center" vertical="center" wrapText="1"/>
    </xf>
    <xf numFmtId="0" fontId="71" fillId="6" borderId="10" xfId="0" applyFont="1" applyFill="1" applyBorder="1" applyAlignment="1">
      <alignment horizontal="center" vertical="center" wrapText="1"/>
    </xf>
    <xf numFmtId="0" fontId="71" fillId="6" borderId="6" xfId="0" applyFont="1" applyFill="1" applyBorder="1" applyAlignment="1">
      <alignment horizontal="center" vertical="center" wrapText="1"/>
    </xf>
    <xf numFmtId="169" fontId="7" fillId="6" borderId="39" xfId="0" applyNumberFormat="1" applyFont="1" applyFill="1" applyBorder="1" applyAlignment="1">
      <alignment horizontal="center" vertical="center" textRotation="90" wrapText="1"/>
    </xf>
    <xf numFmtId="0" fontId="82" fillId="2" borderId="15" xfId="0" applyFont="1" applyFill="1" applyBorder="1" applyAlignment="1">
      <alignment horizontal="center" vertical="center" textRotation="90" wrapText="1"/>
    </xf>
    <xf numFmtId="0" fontId="82" fillId="2" borderId="17" xfId="0" applyFont="1" applyFill="1" applyBorder="1" applyAlignment="1">
      <alignment horizontal="center" vertical="center" textRotation="90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horizontal="center" vertical="center" textRotation="90" wrapText="1"/>
    </xf>
    <xf numFmtId="0" fontId="48" fillId="10" borderId="13" xfId="0" applyFont="1" applyFill="1" applyBorder="1" applyAlignment="1">
      <alignment horizontal="center" vertical="center" wrapText="1"/>
    </xf>
    <xf numFmtId="0" fontId="48" fillId="10" borderId="14" xfId="0" applyFont="1" applyFill="1" applyBorder="1" applyAlignment="1">
      <alignment horizontal="center" vertical="center" wrapText="1"/>
    </xf>
    <xf numFmtId="0" fontId="48" fillId="10" borderId="16" xfId="0" applyFont="1" applyFill="1" applyBorder="1" applyAlignment="1">
      <alignment horizontal="center" vertical="center" wrapText="1"/>
    </xf>
    <xf numFmtId="0" fontId="48" fillId="10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2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Alignment="1">
      <alignment horizontal="left" wrapText="1"/>
    </xf>
    <xf numFmtId="0" fontId="67" fillId="0" borderId="11" xfId="0" applyFont="1" applyBorder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wrapText="1"/>
    </xf>
    <xf numFmtId="0" fontId="22" fillId="0" borderId="0" xfId="0" applyFont="1" applyAlignment="1">
      <alignment horizontal="center" wrapText="1"/>
    </xf>
    <xf numFmtId="0" fontId="48" fillId="0" borderId="0" xfId="0" applyFont="1" applyAlignment="1">
      <alignment horizontal="center" wrapText="1"/>
    </xf>
    <xf numFmtId="0" fontId="48" fillId="0" borderId="4" xfId="0" applyFont="1" applyBorder="1" applyAlignment="1">
      <alignment horizontal="left" wrapText="1"/>
    </xf>
    <xf numFmtId="0" fontId="68" fillId="0" borderId="0" xfId="0" applyFont="1" applyAlignment="1">
      <alignment horizontal="center" wrapText="1"/>
    </xf>
    <xf numFmtId="0" fontId="48" fillId="0" borderId="4" xfId="0" applyFont="1" applyBorder="1" applyAlignment="1">
      <alignment horizontal="left"/>
    </xf>
    <xf numFmtId="0" fontId="48" fillId="0" borderId="0" xfId="0" applyFont="1" applyAlignment="1">
      <alignment horizontal="left"/>
    </xf>
    <xf numFmtId="0" fontId="4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8" fillId="4" borderId="0" xfId="0" applyFont="1" applyFill="1" applyAlignment="1">
      <alignment horizontal="left" wrapText="1"/>
    </xf>
    <xf numFmtId="0" fontId="61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  <xf numFmtId="0" fontId="63" fillId="0" borderId="0" xfId="0" applyFont="1" applyAlignment="1">
      <alignment horizontal="center" vertical="top" wrapText="1"/>
    </xf>
    <xf numFmtId="0" fontId="63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69" fillId="0" borderId="4" xfId="0" applyFont="1" applyBorder="1" applyAlignment="1">
      <alignment horizontal="left" wrapText="1"/>
    </xf>
    <xf numFmtId="0" fontId="69" fillId="0" borderId="0" xfId="0" applyFont="1" applyAlignment="1">
      <alignment horizontal="left" wrapText="1"/>
    </xf>
    <xf numFmtId="0" fontId="62" fillId="0" borderId="0" xfId="0" applyFont="1" applyAlignment="1">
      <alignment horizontal="center" wrapText="1"/>
    </xf>
    <xf numFmtId="0" fontId="71" fillId="0" borderId="0" xfId="0" applyFont="1" applyAlignment="1">
      <alignment wrapText="1"/>
    </xf>
    <xf numFmtId="0" fontId="71" fillId="0" borderId="0" xfId="0" applyFont="1" applyAlignment="1">
      <alignment horizontal="left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69" fillId="0" borderId="4" xfId="0" applyFont="1" applyBorder="1" applyAlignment="1">
      <alignment horizontal="center" wrapText="1"/>
    </xf>
    <xf numFmtId="0" fontId="69" fillId="0" borderId="0" xfId="0" applyFont="1" applyAlignment="1">
      <alignment horizontal="center" wrapText="1"/>
    </xf>
    <xf numFmtId="0" fontId="71" fillId="0" borderId="0" xfId="0" applyFont="1" applyAlignment="1">
      <alignment vertical="top" wrapText="1"/>
    </xf>
    <xf numFmtId="0" fontId="71" fillId="0" borderId="0" xfId="0" applyFont="1" applyAlignment="1">
      <alignment horizontal="left" vertical="top" wrapText="1"/>
    </xf>
    <xf numFmtId="0" fontId="48" fillId="0" borderId="0" xfId="0" applyFont="1" applyAlignment="1">
      <alignment wrapText="1"/>
    </xf>
  </cellXfs>
  <cellStyles count="63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F000000}"/>
    <cellStyle name="Comma 2 6" xfId="61" xr:uid="{00000000-0005-0000-0000-000020000000}"/>
    <cellStyle name="Normal 3" xfId="1" xr:uid="{00000000-0005-0000-0000-000022000000}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" xfId="0" builtinId="0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Примечание" xfId="2" builtinId="10" customBuiltin="1"/>
    <cellStyle name="Процентный" xfId="62" builtinId="5"/>
    <cellStyle name="Связанная ячейка 2" xfId="15" xr:uid="{00000000-0005-0000-0000-00003B000000}"/>
    <cellStyle name="Текст предупреждения 2" xfId="17" xr:uid="{00000000-0005-0000-0000-00003C000000}"/>
    <cellStyle name="Финансовый" xfId="59" builtinId="3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D17" sqref="D17"/>
    </sheetView>
  </sheetViews>
  <sheetFormatPr defaultRowHeight="15" x14ac:dyDescent="0.25"/>
  <cols>
    <col min="3" max="3" width="14.7109375" customWidth="1"/>
  </cols>
  <sheetData>
    <row r="2" spans="1:12" x14ac:dyDescent="0.25">
      <c r="A2" s="3" t="s">
        <v>45</v>
      </c>
    </row>
    <row r="4" spans="1:12" x14ac:dyDescent="0.25">
      <c r="B4" s="224" t="s">
        <v>61</v>
      </c>
      <c r="C4" s="225"/>
      <c r="D4" s="226"/>
      <c r="E4" s="227"/>
      <c r="F4" s="227"/>
      <c r="G4" s="227"/>
      <c r="H4" s="227"/>
      <c r="I4" s="228"/>
    </row>
    <row r="6" spans="1:12" x14ac:dyDescent="0.25">
      <c r="A6" s="8" t="s">
        <v>0</v>
      </c>
      <c r="B6" s="9"/>
      <c r="C6" s="9"/>
      <c r="D6" s="10"/>
      <c r="E6" s="10"/>
      <c r="F6" s="10"/>
      <c r="G6" s="10"/>
      <c r="H6" s="10"/>
      <c r="I6" s="10"/>
      <c r="J6" s="7"/>
      <c r="K6" s="7"/>
      <c r="L6" s="7"/>
    </row>
    <row r="8" spans="1:12" x14ac:dyDescent="0.25">
      <c r="A8" s="11" t="s">
        <v>62</v>
      </c>
    </row>
    <row r="9" spans="1:12" ht="31.5" customHeight="1" x14ac:dyDescent="0.25">
      <c r="B9" s="226"/>
      <c r="C9" s="227"/>
      <c r="D9" s="227"/>
      <c r="E9" s="227"/>
      <c r="F9" s="227"/>
      <c r="G9" s="227"/>
      <c r="H9" s="227"/>
      <c r="I9" s="228"/>
    </row>
    <row r="11" spans="1:12" x14ac:dyDescent="0.25">
      <c r="A11" s="11" t="s">
        <v>92</v>
      </c>
    </row>
    <row r="12" spans="1:12" ht="37.5" customHeight="1" x14ac:dyDescent="0.25">
      <c r="B12" s="226"/>
      <c r="C12" s="227"/>
      <c r="D12" s="227"/>
      <c r="E12" s="227"/>
      <c r="F12" s="227"/>
      <c r="G12" s="227"/>
      <c r="H12" s="227"/>
      <c r="I12" s="228"/>
    </row>
    <row r="14" spans="1:12" x14ac:dyDescent="0.25">
      <c r="A14" s="11" t="s">
        <v>93</v>
      </c>
    </row>
    <row r="15" spans="1:12" ht="36.75" customHeight="1" x14ac:dyDescent="0.25">
      <c r="B15" s="226"/>
      <c r="C15" s="227"/>
      <c r="D15" s="227"/>
      <c r="E15" s="227"/>
      <c r="F15" s="227"/>
      <c r="G15" s="227"/>
      <c r="H15" s="227"/>
      <c r="I15" s="228"/>
    </row>
    <row r="17" spans="1:9" x14ac:dyDescent="0.25">
      <c r="A17" s="11" t="s">
        <v>198</v>
      </c>
    </row>
    <row r="18" spans="1:9" ht="30.75" customHeight="1" x14ac:dyDescent="0.25">
      <c r="B18" s="226"/>
      <c r="C18" s="227"/>
      <c r="D18" s="227"/>
      <c r="E18" s="227"/>
      <c r="F18" s="227"/>
      <c r="G18" s="227"/>
      <c r="H18" s="227"/>
      <c r="I18" s="228"/>
    </row>
    <row r="22" spans="1:9" x14ac:dyDescent="0.25">
      <c r="B22" s="78" t="s">
        <v>232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ECF1-8B52-4FF6-9CA9-D12DEB791320}">
  <sheetPr>
    <tabColor theme="0" tint="-0.14999847407452621"/>
  </sheetPr>
  <dimension ref="A1:AY25"/>
  <sheetViews>
    <sheetView topLeftCell="R2" workbookViewId="0">
      <selection activeCell="AA10" sqref="AA10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35.42578125" customWidth="1"/>
    <col min="5" max="5" width="21" customWidth="1"/>
    <col min="6" max="6" width="23" customWidth="1"/>
    <col min="7" max="7" width="11.140625" customWidth="1"/>
    <col min="8" max="8" width="11.42578125" customWidth="1"/>
    <col min="9" max="9" width="10.28515625" customWidth="1"/>
    <col min="10" max="11" width="9.85546875" bestFit="1" customWidth="1"/>
    <col min="12" max="12" width="9.7109375" bestFit="1" customWidth="1"/>
    <col min="13" max="13" width="9.140625" customWidth="1"/>
    <col min="14" max="14" width="9.140625" bestFit="1" customWidth="1"/>
    <col min="15" max="15" width="8.42578125" bestFit="1" customWidth="1"/>
    <col min="16" max="16" width="10.42578125" bestFit="1" customWidth="1"/>
    <col min="17" max="17" width="10.85546875" bestFit="1" customWidth="1"/>
    <col min="18" max="18" width="8.7109375" bestFit="1" customWidth="1"/>
    <col min="19" max="19" width="11.42578125" bestFit="1" customWidth="1"/>
    <col min="20" max="20" width="11.85546875" bestFit="1" customWidth="1"/>
    <col min="21" max="21" width="10.140625" bestFit="1" customWidth="1"/>
    <col min="22" max="22" width="13" bestFit="1" customWidth="1"/>
    <col min="23" max="23" width="11.140625" bestFit="1" customWidth="1"/>
    <col min="24" max="24" width="10.42578125" bestFit="1" customWidth="1"/>
    <col min="25" max="25" width="13" bestFit="1" customWidth="1"/>
    <col min="26" max="26" width="11.140625" bestFit="1" customWidth="1"/>
    <col min="27" max="27" width="10.28515625" bestFit="1" customWidth="1"/>
    <col min="28" max="28" width="10.7109375" bestFit="1" customWidth="1"/>
    <col min="29" max="29" width="9.85546875" bestFit="1" customWidth="1"/>
    <col min="30" max="30" width="9.140625" bestFit="1" customWidth="1"/>
    <col min="31" max="33" width="11" customWidth="1"/>
    <col min="34" max="34" width="9.5703125" bestFit="1" customWidth="1"/>
    <col min="35" max="35" width="9.42578125" bestFit="1" customWidth="1"/>
    <col min="36" max="36" width="8.5703125" bestFit="1" customWidth="1"/>
    <col min="37" max="37" width="10.140625" bestFit="1" customWidth="1"/>
    <col min="38" max="38" width="10.28515625" bestFit="1" customWidth="1"/>
    <col min="39" max="39" width="9.85546875" bestFit="1" customWidth="1"/>
    <col min="40" max="40" width="9.5703125" bestFit="1" customWidth="1"/>
    <col min="41" max="41" width="9.42578125" bestFit="1" customWidth="1"/>
    <col min="42" max="42" width="8.5703125" bestFit="1" customWidth="1"/>
    <col min="43" max="43" width="10.140625" bestFit="1" customWidth="1"/>
    <col min="44" max="44" width="10.28515625" bestFit="1" customWidth="1"/>
    <col min="45" max="45" width="9.85546875" bestFit="1" customWidth="1"/>
    <col min="46" max="47" width="11.140625" bestFit="1" customWidth="1"/>
    <col min="48" max="48" width="10.42578125" bestFit="1" customWidth="1"/>
    <col min="51" max="51" width="54" customWidth="1"/>
  </cols>
  <sheetData>
    <row r="1" spans="1:51" s="56" customFormat="1" ht="22.5" customHeight="1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51" s="56" customFormat="1" ht="30.75" customHeight="1" x14ac:dyDescent="0.25">
      <c r="A3" s="64" t="s">
        <v>131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</row>
    <row r="4" spans="1:51" x14ac:dyDescent="0.25">
      <c r="A4" s="65"/>
      <c r="B4" s="67"/>
      <c r="C4" s="67"/>
      <c r="D4" s="67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AE4" s="56"/>
      <c r="AF4" s="56"/>
      <c r="AG4" s="56"/>
    </row>
    <row r="5" spans="1:51" ht="15.75" thickBot="1" x14ac:dyDescent="0.3">
      <c r="A5" s="65"/>
      <c r="B5" s="65"/>
      <c r="C5" s="65"/>
      <c r="D5" s="67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AE5" s="56"/>
      <c r="AF5" s="56"/>
      <c r="AG5" s="56"/>
      <c r="AW5" s="275" t="s">
        <v>321</v>
      </c>
      <c r="AX5" s="275"/>
      <c r="AY5" s="275"/>
    </row>
    <row r="6" spans="1:51" ht="40.5" customHeight="1" x14ac:dyDescent="0.25">
      <c r="A6" s="65"/>
      <c r="B6" s="276" t="s">
        <v>8</v>
      </c>
      <c r="C6" s="277"/>
      <c r="D6" s="277" t="s">
        <v>51</v>
      </c>
      <c r="E6" s="277" t="s">
        <v>43</v>
      </c>
      <c r="F6" s="277" t="s">
        <v>132</v>
      </c>
      <c r="G6" s="277" t="s">
        <v>322</v>
      </c>
      <c r="H6" s="277"/>
      <c r="I6" s="277"/>
      <c r="J6" s="277" t="s">
        <v>143</v>
      </c>
      <c r="K6" s="277"/>
      <c r="L6" s="277"/>
      <c r="M6" s="277" t="s">
        <v>144</v>
      </c>
      <c r="N6" s="277"/>
      <c r="O6" s="277"/>
      <c r="P6" s="279" t="s">
        <v>145</v>
      </c>
      <c r="Q6" s="279"/>
      <c r="R6" s="279"/>
      <c r="S6" s="279" t="s">
        <v>22</v>
      </c>
      <c r="T6" s="279"/>
      <c r="U6" s="279"/>
      <c r="V6" s="279" t="s">
        <v>16</v>
      </c>
      <c r="W6" s="279"/>
      <c r="X6" s="279"/>
      <c r="Y6" s="279"/>
      <c r="Z6" s="279"/>
      <c r="AA6" s="279"/>
      <c r="AB6" s="279"/>
      <c r="AC6" s="279"/>
      <c r="AD6" s="280"/>
      <c r="AE6" s="281" t="s">
        <v>262</v>
      </c>
      <c r="AF6" s="282"/>
      <c r="AG6" s="282"/>
      <c r="AH6" s="282" t="s">
        <v>148</v>
      </c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4"/>
      <c r="AW6" s="285" t="s">
        <v>28</v>
      </c>
      <c r="AX6" s="287" t="s">
        <v>29</v>
      </c>
      <c r="AY6" s="289" t="s">
        <v>330</v>
      </c>
    </row>
    <row r="7" spans="1:51" ht="25.5" customHeight="1" x14ac:dyDescent="0.25">
      <c r="A7" s="65"/>
      <c r="B7" s="278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61"/>
      <c r="Q7" s="261"/>
      <c r="R7" s="261"/>
      <c r="S7" s="261"/>
      <c r="T7" s="261"/>
      <c r="U7" s="261"/>
      <c r="V7" s="261" t="s">
        <v>17</v>
      </c>
      <c r="W7" s="261"/>
      <c r="X7" s="261"/>
      <c r="Y7" s="261" t="s">
        <v>114</v>
      </c>
      <c r="Z7" s="261"/>
      <c r="AA7" s="261"/>
      <c r="AB7" s="261" t="s">
        <v>137</v>
      </c>
      <c r="AC7" s="261"/>
      <c r="AD7" s="305"/>
      <c r="AE7" s="283"/>
      <c r="AF7" s="273"/>
      <c r="AG7" s="273"/>
      <c r="AH7" s="273" t="s">
        <v>30</v>
      </c>
      <c r="AI7" s="273"/>
      <c r="AJ7" s="273"/>
      <c r="AK7" s="273" t="s">
        <v>31</v>
      </c>
      <c r="AL7" s="273"/>
      <c r="AM7" s="273"/>
      <c r="AN7" s="273" t="s">
        <v>32</v>
      </c>
      <c r="AO7" s="273"/>
      <c r="AP7" s="273"/>
      <c r="AQ7" s="273" t="s">
        <v>33</v>
      </c>
      <c r="AR7" s="273"/>
      <c r="AS7" s="273"/>
      <c r="AT7" s="273" t="s">
        <v>34</v>
      </c>
      <c r="AU7" s="273"/>
      <c r="AV7" s="274"/>
      <c r="AW7" s="286"/>
      <c r="AX7" s="288"/>
      <c r="AY7" s="290"/>
    </row>
    <row r="8" spans="1:51" ht="126" customHeight="1" x14ac:dyDescent="0.25">
      <c r="A8" s="65"/>
      <c r="B8" s="68" t="s">
        <v>2</v>
      </c>
      <c r="C8" s="69" t="s">
        <v>25</v>
      </c>
      <c r="D8" s="239"/>
      <c r="E8" s="239"/>
      <c r="F8" s="239"/>
      <c r="G8" s="70" t="s">
        <v>12</v>
      </c>
      <c r="H8" s="70" t="s">
        <v>20</v>
      </c>
      <c r="I8" s="70" t="s">
        <v>21</v>
      </c>
      <c r="J8" s="70" t="s">
        <v>12</v>
      </c>
      <c r="K8" s="70" t="s">
        <v>20</v>
      </c>
      <c r="L8" s="70" t="s">
        <v>21</v>
      </c>
      <c r="M8" s="70" t="s">
        <v>12</v>
      </c>
      <c r="N8" s="70" t="s">
        <v>20</v>
      </c>
      <c r="O8" s="70" t="s">
        <v>21</v>
      </c>
      <c r="P8" s="29" t="s">
        <v>12</v>
      </c>
      <c r="Q8" s="29" t="s">
        <v>20</v>
      </c>
      <c r="R8" s="29" t="s">
        <v>21</v>
      </c>
      <c r="S8" s="29" t="s">
        <v>12</v>
      </c>
      <c r="T8" s="29" t="s">
        <v>20</v>
      </c>
      <c r="U8" s="29" t="s">
        <v>21</v>
      </c>
      <c r="V8" s="29" t="s">
        <v>12</v>
      </c>
      <c r="W8" s="29" t="s">
        <v>20</v>
      </c>
      <c r="X8" s="29" t="s">
        <v>21</v>
      </c>
      <c r="Y8" s="29" t="s">
        <v>12</v>
      </c>
      <c r="Z8" s="29" t="s">
        <v>20</v>
      </c>
      <c r="AA8" s="29" t="s">
        <v>21</v>
      </c>
      <c r="AB8" s="29" t="s">
        <v>12</v>
      </c>
      <c r="AC8" s="29" t="s">
        <v>20</v>
      </c>
      <c r="AD8" s="55" t="s">
        <v>21</v>
      </c>
      <c r="AE8" s="42" t="s">
        <v>12</v>
      </c>
      <c r="AF8" s="41" t="s">
        <v>20</v>
      </c>
      <c r="AG8" s="41" t="s">
        <v>21</v>
      </c>
      <c r="AH8" s="41" t="s">
        <v>12</v>
      </c>
      <c r="AI8" s="41" t="s">
        <v>20</v>
      </c>
      <c r="AJ8" s="41" t="s">
        <v>21</v>
      </c>
      <c r="AK8" s="41" t="s">
        <v>12</v>
      </c>
      <c r="AL8" s="41" t="s">
        <v>20</v>
      </c>
      <c r="AM8" s="41" t="s">
        <v>21</v>
      </c>
      <c r="AN8" s="41" t="s">
        <v>12</v>
      </c>
      <c r="AO8" s="41" t="s">
        <v>20</v>
      </c>
      <c r="AP8" s="41" t="s">
        <v>21</v>
      </c>
      <c r="AQ8" s="41" t="s">
        <v>12</v>
      </c>
      <c r="AR8" s="41" t="s">
        <v>20</v>
      </c>
      <c r="AS8" s="41" t="s">
        <v>21</v>
      </c>
      <c r="AT8" s="41" t="s">
        <v>12</v>
      </c>
      <c r="AU8" s="41" t="s">
        <v>20</v>
      </c>
      <c r="AV8" s="43" t="s">
        <v>21</v>
      </c>
      <c r="AW8" s="286"/>
      <c r="AX8" s="288"/>
      <c r="AY8" s="290"/>
    </row>
    <row r="9" spans="1:51" ht="92.25" customHeight="1" x14ac:dyDescent="0.25">
      <c r="B9" s="293">
        <v>1167</v>
      </c>
      <c r="C9" s="16">
        <v>11006</v>
      </c>
      <c r="D9" s="16" t="s">
        <v>317</v>
      </c>
      <c r="E9" s="22" t="s">
        <v>323</v>
      </c>
      <c r="F9" s="16" t="s">
        <v>324</v>
      </c>
      <c r="G9" s="146">
        <f>H9+I9</f>
        <v>1907229.2774999999</v>
      </c>
      <c r="H9" s="145">
        <f>SUM('Հ7 Ձև1 (Grant Euro)'!H9*'Հ7 Ձև1 (Grant AMD) '!$B$24)</f>
        <v>1589351.5474999999</v>
      </c>
      <c r="I9" s="145">
        <f>SUM('Հ7 Ձև1 (Grant Euro)'!I9*'Հ7 Ձև1 (Grant AMD) '!$B$24)</f>
        <v>317877.73000000004</v>
      </c>
      <c r="J9" s="146">
        <f>K9+L9</f>
        <v>790845.14175550011</v>
      </c>
      <c r="K9" s="145">
        <v>632755.73023640004</v>
      </c>
      <c r="L9" s="145">
        <v>158089.41151910002</v>
      </c>
      <c r="M9" s="146">
        <f>N9+O9</f>
        <v>64559.286800000002</v>
      </c>
      <c r="N9" s="145">
        <v>51588.063999999998</v>
      </c>
      <c r="O9" s="145">
        <v>12971.2228</v>
      </c>
      <c r="P9" s="146">
        <f>Q9+R9</f>
        <v>138607.5</v>
      </c>
      <c r="Q9" s="145">
        <v>110886</v>
      </c>
      <c r="R9" s="145">
        <v>27721.5</v>
      </c>
      <c r="S9" s="146">
        <f>T9+U9</f>
        <v>913217.34894449986</v>
      </c>
      <c r="T9" s="145">
        <f t="shared" ref="T9:U11" si="0">SUM(H9-K9-N9-Q9)</f>
        <v>794121.75326359982</v>
      </c>
      <c r="U9" s="145">
        <f t="shared" si="0"/>
        <v>119095.59568090003</v>
      </c>
      <c r="V9" s="146">
        <f>W9+X9</f>
        <v>224057.87500000003</v>
      </c>
      <c r="W9" s="145">
        <f>SUM('Հ7 Ձև1 (Grant Euro)'!W9*'Հ7 Ձև1 (Grant AMD) '!$B$24)</f>
        <v>179246.30000000002</v>
      </c>
      <c r="X9" s="145">
        <f>SUM('Հ7 Ձև1 (Grant Euro)'!X9*'Հ7 Ձև1 (Grant AMD) '!$B$24)</f>
        <v>44811.575000000004</v>
      </c>
      <c r="Y9" s="146">
        <f>Z9+AA9</f>
        <v>154593.75</v>
      </c>
      <c r="Z9" s="145">
        <f>SUM('Հ7 Ձև1 (Grant Euro)'!Z9*'Հ7 Ձև1 (Grant AMD) '!$B$24)</f>
        <v>123675</v>
      </c>
      <c r="AA9" s="145">
        <f>SUM('Հ7 Ձև1 (Grant Euro)'!AA9*'Հ7 Ձև1 (Grant AMD) '!$B$24)</f>
        <v>30918.75</v>
      </c>
      <c r="AB9" s="146">
        <f>AC9+AD9</f>
        <v>534565.72394449986</v>
      </c>
      <c r="AC9" s="145">
        <f t="shared" ref="AC9:AD9" si="1">SUM(T9-W9-Z9)</f>
        <v>491200.45326359977</v>
      </c>
      <c r="AD9" s="145">
        <f t="shared" si="1"/>
        <v>43365.270680900023</v>
      </c>
      <c r="AE9" s="200">
        <f>AF9+AG9</f>
        <v>181376.13898376876</v>
      </c>
      <c r="AF9" s="145">
        <v>145100.91118701501</v>
      </c>
      <c r="AG9" s="145">
        <v>36275.227796753752</v>
      </c>
      <c r="AH9" s="146">
        <f>AI9+AJ9</f>
        <v>56014.468750000007</v>
      </c>
      <c r="AI9" s="145">
        <f>SUM(W9*0.25)</f>
        <v>44811.575000000004</v>
      </c>
      <c r="AJ9" s="145">
        <f>SUM(AI9*0.25)</f>
        <v>11202.893750000001</v>
      </c>
      <c r="AK9" s="146">
        <f>AL9+AM9</f>
        <v>56014.468750000007</v>
      </c>
      <c r="AL9" s="145">
        <f>SUM(W9*0.25)</f>
        <v>44811.575000000004</v>
      </c>
      <c r="AM9" s="145">
        <f>SUM(AL9*0.25)</f>
        <v>11202.893750000001</v>
      </c>
      <c r="AN9" s="146">
        <f>AO9+AP9</f>
        <v>56014.468750000007</v>
      </c>
      <c r="AO9" s="145">
        <f>SUM(W9*0.25)</f>
        <v>44811.575000000004</v>
      </c>
      <c r="AP9" s="145">
        <f>SUM(AO9*0.25)</f>
        <v>11202.893750000001</v>
      </c>
      <c r="AQ9" s="146">
        <f>AR9+AS9</f>
        <v>56014.468750000007</v>
      </c>
      <c r="AR9" s="145">
        <f>SUM(W9*0.25)</f>
        <v>44811.575000000004</v>
      </c>
      <c r="AS9" s="145">
        <f>SUM(AR9*0.25)</f>
        <v>11202.893750000001</v>
      </c>
      <c r="AT9" s="146">
        <f>AU9+AV9</f>
        <v>224057.87500000003</v>
      </c>
      <c r="AU9" s="145">
        <f t="shared" ref="AU9:AV11" si="2">SUM(AI9+AL9+AO9+AR9)</f>
        <v>179246.30000000002</v>
      </c>
      <c r="AV9" s="145">
        <f t="shared" si="2"/>
        <v>44811.575000000004</v>
      </c>
      <c r="AW9" s="201" t="s">
        <v>325</v>
      </c>
      <c r="AX9" s="202" t="s">
        <v>326</v>
      </c>
      <c r="AY9" s="296" t="s">
        <v>332</v>
      </c>
    </row>
    <row r="10" spans="1:51" ht="66" customHeight="1" x14ac:dyDescent="0.25">
      <c r="B10" s="294"/>
      <c r="C10" s="267">
        <v>32006</v>
      </c>
      <c r="D10" s="299" t="s">
        <v>318</v>
      </c>
      <c r="E10" s="22" t="s">
        <v>323</v>
      </c>
      <c r="F10" s="16" t="s">
        <v>327</v>
      </c>
      <c r="G10" s="146">
        <f>H10+I10</f>
        <v>692974.77060000005</v>
      </c>
      <c r="H10" s="145">
        <f>SUM('Հ7 Ձև1 (Grant Euro)'!H10*'Հ7 Ձև1 (Grant AMD) '!$B$24)</f>
        <v>577478.97550000006</v>
      </c>
      <c r="I10" s="145">
        <f>SUM('Հ7 Ձև1 (Grant Euro)'!I10*'Հ7 Ձև1 (Grant AMD) '!$B$24)</f>
        <v>115495.7951</v>
      </c>
      <c r="J10" s="146">
        <f>K10+L10</f>
        <v>0</v>
      </c>
      <c r="K10" s="145">
        <v>0</v>
      </c>
      <c r="L10" s="145">
        <v>0</v>
      </c>
      <c r="M10" s="146">
        <f t="shared" ref="M10:M17" si="3">N10+O10</f>
        <v>0</v>
      </c>
      <c r="N10" s="145">
        <v>0</v>
      </c>
      <c r="O10" s="145">
        <v>0</v>
      </c>
      <c r="P10" s="146">
        <f>+Q10+R10</f>
        <v>204095.4</v>
      </c>
      <c r="Q10" s="145">
        <v>204095.4</v>
      </c>
      <c r="R10" s="145">
        <v>0</v>
      </c>
      <c r="S10" s="146">
        <f t="shared" ref="S10:S17" si="4">T10+U10</f>
        <v>488879.37060000002</v>
      </c>
      <c r="T10" s="145">
        <f t="shared" si="0"/>
        <v>373383.57550000004</v>
      </c>
      <c r="U10" s="145">
        <f t="shared" si="0"/>
        <v>115495.7951</v>
      </c>
      <c r="V10" s="146">
        <f t="shared" ref="V10:V17" si="5">W10+X10</f>
        <v>353504.375</v>
      </c>
      <c r="W10" s="145">
        <f>SUM('Հ7 Ձև1 (Grant Euro)'!W10*'Հ7 Ձև1 (Grant AMD) '!$B$24)</f>
        <v>353504.375</v>
      </c>
      <c r="X10" s="145">
        <f>SUM('Հ7 Ձև1 (Grant Euro)'!X10*'Հ7 Ձև1 (Grant AMD) '!$B$24)</f>
        <v>0</v>
      </c>
      <c r="Y10" s="146">
        <f t="shared" ref="Y10:Y17" si="6">Z10+AA10</f>
        <v>135374.99560000002</v>
      </c>
      <c r="Z10" s="145">
        <f>+T10-W10</f>
        <v>19879.200500000035</v>
      </c>
      <c r="AA10" s="145">
        <f>+U10-X10</f>
        <v>115495.7951</v>
      </c>
      <c r="AB10" s="146">
        <f t="shared" ref="AB10:AB17" si="7">AC10+AD10</f>
        <v>0</v>
      </c>
      <c r="AC10" s="145">
        <v>0</v>
      </c>
      <c r="AD10" s="145">
        <f>SUM(U10-X10-AA10)</f>
        <v>0</v>
      </c>
      <c r="AE10" s="200">
        <f t="shared" ref="AE10:AE17" si="8">AF10+AG10</f>
        <v>240295.38750000001</v>
      </c>
      <c r="AF10" s="145">
        <v>192236.31</v>
      </c>
      <c r="AG10" s="145">
        <v>48059.077499999999</v>
      </c>
      <c r="AH10" s="146">
        <f t="shared" ref="AH10:AH17" si="9">AI10+AJ10</f>
        <v>0</v>
      </c>
      <c r="AI10" s="145"/>
      <c r="AJ10" s="145"/>
      <c r="AK10" s="146">
        <f t="shared" ref="AK10:AK17" si="10">AL10+AM10</f>
        <v>176752.1875</v>
      </c>
      <c r="AL10" s="145">
        <f>SUM(W10*0.5)</f>
        <v>176752.1875</v>
      </c>
      <c r="AM10" s="145">
        <f>SUM(X10*0.5)</f>
        <v>0</v>
      </c>
      <c r="AN10" s="146">
        <f t="shared" ref="AN10:AN17" si="11">AO10+AP10</f>
        <v>0</v>
      </c>
      <c r="AO10" s="145"/>
      <c r="AP10" s="145"/>
      <c r="AQ10" s="146">
        <f t="shared" ref="AQ10:AQ17" si="12">AR10+AS10</f>
        <v>176752.1875</v>
      </c>
      <c r="AR10" s="145">
        <f>SUM(W10*0.5)</f>
        <v>176752.1875</v>
      </c>
      <c r="AS10" s="145">
        <f>SUM(X10*0.5)</f>
        <v>0</v>
      </c>
      <c r="AT10" s="146">
        <f t="shared" ref="AT10:AT17" si="13">AU10+AV10</f>
        <v>353504.375</v>
      </c>
      <c r="AU10" s="145">
        <f t="shared" si="2"/>
        <v>353504.375</v>
      </c>
      <c r="AV10" s="145">
        <f t="shared" si="2"/>
        <v>0</v>
      </c>
      <c r="AW10" s="301" t="s">
        <v>325</v>
      </c>
      <c r="AX10" s="303" t="s">
        <v>326</v>
      </c>
      <c r="AY10" s="297"/>
    </row>
    <row r="11" spans="1:51" ht="65.25" customHeight="1" x14ac:dyDescent="0.25">
      <c r="B11" s="295"/>
      <c r="C11" s="269"/>
      <c r="D11" s="300"/>
      <c r="E11" s="22" t="s">
        <v>323</v>
      </c>
      <c r="F11" s="16" t="s">
        <v>328</v>
      </c>
      <c r="G11" s="146">
        <f>H11+I11</f>
        <v>2771899.0824000002</v>
      </c>
      <c r="H11" s="145">
        <f>SUM('Հ7 Ձև1 (Grant Euro)'!H11*'Հ7 Ձև1 (Grant AMD) '!$B$24)</f>
        <v>2309915.9020000002</v>
      </c>
      <c r="I11" s="145">
        <f>SUM('Հ7 Ձև1 (Grant Euro)'!I11*'Հ7 Ձև1 (Grant AMD) '!$B$24)</f>
        <v>461983.18040000001</v>
      </c>
      <c r="J11" s="146">
        <f>K11+L11</f>
        <v>0</v>
      </c>
      <c r="K11" s="145">
        <v>0</v>
      </c>
      <c r="L11" s="145">
        <v>0</v>
      </c>
      <c r="M11" s="146">
        <f t="shared" si="3"/>
        <v>0</v>
      </c>
      <c r="N11" s="145">
        <v>0</v>
      </c>
      <c r="O11" s="145">
        <v>0</v>
      </c>
      <c r="P11" s="146">
        <f>+Q11+R11</f>
        <v>808921.3</v>
      </c>
      <c r="Q11" s="145">
        <v>808921.3</v>
      </c>
      <c r="R11" s="145">
        <v>0</v>
      </c>
      <c r="S11" s="146">
        <f t="shared" si="4"/>
        <v>1962977.7824000001</v>
      </c>
      <c r="T11" s="145">
        <f t="shared" si="0"/>
        <v>1500994.6020000002</v>
      </c>
      <c r="U11" s="145">
        <f t="shared" si="0"/>
        <v>461983.18040000001</v>
      </c>
      <c r="V11" s="146">
        <f t="shared" si="5"/>
        <v>1414017.5</v>
      </c>
      <c r="W11" s="145">
        <f>SUM('Հ7 Ձև1 (Grant Euro)'!W11*'Հ7 Ձև1 (Grant AMD) '!$B$24)</f>
        <v>1414017.5</v>
      </c>
      <c r="X11" s="145">
        <f>SUM('Հ7 Ձև1 (Grant Euro)'!X11*'Հ7 Ձև1 (Grant AMD) '!$B$24)</f>
        <v>0</v>
      </c>
      <c r="Y11" s="146">
        <f t="shared" si="6"/>
        <v>548960.28240000014</v>
      </c>
      <c r="Z11" s="145">
        <f>+T11-W11</f>
        <v>86977.102000000188</v>
      </c>
      <c r="AA11" s="145">
        <f>+U11-X11</f>
        <v>461983.18040000001</v>
      </c>
      <c r="AB11" s="146">
        <f t="shared" si="7"/>
        <v>0</v>
      </c>
      <c r="AC11" s="145">
        <v>0</v>
      </c>
      <c r="AD11" s="145">
        <f>SUM(U11-X11-AA11)</f>
        <v>0</v>
      </c>
      <c r="AE11" s="200">
        <f t="shared" si="8"/>
        <v>992334.81715200003</v>
      </c>
      <c r="AF11" s="145">
        <v>768945.24</v>
      </c>
      <c r="AG11" s="145">
        <v>223389.57715200004</v>
      </c>
      <c r="AH11" s="146">
        <f t="shared" si="9"/>
        <v>0</v>
      </c>
      <c r="AI11" s="145"/>
      <c r="AJ11" s="145"/>
      <c r="AK11" s="146">
        <f t="shared" si="10"/>
        <v>707008.75</v>
      </c>
      <c r="AL11" s="145">
        <f>SUM(W11*0.5)</f>
        <v>707008.75</v>
      </c>
      <c r="AM11" s="145">
        <f>SUM(X11*0.5)</f>
        <v>0</v>
      </c>
      <c r="AN11" s="146">
        <f t="shared" si="11"/>
        <v>0</v>
      </c>
      <c r="AO11" s="145"/>
      <c r="AP11" s="145"/>
      <c r="AQ11" s="146">
        <f t="shared" si="12"/>
        <v>707008.75</v>
      </c>
      <c r="AR11" s="145">
        <f>SUM(W11*0.5)</f>
        <v>707008.75</v>
      </c>
      <c r="AS11" s="145">
        <f>SUM(X11*0.5)</f>
        <v>0</v>
      </c>
      <c r="AT11" s="146">
        <f t="shared" si="13"/>
        <v>1414017.5</v>
      </c>
      <c r="AU11" s="145">
        <f t="shared" si="2"/>
        <v>1414017.5</v>
      </c>
      <c r="AV11" s="145">
        <f t="shared" si="2"/>
        <v>0</v>
      </c>
      <c r="AW11" s="302"/>
      <c r="AX11" s="304"/>
      <c r="AY11" s="298"/>
    </row>
    <row r="12" spans="1:51" hidden="1" x14ac:dyDescent="0.25">
      <c r="B12" s="52"/>
      <c r="C12" s="16"/>
      <c r="D12" s="16"/>
      <c r="E12" s="17"/>
      <c r="F12" s="16"/>
      <c r="G12" s="146">
        <f t="shared" ref="G12:G17" si="14">H12+I12</f>
        <v>0</v>
      </c>
      <c r="H12" s="145"/>
      <c r="I12" s="145"/>
      <c r="J12" s="146">
        <f t="shared" ref="J12:J17" si="15">K12+L12</f>
        <v>0</v>
      </c>
      <c r="K12" s="145"/>
      <c r="L12" s="145"/>
      <c r="M12" s="146">
        <f t="shared" si="3"/>
        <v>0</v>
      </c>
      <c r="N12" s="145"/>
      <c r="O12" s="145"/>
      <c r="P12" s="146">
        <f t="shared" ref="P12:P17" si="16">Q12+R12</f>
        <v>0</v>
      </c>
      <c r="Q12" s="145"/>
      <c r="R12" s="145"/>
      <c r="S12" s="146">
        <f t="shared" si="4"/>
        <v>0</v>
      </c>
      <c r="T12" s="145"/>
      <c r="U12" s="145"/>
      <c r="V12" s="146">
        <f t="shared" si="5"/>
        <v>0</v>
      </c>
      <c r="W12" s="145"/>
      <c r="X12" s="145"/>
      <c r="Y12" s="146">
        <f t="shared" si="6"/>
        <v>0</v>
      </c>
      <c r="Z12" s="145"/>
      <c r="AA12" s="145"/>
      <c r="AB12" s="146">
        <f t="shared" si="7"/>
        <v>0</v>
      </c>
      <c r="AC12" s="145"/>
      <c r="AD12" s="203"/>
      <c r="AE12" s="200">
        <f t="shared" si="8"/>
        <v>0</v>
      </c>
      <c r="AF12" s="145"/>
      <c r="AG12" s="145"/>
      <c r="AH12" s="146">
        <f t="shared" si="9"/>
        <v>0</v>
      </c>
      <c r="AI12" s="145"/>
      <c r="AJ12" s="145"/>
      <c r="AK12" s="146">
        <f t="shared" si="10"/>
        <v>0</v>
      </c>
      <c r="AL12" s="145"/>
      <c r="AM12" s="145"/>
      <c r="AN12" s="146">
        <f t="shared" si="11"/>
        <v>0</v>
      </c>
      <c r="AO12" s="145"/>
      <c r="AP12" s="145"/>
      <c r="AQ12" s="146">
        <f t="shared" si="12"/>
        <v>0</v>
      </c>
      <c r="AR12" s="145"/>
      <c r="AS12" s="145"/>
      <c r="AT12" s="146">
        <f t="shared" si="13"/>
        <v>0</v>
      </c>
      <c r="AU12" s="145"/>
      <c r="AV12" s="203"/>
      <c r="AW12" s="50"/>
      <c r="AX12" s="22"/>
      <c r="AY12" s="45"/>
    </row>
    <row r="13" spans="1:51" hidden="1" x14ac:dyDescent="0.25">
      <c r="B13" s="52"/>
      <c r="C13" s="16"/>
      <c r="D13" s="16"/>
      <c r="E13" s="17"/>
      <c r="F13" s="16"/>
      <c r="G13" s="146">
        <f t="shared" si="14"/>
        <v>0</v>
      </c>
      <c r="H13" s="145"/>
      <c r="I13" s="145"/>
      <c r="J13" s="146">
        <f t="shared" si="15"/>
        <v>0</v>
      </c>
      <c r="K13" s="145"/>
      <c r="L13" s="145"/>
      <c r="M13" s="146">
        <f t="shared" si="3"/>
        <v>0</v>
      </c>
      <c r="N13" s="145"/>
      <c r="O13" s="145"/>
      <c r="P13" s="146">
        <f t="shared" si="16"/>
        <v>0</v>
      </c>
      <c r="Q13" s="145"/>
      <c r="R13" s="145"/>
      <c r="S13" s="146">
        <f t="shared" si="4"/>
        <v>0</v>
      </c>
      <c r="T13" s="145"/>
      <c r="U13" s="145"/>
      <c r="V13" s="146">
        <f t="shared" si="5"/>
        <v>0</v>
      </c>
      <c r="W13" s="145"/>
      <c r="X13" s="145"/>
      <c r="Y13" s="146">
        <f t="shared" si="6"/>
        <v>0</v>
      </c>
      <c r="Z13" s="145"/>
      <c r="AA13" s="145"/>
      <c r="AB13" s="146">
        <f t="shared" si="7"/>
        <v>0</v>
      </c>
      <c r="AC13" s="145"/>
      <c r="AD13" s="203"/>
      <c r="AE13" s="200">
        <f t="shared" si="8"/>
        <v>0</v>
      </c>
      <c r="AF13" s="145"/>
      <c r="AG13" s="145"/>
      <c r="AH13" s="146">
        <f t="shared" si="9"/>
        <v>0</v>
      </c>
      <c r="AI13" s="145"/>
      <c r="AJ13" s="145"/>
      <c r="AK13" s="146">
        <f t="shared" si="10"/>
        <v>0</v>
      </c>
      <c r="AL13" s="145"/>
      <c r="AM13" s="145"/>
      <c r="AN13" s="146">
        <f t="shared" si="11"/>
        <v>0</v>
      </c>
      <c r="AO13" s="145"/>
      <c r="AP13" s="145"/>
      <c r="AQ13" s="146">
        <f t="shared" si="12"/>
        <v>0</v>
      </c>
      <c r="AR13" s="145"/>
      <c r="AS13" s="145"/>
      <c r="AT13" s="146">
        <f t="shared" si="13"/>
        <v>0</v>
      </c>
      <c r="AU13" s="145"/>
      <c r="AV13" s="203"/>
      <c r="AW13" s="50"/>
      <c r="AX13" s="22"/>
      <c r="AY13" s="45"/>
    </row>
    <row r="14" spans="1:51" hidden="1" x14ac:dyDescent="0.25">
      <c r="B14" s="52"/>
      <c r="C14" s="16"/>
      <c r="D14" s="16"/>
      <c r="E14" s="17"/>
      <c r="F14" s="16"/>
      <c r="G14" s="146">
        <f t="shared" si="14"/>
        <v>0</v>
      </c>
      <c r="H14" s="145"/>
      <c r="I14" s="145"/>
      <c r="J14" s="146">
        <f t="shared" si="15"/>
        <v>0</v>
      </c>
      <c r="K14" s="145"/>
      <c r="L14" s="145"/>
      <c r="M14" s="146">
        <f t="shared" si="3"/>
        <v>0</v>
      </c>
      <c r="N14" s="145"/>
      <c r="O14" s="145"/>
      <c r="P14" s="146">
        <f t="shared" si="16"/>
        <v>0</v>
      </c>
      <c r="Q14" s="145"/>
      <c r="R14" s="145"/>
      <c r="S14" s="146">
        <f t="shared" si="4"/>
        <v>0</v>
      </c>
      <c r="T14" s="145"/>
      <c r="U14" s="145"/>
      <c r="V14" s="146">
        <f t="shared" si="5"/>
        <v>0</v>
      </c>
      <c r="W14" s="145"/>
      <c r="X14" s="145"/>
      <c r="Y14" s="146">
        <f t="shared" si="6"/>
        <v>0</v>
      </c>
      <c r="Z14" s="145"/>
      <c r="AA14" s="145"/>
      <c r="AB14" s="146">
        <f t="shared" si="7"/>
        <v>0</v>
      </c>
      <c r="AC14" s="145"/>
      <c r="AD14" s="203"/>
      <c r="AE14" s="200">
        <f t="shared" si="8"/>
        <v>0</v>
      </c>
      <c r="AF14" s="145"/>
      <c r="AG14" s="145"/>
      <c r="AH14" s="146">
        <f t="shared" si="9"/>
        <v>0</v>
      </c>
      <c r="AI14" s="145"/>
      <c r="AJ14" s="145"/>
      <c r="AK14" s="146">
        <f t="shared" si="10"/>
        <v>0</v>
      </c>
      <c r="AL14" s="145"/>
      <c r="AM14" s="145"/>
      <c r="AN14" s="146">
        <f t="shared" si="11"/>
        <v>0</v>
      </c>
      <c r="AO14" s="145"/>
      <c r="AP14" s="145"/>
      <c r="AQ14" s="146">
        <f t="shared" si="12"/>
        <v>0</v>
      </c>
      <c r="AR14" s="145"/>
      <c r="AS14" s="145"/>
      <c r="AT14" s="146">
        <f t="shared" si="13"/>
        <v>0</v>
      </c>
      <c r="AU14" s="145"/>
      <c r="AV14" s="203"/>
      <c r="AW14" s="50"/>
      <c r="AX14" s="22"/>
      <c r="AY14" s="45"/>
    </row>
    <row r="15" spans="1:51" hidden="1" x14ac:dyDescent="0.25">
      <c r="B15" s="52"/>
      <c r="C15" s="16"/>
      <c r="D15" s="16"/>
      <c r="E15" s="17"/>
      <c r="F15" s="16"/>
      <c r="G15" s="146">
        <f t="shared" si="14"/>
        <v>0</v>
      </c>
      <c r="H15" s="145"/>
      <c r="I15" s="145"/>
      <c r="J15" s="146">
        <f t="shared" si="15"/>
        <v>0</v>
      </c>
      <c r="K15" s="145"/>
      <c r="L15" s="145"/>
      <c r="M15" s="146">
        <f t="shared" si="3"/>
        <v>0</v>
      </c>
      <c r="N15" s="145"/>
      <c r="O15" s="145"/>
      <c r="P15" s="146">
        <f t="shared" si="16"/>
        <v>0</v>
      </c>
      <c r="Q15" s="145"/>
      <c r="R15" s="145"/>
      <c r="S15" s="146">
        <f t="shared" si="4"/>
        <v>0</v>
      </c>
      <c r="T15" s="145"/>
      <c r="U15" s="145"/>
      <c r="V15" s="146">
        <f t="shared" si="5"/>
        <v>0</v>
      </c>
      <c r="W15" s="145"/>
      <c r="X15" s="145"/>
      <c r="Y15" s="146">
        <f t="shared" si="6"/>
        <v>0</v>
      </c>
      <c r="Z15" s="145"/>
      <c r="AA15" s="145"/>
      <c r="AB15" s="146">
        <f t="shared" si="7"/>
        <v>0</v>
      </c>
      <c r="AC15" s="145"/>
      <c r="AD15" s="203"/>
      <c r="AE15" s="200">
        <f t="shared" si="8"/>
        <v>0</v>
      </c>
      <c r="AF15" s="145"/>
      <c r="AG15" s="145"/>
      <c r="AH15" s="146">
        <f t="shared" si="9"/>
        <v>0</v>
      </c>
      <c r="AI15" s="145"/>
      <c r="AJ15" s="145"/>
      <c r="AK15" s="146">
        <f t="shared" si="10"/>
        <v>0</v>
      </c>
      <c r="AL15" s="145"/>
      <c r="AM15" s="145"/>
      <c r="AN15" s="146">
        <f t="shared" si="11"/>
        <v>0</v>
      </c>
      <c r="AO15" s="145"/>
      <c r="AP15" s="145"/>
      <c r="AQ15" s="146">
        <f t="shared" si="12"/>
        <v>0</v>
      </c>
      <c r="AR15" s="145"/>
      <c r="AS15" s="145"/>
      <c r="AT15" s="146">
        <f t="shared" si="13"/>
        <v>0</v>
      </c>
      <c r="AU15" s="145"/>
      <c r="AV15" s="203"/>
      <c r="AW15" s="50"/>
      <c r="AX15" s="22"/>
      <c r="AY15" s="45"/>
    </row>
    <row r="16" spans="1:51" hidden="1" x14ac:dyDescent="0.25">
      <c r="B16" s="52"/>
      <c r="C16" s="16"/>
      <c r="D16" s="16"/>
      <c r="E16" s="17"/>
      <c r="F16" s="16"/>
      <c r="G16" s="146">
        <f t="shared" si="14"/>
        <v>0</v>
      </c>
      <c r="H16" s="145"/>
      <c r="I16" s="145"/>
      <c r="J16" s="146">
        <f t="shared" si="15"/>
        <v>0</v>
      </c>
      <c r="K16" s="145"/>
      <c r="L16" s="145"/>
      <c r="M16" s="146">
        <f t="shared" si="3"/>
        <v>0</v>
      </c>
      <c r="N16" s="145"/>
      <c r="O16" s="145"/>
      <c r="P16" s="146">
        <f t="shared" si="16"/>
        <v>0</v>
      </c>
      <c r="Q16" s="145"/>
      <c r="R16" s="145"/>
      <c r="S16" s="146">
        <f t="shared" si="4"/>
        <v>0</v>
      </c>
      <c r="T16" s="145"/>
      <c r="U16" s="145"/>
      <c r="V16" s="146">
        <f t="shared" si="5"/>
        <v>0</v>
      </c>
      <c r="W16" s="145"/>
      <c r="X16" s="145"/>
      <c r="Y16" s="146">
        <f t="shared" si="6"/>
        <v>0</v>
      </c>
      <c r="Z16" s="145"/>
      <c r="AA16" s="145"/>
      <c r="AB16" s="146">
        <f t="shared" si="7"/>
        <v>0</v>
      </c>
      <c r="AC16" s="145"/>
      <c r="AD16" s="203"/>
      <c r="AE16" s="200">
        <f t="shared" si="8"/>
        <v>0</v>
      </c>
      <c r="AF16" s="145"/>
      <c r="AG16" s="145"/>
      <c r="AH16" s="146">
        <f t="shared" si="9"/>
        <v>0</v>
      </c>
      <c r="AI16" s="145"/>
      <c r="AJ16" s="145"/>
      <c r="AK16" s="146">
        <f t="shared" si="10"/>
        <v>0</v>
      </c>
      <c r="AL16" s="145"/>
      <c r="AM16" s="145"/>
      <c r="AN16" s="146">
        <f t="shared" si="11"/>
        <v>0</v>
      </c>
      <c r="AO16" s="145"/>
      <c r="AP16" s="145"/>
      <c r="AQ16" s="146">
        <f t="shared" si="12"/>
        <v>0</v>
      </c>
      <c r="AR16" s="145"/>
      <c r="AS16" s="145"/>
      <c r="AT16" s="146">
        <f t="shared" si="13"/>
        <v>0</v>
      </c>
      <c r="AU16" s="145"/>
      <c r="AV16" s="203"/>
      <c r="AW16" s="50"/>
      <c r="AX16" s="22"/>
      <c r="AY16" s="45"/>
    </row>
    <row r="17" spans="1:51" hidden="1" x14ac:dyDescent="0.25">
      <c r="B17" s="53"/>
      <c r="C17" s="30"/>
      <c r="D17" s="30"/>
      <c r="E17" s="31"/>
      <c r="F17" s="30"/>
      <c r="G17" s="146">
        <f t="shared" si="14"/>
        <v>0</v>
      </c>
      <c r="H17" s="145"/>
      <c r="I17" s="145"/>
      <c r="J17" s="146">
        <f t="shared" si="15"/>
        <v>0</v>
      </c>
      <c r="K17" s="145"/>
      <c r="L17" s="145"/>
      <c r="M17" s="146">
        <f t="shared" si="3"/>
        <v>0</v>
      </c>
      <c r="N17" s="145"/>
      <c r="O17" s="145"/>
      <c r="P17" s="146">
        <f t="shared" si="16"/>
        <v>0</v>
      </c>
      <c r="Q17" s="145"/>
      <c r="R17" s="145"/>
      <c r="S17" s="146">
        <f t="shared" si="4"/>
        <v>0</v>
      </c>
      <c r="T17" s="145"/>
      <c r="U17" s="145"/>
      <c r="V17" s="146">
        <f t="shared" si="5"/>
        <v>0</v>
      </c>
      <c r="W17" s="145"/>
      <c r="X17" s="145"/>
      <c r="Y17" s="146">
        <f t="shared" si="6"/>
        <v>0</v>
      </c>
      <c r="Z17" s="145"/>
      <c r="AA17" s="145"/>
      <c r="AB17" s="146">
        <f t="shared" si="7"/>
        <v>0</v>
      </c>
      <c r="AC17" s="145"/>
      <c r="AD17" s="203"/>
      <c r="AE17" s="200">
        <f t="shared" si="8"/>
        <v>0</v>
      </c>
      <c r="AF17" s="145"/>
      <c r="AG17" s="145"/>
      <c r="AH17" s="146">
        <f t="shared" si="9"/>
        <v>0</v>
      </c>
      <c r="AI17" s="145"/>
      <c r="AJ17" s="145"/>
      <c r="AK17" s="146">
        <f t="shared" si="10"/>
        <v>0</v>
      </c>
      <c r="AL17" s="145"/>
      <c r="AM17" s="145"/>
      <c r="AN17" s="146">
        <f t="shared" si="11"/>
        <v>0</v>
      </c>
      <c r="AO17" s="145"/>
      <c r="AP17" s="145"/>
      <c r="AQ17" s="146">
        <f t="shared" si="12"/>
        <v>0</v>
      </c>
      <c r="AR17" s="145"/>
      <c r="AS17" s="145"/>
      <c r="AT17" s="146">
        <f t="shared" si="13"/>
        <v>0</v>
      </c>
      <c r="AU17" s="145"/>
      <c r="AV17" s="203"/>
      <c r="AW17" s="50"/>
      <c r="AX17" s="22"/>
      <c r="AY17" s="45"/>
    </row>
    <row r="18" spans="1:51" ht="17.25" x14ac:dyDescent="0.25">
      <c r="A18" s="28"/>
      <c r="B18" s="291" t="s">
        <v>41</v>
      </c>
      <c r="C18" s="292"/>
      <c r="D18" s="292"/>
      <c r="E18" s="292"/>
      <c r="F18" s="292"/>
      <c r="G18" s="204">
        <f t="shared" ref="G18:AV18" si="17">SUM(G9:G17)</f>
        <v>5372103.1305</v>
      </c>
      <c r="H18" s="204">
        <f t="shared" si="17"/>
        <v>4476746.4250000007</v>
      </c>
      <c r="I18" s="204">
        <f t="shared" si="17"/>
        <v>895356.70550000004</v>
      </c>
      <c r="J18" s="204">
        <f t="shared" si="17"/>
        <v>790845.14175550011</v>
      </c>
      <c r="K18" s="204">
        <f t="shared" si="17"/>
        <v>632755.73023640004</v>
      </c>
      <c r="L18" s="204">
        <f t="shared" si="17"/>
        <v>158089.41151910002</v>
      </c>
      <c r="M18" s="204">
        <f t="shared" si="17"/>
        <v>64559.286800000002</v>
      </c>
      <c r="N18" s="204">
        <f t="shared" si="17"/>
        <v>51588.063999999998</v>
      </c>
      <c r="O18" s="204">
        <f t="shared" si="17"/>
        <v>12971.2228</v>
      </c>
      <c r="P18" s="204">
        <f>SUM(P9:P17)</f>
        <v>1151624.2000000002</v>
      </c>
      <c r="Q18" s="204">
        <f t="shared" si="17"/>
        <v>1123902.7000000002</v>
      </c>
      <c r="R18" s="204">
        <f t="shared" si="17"/>
        <v>27721.5</v>
      </c>
      <c r="S18" s="204">
        <f t="shared" si="17"/>
        <v>3365074.5019445</v>
      </c>
      <c r="T18" s="204">
        <f t="shared" si="17"/>
        <v>2668499.9307636004</v>
      </c>
      <c r="U18" s="204">
        <f t="shared" si="17"/>
        <v>696574.57118090009</v>
      </c>
      <c r="V18" s="204">
        <f t="shared" si="17"/>
        <v>1991579.75</v>
      </c>
      <c r="W18" s="204">
        <f t="shared" si="17"/>
        <v>1946768.175</v>
      </c>
      <c r="X18" s="204">
        <f t="shared" si="17"/>
        <v>44811.575000000004</v>
      </c>
      <c r="Y18" s="204">
        <f t="shared" si="17"/>
        <v>838929.02800000017</v>
      </c>
      <c r="Z18" s="204">
        <f t="shared" si="17"/>
        <v>230531.30250000022</v>
      </c>
      <c r="AA18" s="204">
        <f t="shared" si="17"/>
        <v>608397.72549999994</v>
      </c>
      <c r="AB18" s="204">
        <f t="shared" si="17"/>
        <v>534565.72394449986</v>
      </c>
      <c r="AC18" s="204">
        <f t="shared" si="17"/>
        <v>491200.45326359977</v>
      </c>
      <c r="AD18" s="205">
        <f t="shared" si="17"/>
        <v>43365.270680900023</v>
      </c>
      <c r="AE18" s="200">
        <f t="shared" si="17"/>
        <v>1414006.3436357689</v>
      </c>
      <c r="AF18" s="204">
        <f t="shared" si="17"/>
        <v>1106282.4611870151</v>
      </c>
      <c r="AG18" s="204">
        <f t="shared" si="17"/>
        <v>307723.88244875381</v>
      </c>
      <c r="AH18" s="204">
        <f t="shared" si="17"/>
        <v>56014.468750000007</v>
      </c>
      <c r="AI18" s="204">
        <f t="shared" si="17"/>
        <v>44811.575000000004</v>
      </c>
      <c r="AJ18" s="204">
        <f t="shared" si="17"/>
        <v>11202.893750000001</v>
      </c>
      <c r="AK18" s="204">
        <f t="shared" si="17"/>
        <v>939775.40625</v>
      </c>
      <c r="AL18" s="204">
        <f t="shared" si="17"/>
        <v>928572.51249999995</v>
      </c>
      <c r="AM18" s="204">
        <f t="shared" si="17"/>
        <v>11202.893750000001</v>
      </c>
      <c r="AN18" s="204">
        <f t="shared" si="17"/>
        <v>56014.468750000007</v>
      </c>
      <c r="AO18" s="204">
        <f t="shared" si="17"/>
        <v>44811.575000000004</v>
      </c>
      <c r="AP18" s="204">
        <f t="shared" si="17"/>
        <v>11202.893750000001</v>
      </c>
      <c r="AQ18" s="204">
        <f t="shared" si="17"/>
        <v>939775.40625</v>
      </c>
      <c r="AR18" s="204">
        <f t="shared" si="17"/>
        <v>928572.51249999995</v>
      </c>
      <c r="AS18" s="204">
        <f t="shared" si="17"/>
        <v>11202.893750000001</v>
      </c>
      <c r="AT18" s="204">
        <f t="shared" si="17"/>
        <v>1991579.75</v>
      </c>
      <c r="AU18" s="204">
        <f t="shared" si="17"/>
        <v>1946768.175</v>
      </c>
      <c r="AV18" s="205">
        <f t="shared" si="17"/>
        <v>44811.575000000004</v>
      </c>
      <c r="AW18" s="44" t="s">
        <v>44</v>
      </c>
      <c r="AX18" s="32" t="s">
        <v>44</v>
      </c>
      <c r="AY18" s="46" t="s">
        <v>44</v>
      </c>
    </row>
    <row r="19" spans="1:51" x14ac:dyDescent="0.25">
      <c r="B19" s="291" t="s">
        <v>23</v>
      </c>
      <c r="C19" s="292"/>
      <c r="D19" s="292"/>
      <c r="E19" s="292"/>
      <c r="F19" s="292"/>
      <c r="G19" s="204">
        <f t="shared" ref="G19:AV19" si="18">SUMIF($E9:$E17,"Վարկային ծրագիր",G9:G17)</f>
        <v>0</v>
      </c>
      <c r="H19" s="204">
        <f t="shared" si="18"/>
        <v>0</v>
      </c>
      <c r="I19" s="204">
        <f t="shared" si="18"/>
        <v>0</v>
      </c>
      <c r="J19" s="204">
        <f t="shared" si="18"/>
        <v>0</v>
      </c>
      <c r="K19" s="204">
        <f t="shared" si="18"/>
        <v>0</v>
      </c>
      <c r="L19" s="204">
        <f t="shared" si="18"/>
        <v>0</v>
      </c>
      <c r="M19" s="204">
        <f t="shared" si="18"/>
        <v>0</v>
      </c>
      <c r="N19" s="204">
        <f t="shared" si="18"/>
        <v>0</v>
      </c>
      <c r="O19" s="204">
        <f t="shared" si="18"/>
        <v>0</v>
      </c>
      <c r="P19" s="204">
        <f t="shared" si="18"/>
        <v>0</v>
      </c>
      <c r="Q19" s="204">
        <f t="shared" si="18"/>
        <v>0</v>
      </c>
      <c r="R19" s="204">
        <f t="shared" si="18"/>
        <v>0</v>
      </c>
      <c r="S19" s="204">
        <f t="shared" si="18"/>
        <v>0</v>
      </c>
      <c r="T19" s="204">
        <f t="shared" si="18"/>
        <v>0</v>
      </c>
      <c r="U19" s="204">
        <f t="shared" si="18"/>
        <v>0</v>
      </c>
      <c r="V19" s="204">
        <f t="shared" si="18"/>
        <v>0</v>
      </c>
      <c r="W19" s="204">
        <f t="shared" si="18"/>
        <v>0</v>
      </c>
      <c r="X19" s="204">
        <f t="shared" si="18"/>
        <v>0</v>
      </c>
      <c r="Y19" s="204">
        <f t="shared" si="18"/>
        <v>0</v>
      </c>
      <c r="Z19" s="204">
        <f t="shared" si="18"/>
        <v>0</v>
      </c>
      <c r="AA19" s="204">
        <f t="shared" si="18"/>
        <v>0</v>
      </c>
      <c r="AB19" s="204">
        <f t="shared" si="18"/>
        <v>0</v>
      </c>
      <c r="AC19" s="204">
        <f t="shared" si="18"/>
        <v>0</v>
      </c>
      <c r="AD19" s="205">
        <f t="shared" si="18"/>
        <v>0</v>
      </c>
      <c r="AE19" s="200">
        <f t="shared" si="18"/>
        <v>0</v>
      </c>
      <c r="AF19" s="204">
        <f t="shared" si="18"/>
        <v>0</v>
      </c>
      <c r="AG19" s="204">
        <f t="shared" si="18"/>
        <v>0</v>
      </c>
      <c r="AH19" s="204">
        <f t="shared" si="18"/>
        <v>0</v>
      </c>
      <c r="AI19" s="204">
        <f t="shared" si="18"/>
        <v>0</v>
      </c>
      <c r="AJ19" s="204">
        <f t="shared" si="18"/>
        <v>0</v>
      </c>
      <c r="AK19" s="204">
        <f t="shared" si="18"/>
        <v>0</v>
      </c>
      <c r="AL19" s="204">
        <f t="shared" si="18"/>
        <v>0</v>
      </c>
      <c r="AM19" s="204">
        <f t="shared" si="18"/>
        <v>0</v>
      </c>
      <c r="AN19" s="204">
        <f t="shared" si="18"/>
        <v>0</v>
      </c>
      <c r="AO19" s="204">
        <f t="shared" si="18"/>
        <v>0</v>
      </c>
      <c r="AP19" s="204">
        <f t="shared" si="18"/>
        <v>0</v>
      </c>
      <c r="AQ19" s="204">
        <f t="shared" si="18"/>
        <v>0</v>
      </c>
      <c r="AR19" s="204">
        <f t="shared" si="18"/>
        <v>0</v>
      </c>
      <c r="AS19" s="204">
        <f t="shared" si="18"/>
        <v>0</v>
      </c>
      <c r="AT19" s="204">
        <f t="shared" si="18"/>
        <v>0</v>
      </c>
      <c r="AU19" s="204">
        <f t="shared" si="18"/>
        <v>0</v>
      </c>
      <c r="AV19" s="205">
        <f t="shared" si="18"/>
        <v>0</v>
      </c>
      <c r="AW19" s="44" t="s">
        <v>44</v>
      </c>
      <c r="AX19" s="32" t="s">
        <v>44</v>
      </c>
      <c r="AY19" s="46" t="s">
        <v>44</v>
      </c>
    </row>
    <row r="20" spans="1:51" x14ac:dyDescent="0.25">
      <c r="B20" s="291" t="s">
        <v>24</v>
      </c>
      <c r="C20" s="292"/>
      <c r="D20" s="292"/>
      <c r="E20" s="292"/>
      <c r="F20" s="292"/>
      <c r="G20" s="204">
        <f t="shared" ref="G20:AV20" si="19">SUMIF($E9:$E17,"Դրամաշնորհային ծրագիր",G9:G17)</f>
        <v>5372103.1305</v>
      </c>
      <c r="H20" s="204">
        <f>SUMIF($E9:$E17,"Դրամաշնորհային ծրագիր",H9:H17)</f>
        <v>4476746.4250000007</v>
      </c>
      <c r="I20" s="204">
        <f t="shared" si="19"/>
        <v>895356.70550000004</v>
      </c>
      <c r="J20" s="204">
        <f t="shared" si="19"/>
        <v>790845.14175550011</v>
      </c>
      <c r="K20" s="204">
        <f t="shared" si="19"/>
        <v>632755.73023640004</v>
      </c>
      <c r="L20" s="204">
        <f t="shared" si="19"/>
        <v>158089.41151910002</v>
      </c>
      <c r="M20" s="204">
        <f t="shared" si="19"/>
        <v>64559.286800000002</v>
      </c>
      <c r="N20" s="204">
        <f t="shared" si="19"/>
        <v>51588.063999999998</v>
      </c>
      <c r="O20" s="204">
        <f t="shared" si="19"/>
        <v>12971.2228</v>
      </c>
      <c r="P20" s="204">
        <f t="shared" si="19"/>
        <v>1151624.2000000002</v>
      </c>
      <c r="Q20" s="204">
        <f t="shared" si="19"/>
        <v>1123902.7000000002</v>
      </c>
      <c r="R20" s="204">
        <f t="shared" si="19"/>
        <v>27721.5</v>
      </c>
      <c r="S20" s="204">
        <f t="shared" si="19"/>
        <v>3365074.5019445</v>
      </c>
      <c r="T20" s="204">
        <f t="shared" si="19"/>
        <v>2668499.9307636004</v>
      </c>
      <c r="U20" s="204">
        <f t="shared" si="19"/>
        <v>696574.57118090009</v>
      </c>
      <c r="V20" s="204">
        <f t="shared" si="19"/>
        <v>1991579.75</v>
      </c>
      <c r="W20" s="204">
        <f t="shared" si="19"/>
        <v>1946768.175</v>
      </c>
      <c r="X20" s="204">
        <f t="shared" si="19"/>
        <v>44811.575000000004</v>
      </c>
      <c r="Y20" s="204">
        <f t="shared" si="19"/>
        <v>838929.02800000017</v>
      </c>
      <c r="Z20" s="204">
        <f t="shared" si="19"/>
        <v>230531.30250000022</v>
      </c>
      <c r="AA20" s="204">
        <f t="shared" si="19"/>
        <v>608397.72549999994</v>
      </c>
      <c r="AB20" s="204">
        <f t="shared" si="19"/>
        <v>534565.72394449986</v>
      </c>
      <c r="AC20" s="204">
        <f t="shared" si="19"/>
        <v>491200.45326359977</v>
      </c>
      <c r="AD20" s="205">
        <f t="shared" si="19"/>
        <v>43365.270680900023</v>
      </c>
      <c r="AE20" s="200">
        <f t="shared" si="19"/>
        <v>1414006.3436357689</v>
      </c>
      <c r="AF20" s="204">
        <f t="shared" si="19"/>
        <v>1106282.4611870151</v>
      </c>
      <c r="AG20" s="204">
        <f t="shared" si="19"/>
        <v>307723.88244875381</v>
      </c>
      <c r="AH20" s="204">
        <f t="shared" si="19"/>
        <v>56014.468750000007</v>
      </c>
      <c r="AI20" s="204">
        <f t="shared" si="19"/>
        <v>44811.575000000004</v>
      </c>
      <c r="AJ20" s="204">
        <f t="shared" si="19"/>
        <v>11202.893750000001</v>
      </c>
      <c r="AK20" s="204">
        <f t="shared" si="19"/>
        <v>939775.40625</v>
      </c>
      <c r="AL20" s="204">
        <f t="shared" si="19"/>
        <v>928572.51249999995</v>
      </c>
      <c r="AM20" s="204">
        <f t="shared" si="19"/>
        <v>11202.893750000001</v>
      </c>
      <c r="AN20" s="204">
        <f t="shared" si="19"/>
        <v>56014.468750000007</v>
      </c>
      <c r="AO20" s="204">
        <f t="shared" si="19"/>
        <v>44811.575000000004</v>
      </c>
      <c r="AP20" s="204">
        <f t="shared" si="19"/>
        <v>11202.893750000001</v>
      </c>
      <c r="AQ20" s="204">
        <f t="shared" si="19"/>
        <v>939775.40625</v>
      </c>
      <c r="AR20" s="204">
        <f t="shared" si="19"/>
        <v>928572.51249999995</v>
      </c>
      <c r="AS20" s="204">
        <f t="shared" si="19"/>
        <v>11202.893750000001</v>
      </c>
      <c r="AT20" s="204">
        <f t="shared" si="19"/>
        <v>1991579.75</v>
      </c>
      <c r="AU20" s="204">
        <f t="shared" si="19"/>
        <v>1946768.175</v>
      </c>
      <c r="AV20" s="205">
        <f t="shared" si="19"/>
        <v>44811.575000000004</v>
      </c>
      <c r="AW20" s="44" t="s">
        <v>44</v>
      </c>
      <c r="AX20" s="32" t="s">
        <v>44</v>
      </c>
      <c r="AY20" s="46" t="s">
        <v>44</v>
      </c>
    </row>
    <row r="21" spans="1:51" ht="17.25" customHeight="1" x14ac:dyDescent="0.25"/>
    <row r="22" spans="1:51" x14ac:dyDescent="0.25">
      <c r="P22" s="206"/>
    </row>
    <row r="23" spans="1:51" x14ac:dyDescent="0.25">
      <c r="Q23" s="207"/>
    </row>
    <row r="24" spans="1:51" x14ac:dyDescent="0.25">
      <c r="B24">
        <v>412.25</v>
      </c>
      <c r="Q24" s="207"/>
      <c r="S24" s="208"/>
      <c r="T24" s="208"/>
    </row>
    <row r="25" spans="1:51" x14ac:dyDescent="0.25">
      <c r="Q25" s="207"/>
    </row>
  </sheetData>
  <mergeCells count="33">
    <mergeCell ref="AQ7:AS7"/>
    <mergeCell ref="AX6:AX8"/>
    <mergeCell ref="AY6:AY8"/>
    <mergeCell ref="B18:F18"/>
    <mergeCell ref="B19:F19"/>
    <mergeCell ref="B20:F20"/>
    <mergeCell ref="AK7:AM7"/>
    <mergeCell ref="AN7:AP7"/>
    <mergeCell ref="B9:B11"/>
    <mergeCell ref="AY9:AY11"/>
    <mergeCell ref="C10:C11"/>
    <mergeCell ref="D10:D11"/>
    <mergeCell ref="AW10:AW11"/>
    <mergeCell ref="AX10:AX11"/>
    <mergeCell ref="Y7:AA7"/>
    <mergeCell ref="AB7:AD7"/>
    <mergeCell ref="AH7:AJ7"/>
    <mergeCell ref="V7:X7"/>
    <mergeCell ref="AT7:AV7"/>
    <mergeCell ref="AW5:AY5"/>
    <mergeCell ref="B6:C7"/>
    <mergeCell ref="D6:D8"/>
    <mergeCell ref="E6:E8"/>
    <mergeCell ref="F6:F8"/>
    <mergeCell ref="G6:I7"/>
    <mergeCell ref="J6:L7"/>
    <mergeCell ref="M6:O7"/>
    <mergeCell ref="P6:R7"/>
    <mergeCell ref="S6:U7"/>
    <mergeCell ref="V6:AD6"/>
    <mergeCell ref="AE6:AG7"/>
    <mergeCell ref="AH6:AV6"/>
    <mergeCell ref="AW6:AW8"/>
  </mergeCells>
  <dataValidations count="1">
    <dataValidation type="list" allowBlank="1" showInputMessage="1" showErrorMessage="1" sqref="E9:E17" xr:uid="{316F68ED-DB7B-4ED5-8A15-DB274F5D2D73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0AE7D-5EE5-48A7-BAC7-F8E824C3DA65}">
  <sheetPr>
    <tabColor theme="0" tint="-0.14999847407452621"/>
  </sheetPr>
  <dimension ref="A1:AY17"/>
  <sheetViews>
    <sheetView topLeftCell="AC1" workbookViewId="0">
      <selection activeCell="AL19" sqref="AL19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4.140625" customWidth="1"/>
    <col min="5" max="6" width="24.140625" hidden="1" customWidth="1"/>
    <col min="7" max="7" width="11.42578125" bestFit="1" customWidth="1"/>
    <col min="8" max="8" width="11.5703125" bestFit="1" customWidth="1"/>
    <col min="9" max="9" width="10.140625" bestFit="1" customWidth="1"/>
    <col min="10" max="10" width="8.7109375" customWidth="1"/>
    <col min="11" max="11" width="9.140625" customWidth="1"/>
    <col min="12" max="12" width="8.7109375" customWidth="1"/>
    <col min="13" max="14" width="7.42578125" customWidth="1"/>
    <col min="15" max="15" width="7.7109375" customWidth="1"/>
    <col min="16" max="16" width="9.140625" bestFit="1" customWidth="1"/>
    <col min="17" max="17" width="9.140625" customWidth="1"/>
    <col min="18" max="18" width="8.28515625" customWidth="1"/>
    <col min="19" max="19" width="12" customWidth="1"/>
    <col min="20" max="20" width="9.7109375" bestFit="1" customWidth="1"/>
    <col min="21" max="21" width="9.85546875" bestFit="1" customWidth="1"/>
    <col min="22" max="22" width="10.140625" bestFit="1" customWidth="1"/>
    <col min="23" max="23" width="9.5703125" bestFit="1" customWidth="1"/>
    <col min="25" max="25" width="11" customWidth="1"/>
    <col min="26" max="26" width="9.5703125" bestFit="1" customWidth="1"/>
    <col min="27" max="27" width="9.42578125" bestFit="1" customWidth="1"/>
    <col min="28" max="28" width="9.85546875" bestFit="1" customWidth="1"/>
    <col min="29" max="29" width="10" bestFit="1" customWidth="1"/>
    <col min="37" max="37" width="10.42578125" customWidth="1"/>
    <col min="38" max="38" width="9.7109375" bestFit="1" customWidth="1"/>
    <col min="40" max="40" width="11.5703125" customWidth="1"/>
    <col min="46" max="47" width="9.5703125" bestFit="1" customWidth="1"/>
    <col min="51" max="51" width="55.42578125" customWidth="1"/>
  </cols>
  <sheetData>
    <row r="1" spans="1:51" ht="17.25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1:51" s="56" customFormat="1" ht="17.25" x14ac:dyDescent="0.25">
      <c r="A3" s="64" t="s">
        <v>134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1:51" ht="15.75" thickBot="1" x14ac:dyDescent="0.3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AW4" s="275" t="s">
        <v>329</v>
      </c>
      <c r="AX4" s="275"/>
      <c r="AY4" s="275"/>
    </row>
    <row r="5" spans="1:51" ht="15" customHeight="1" x14ac:dyDescent="0.25">
      <c r="B5" s="307" t="s">
        <v>8</v>
      </c>
      <c r="C5" s="279"/>
      <c r="D5" s="279" t="s">
        <v>51</v>
      </c>
      <c r="E5" s="309" t="s">
        <v>43</v>
      </c>
      <c r="F5" s="309" t="s">
        <v>333</v>
      </c>
      <c r="G5" s="279" t="s">
        <v>341</v>
      </c>
      <c r="H5" s="279"/>
      <c r="I5" s="279"/>
      <c r="J5" s="279" t="s">
        <v>143</v>
      </c>
      <c r="K5" s="279"/>
      <c r="L5" s="279"/>
      <c r="M5" s="279" t="s">
        <v>144</v>
      </c>
      <c r="N5" s="279"/>
      <c r="O5" s="279"/>
      <c r="P5" s="279" t="s">
        <v>145</v>
      </c>
      <c r="Q5" s="279"/>
      <c r="R5" s="279"/>
      <c r="S5" s="279" t="s">
        <v>22</v>
      </c>
      <c r="T5" s="279"/>
      <c r="U5" s="279"/>
      <c r="V5" s="279" t="s">
        <v>16</v>
      </c>
      <c r="W5" s="279"/>
      <c r="X5" s="279"/>
      <c r="Y5" s="279"/>
      <c r="Z5" s="279"/>
      <c r="AA5" s="279"/>
      <c r="AB5" s="279"/>
      <c r="AC5" s="279"/>
      <c r="AD5" s="280"/>
      <c r="AE5" s="281" t="s">
        <v>147</v>
      </c>
      <c r="AF5" s="282"/>
      <c r="AG5" s="282"/>
      <c r="AH5" s="282" t="s">
        <v>148</v>
      </c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4"/>
      <c r="AW5" s="285" t="s">
        <v>28</v>
      </c>
      <c r="AX5" s="287" t="s">
        <v>29</v>
      </c>
      <c r="AY5" s="289" t="s">
        <v>330</v>
      </c>
    </row>
    <row r="6" spans="1:51" ht="23.25" customHeight="1" x14ac:dyDescent="0.25">
      <c r="B6" s="308"/>
      <c r="C6" s="261"/>
      <c r="D6" s="261"/>
      <c r="E6" s="310"/>
      <c r="F6" s="310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 t="s">
        <v>7</v>
      </c>
      <c r="W6" s="261"/>
      <c r="X6" s="261"/>
      <c r="Y6" s="261" t="s">
        <v>115</v>
      </c>
      <c r="Z6" s="261"/>
      <c r="AA6" s="261"/>
      <c r="AB6" s="261" t="s">
        <v>146</v>
      </c>
      <c r="AC6" s="261"/>
      <c r="AD6" s="305"/>
      <c r="AE6" s="283"/>
      <c r="AF6" s="273"/>
      <c r="AG6" s="273"/>
      <c r="AH6" s="273" t="s">
        <v>30</v>
      </c>
      <c r="AI6" s="273"/>
      <c r="AJ6" s="273"/>
      <c r="AK6" s="273" t="s">
        <v>31</v>
      </c>
      <c r="AL6" s="273"/>
      <c r="AM6" s="273"/>
      <c r="AN6" s="273" t="s">
        <v>32</v>
      </c>
      <c r="AO6" s="273"/>
      <c r="AP6" s="273"/>
      <c r="AQ6" s="273" t="s">
        <v>33</v>
      </c>
      <c r="AR6" s="273"/>
      <c r="AS6" s="273"/>
      <c r="AT6" s="273" t="s">
        <v>34</v>
      </c>
      <c r="AU6" s="273"/>
      <c r="AV6" s="274"/>
      <c r="AW6" s="286"/>
      <c r="AX6" s="288"/>
      <c r="AY6" s="290"/>
    </row>
    <row r="7" spans="1:51" ht="126" customHeight="1" x14ac:dyDescent="0.25">
      <c r="B7" s="51" t="s">
        <v>2</v>
      </c>
      <c r="C7" s="5" t="s">
        <v>25</v>
      </c>
      <c r="D7" s="261"/>
      <c r="E7" s="310"/>
      <c r="F7" s="310"/>
      <c r="G7" s="6" t="s">
        <v>12</v>
      </c>
      <c r="H7" s="6" t="s">
        <v>20</v>
      </c>
      <c r="I7" s="6" t="s">
        <v>21</v>
      </c>
      <c r="J7" s="6" t="s">
        <v>12</v>
      </c>
      <c r="K7" s="6" t="s">
        <v>20</v>
      </c>
      <c r="L7" s="6" t="s">
        <v>21</v>
      </c>
      <c r="M7" s="6" t="s">
        <v>12</v>
      </c>
      <c r="N7" s="6" t="s">
        <v>20</v>
      </c>
      <c r="O7" s="6" t="s">
        <v>21</v>
      </c>
      <c r="P7" s="6" t="s">
        <v>12</v>
      </c>
      <c r="Q7" s="6" t="s">
        <v>20</v>
      </c>
      <c r="R7" s="6" t="s">
        <v>21</v>
      </c>
      <c r="S7" s="6" t="s">
        <v>12</v>
      </c>
      <c r="T7" s="6" t="s">
        <v>20</v>
      </c>
      <c r="U7" s="6" t="s">
        <v>21</v>
      </c>
      <c r="V7" s="29" t="s">
        <v>12</v>
      </c>
      <c r="W7" s="29" t="s">
        <v>20</v>
      </c>
      <c r="X7" s="29" t="s">
        <v>21</v>
      </c>
      <c r="Y7" s="29" t="s">
        <v>12</v>
      </c>
      <c r="Z7" s="29" t="s">
        <v>20</v>
      </c>
      <c r="AA7" s="29" t="s">
        <v>21</v>
      </c>
      <c r="AB7" s="29" t="s">
        <v>12</v>
      </c>
      <c r="AC7" s="29" t="s">
        <v>20</v>
      </c>
      <c r="AD7" s="55" t="s">
        <v>21</v>
      </c>
      <c r="AE7" s="42" t="s">
        <v>12</v>
      </c>
      <c r="AF7" s="41" t="s">
        <v>20</v>
      </c>
      <c r="AG7" s="41" t="s">
        <v>21</v>
      </c>
      <c r="AH7" s="41" t="s">
        <v>12</v>
      </c>
      <c r="AI7" s="41" t="s">
        <v>20</v>
      </c>
      <c r="AJ7" s="41" t="s">
        <v>21</v>
      </c>
      <c r="AK7" s="41" t="s">
        <v>12</v>
      </c>
      <c r="AL7" s="41" t="s">
        <v>20</v>
      </c>
      <c r="AM7" s="41" t="s">
        <v>21</v>
      </c>
      <c r="AN7" s="41" t="s">
        <v>12</v>
      </c>
      <c r="AO7" s="41" t="s">
        <v>20</v>
      </c>
      <c r="AP7" s="41" t="s">
        <v>21</v>
      </c>
      <c r="AQ7" s="41" t="s">
        <v>12</v>
      </c>
      <c r="AR7" s="41" t="s">
        <v>20</v>
      </c>
      <c r="AS7" s="41" t="s">
        <v>21</v>
      </c>
      <c r="AT7" s="41" t="s">
        <v>12</v>
      </c>
      <c r="AU7" s="41" t="s">
        <v>20</v>
      </c>
      <c r="AV7" s="43" t="s">
        <v>21</v>
      </c>
      <c r="AW7" s="286"/>
      <c r="AX7" s="288"/>
      <c r="AY7" s="290"/>
    </row>
    <row r="8" spans="1:51" ht="82.5" hidden="1" customHeight="1" x14ac:dyDescent="0.25">
      <c r="B8" s="293">
        <v>1167</v>
      </c>
      <c r="C8" s="267">
        <v>42008</v>
      </c>
      <c r="D8" s="318" t="s">
        <v>334</v>
      </c>
      <c r="E8" s="210" t="s">
        <v>335</v>
      </c>
      <c r="F8" s="211" t="s">
        <v>324</v>
      </c>
      <c r="G8" s="146">
        <f>H8+I8</f>
        <v>6544.7879999999996</v>
      </c>
      <c r="H8" s="145">
        <v>5453.99</v>
      </c>
      <c r="I8" s="145">
        <f>SUM(H8*0.2)</f>
        <v>1090.798</v>
      </c>
      <c r="J8" s="146">
        <f>K8+L8</f>
        <v>1423.00488</v>
      </c>
      <c r="K8" s="145">
        <v>1134.8816899999999</v>
      </c>
      <c r="L8" s="145">
        <v>288.12319000000002</v>
      </c>
      <c r="M8" s="146">
        <f>N8+O8</f>
        <v>150.32928000000001</v>
      </c>
      <c r="N8" s="145">
        <v>119.68835</v>
      </c>
      <c r="O8" s="145">
        <v>30.640930000000001</v>
      </c>
      <c r="P8" s="146">
        <f>Q8+R8</f>
        <v>356.52000000000004</v>
      </c>
      <c r="Q8" s="145">
        <v>285.22000000000003</v>
      </c>
      <c r="R8" s="145">
        <v>71.3</v>
      </c>
      <c r="S8" s="146">
        <f>T8+U8</f>
        <v>4614.9338399999988</v>
      </c>
      <c r="T8" s="145">
        <f>SUM(H8-K8-N8-Q8)</f>
        <v>3914.199959999999</v>
      </c>
      <c r="U8" s="145">
        <f>SUM(I8-L8-O8-R8)</f>
        <v>700.73388</v>
      </c>
      <c r="V8" s="146">
        <f>W8+X8</f>
        <v>350</v>
      </c>
      <c r="W8" s="145">
        <v>280</v>
      </c>
      <c r="X8" s="145">
        <f>SUM(W8*0.25)</f>
        <v>70</v>
      </c>
      <c r="Y8" s="146">
        <f>Z8+AA8</f>
        <v>375</v>
      </c>
      <c r="Z8" s="145">
        <v>300</v>
      </c>
      <c r="AA8" s="145">
        <f>SUM(Z8*0.25)</f>
        <v>75</v>
      </c>
      <c r="AB8" s="146">
        <f>AC8+AD8</f>
        <v>3889.9338399999988</v>
      </c>
      <c r="AC8" s="145">
        <f t="shared" ref="AC8:AD10" si="0">SUM(T8-W8-Z8)</f>
        <v>3334.199959999999</v>
      </c>
      <c r="AD8" s="145">
        <f t="shared" si="0"/>
        <v>555.73388</v>
      </c>
      <c r="AE8" s="146">
        <f>AF8+AG8</f>
        <v>442.68801062500006</v>
      </c>
      <c r="AF8" s="145">
        <v>354.15040850000003</v>
      </c>
      <c r="AG8" s="145">
        <v>88.537602125000006</v>
      </c>
      <c r="AH8" s="146">
        <f>AI8+AJ8</f>
        <v>87.5</v>
      </c>
      <c r="AI8" s="145">
        <f>SUM(W8*0.25)</f>
        <v>70</v>
      </c>
      <c r="AJ8" s="145">
        <f>SUM(AI8*0.25)</f>
        <v>17.5</v>
      </c>
      <c r="AK8" s="146">
        <f>AL8+AM8</f>
        <v>87.5</v>
      </c>
      <c r="AL8" s="145">
        <f>SUM(W8*0.25)</f>
        <v>70</v>
      </c>
      <c r="AM8" s="145">
        <f>SUM(X8*0.25)</f>
        <v>17.5</v>
      </c>
      <c r="AN8" s="146">
        <f>AO8+AP8</f>
        <v>87.5</v>
      </c>
      <c r="AO8" s="145">
        <f>SUM(W8*0.25)</f>
        <v>70</v>
      </c>
      <c r="AP8" s="145">
        <f>SUM(AO8*0.25)</f>
        <v>17.5</v>
      </c>
      <c r="AQ8" s="146">
        <f>AR8+AS8</f>
        <v>87.5</v>
      </c>
      <c r="AR8" s="145">
        <f>SUM(W8*0.25)</f>
        <v>70</v>
      </c>
      <c r="AS8" s="145">
        <f>SUM(AR8*0.25)</f>
        <v>17.5</v>
      </c>
      <c r="AT8" s="146">
        <f>AU8+AV8</f>
        <v>350</v>
      </c>
      <c r="AU8" s="145">
        <f t="shared" ref="AU8:AV10" si="1">SUM(AI8+AL8+AO8+AR8)</f>
        <v>280</v>
      </c>
      <c r="AV8" s="145">
        <f t="shared" si="1"/>
        <v>70</v>
      </c>
      <c r="AW8" s="301" t="s">
        <v>336</v>
      </c>
      <c r="AX8" s="303" t="s">
        <v>337</v>
      </c>
      <c r="AY8" s="312" t="s">
        <v>338</v>
      </c>
    </row>
    <row r="9" spans="1:51" ht="82.5" hidden="1" customHeight="1" x14ac:dyDescent="0.25">
      <c r="B9" s="294"/>
      <c r="C9" s="268"/>
      <c r="D9" s="319"/>
      <c r="E9" s="212" t="s">
        <v>335</v>
      </c>
      <c r="F9" s="211" t="s">
        <v>327</v>
      </c>
      <c r="G9" s="146">
        <f>H9+I9</f>
        <v>126659.04240000001</v>
      </c>
      <c r="H9" s="145">
        <v>105549.202</v>
      </c>
      <c r="I9" s="145">
        <f>SUM(H9*0.2)</f>
        <v>21109.840400000001</v>
      </c>
      <c r="J9" s="146">
        <f t="shared" ref="J9:J16" si="2">K9+L9</f>
        <v>0</v>
      </c>
      <c r="K9" s="145">
        <v>0</v>
      </c>
      <c r="L9" s="145">
        <v>0</v>
      </c>
      <c r="M9" s="146">
        <f t="shared" ref="M9:M16" si="3">N9+O9</f>
        <v>0</v>
      </c>
      <c r="N9" s="145">
        <v>0</v>
      </c>
      <c r="O9" s="145">
        <v>0</v>
      </c>
      <c r="P9" s="146">
        <f t="shared" ref="P9:P16" si="4">Q9+R9</f>
        <v>4500</v>
      </c>
      <c r="Q9" s="145">
        <v>4500</v>
      </c>
      <c r="R9" s="145">
        <v>0</v>
      </c>
      <c r="S9" s="146">
        <f t="shared" ref="S9:S16" si="5">T9+U9</f>
        <v>122159.04240000001</v>
      </c>
      <c r="T9" s="145">
        <f t="shared" ref="T9:U10" si="6">SUM(H9-K9-N9-Q9)</f>
        <v>101049.202</v>
      </c>
      <c r="U9" s="145">
        <f t="shared" si="6"/>
        <v>21109.840400000001</v>
      </c>
      <c r="V9" s="146">
        <f>W9+X9</f>
        <v>23105</v>
      </c>
      <c r="W9" s="145">
        <v>22055</v>
      </c>
      <c r="X9" s="145">
        <v>1050</v>
      </c>
      <c r="Y9" s="146">
        <f t="shared" ref="Y9:Y16" si="7">Z9+AA9</f>
        <v>23715</v>
      </c>
      <c r="Z9" s="145">
        <v>18135</v>
      </c>
      <c r="AA9" s="145">
        <v>5580</v>
      </c>
      <c r="AB9" s="146">
        <f t="shared" ref="AB9:AB16" si="8">AC9+AD9</f>
        <v>75339.042400000006</v>
      </c>
      <c r="AC9" s="145">
        <f t="shared" si="0"/>
        <v>60859.202000000005</v>
      </c>
      <c r="AD9" s="145">
        <f t="shared" si="0"/>
        <v>14479.840400000001</v>
      </c>
      <c r="AE9" s="146">
        <f t="shared" ref="AE9:AE16" si="9">AF9+AG9</f>
        <v>12061.8</v>
      </c>
      <c r="AF9" s="145">
        <v>10051.5</v>
      </c>
      <c r="AG9" s="145">
        <v>2010.3000000000002</v>
      </c>
      <c r="AH9" s="146">
        <f t="shared" ref="AH9:AH16" si="10">AI9+AJ9</f>
        <v>0</v>
      </c>
      <c r="AI9" s="145">
        <v>0</v>
      </c>
      <c r="AJ9" s="145">
        <v>0</v>
      </c>
      <c r="AK9" s="146">
        <f t="shared" ref="AK9:AK16" si="11">AL9+AM9</f>
        <v>16922.5</v>
      </c>
      <c r="AL9" s="145">
        <v>16292.5</v>
      </c>
      <c r="AM9" s="145">
        <v>630</v>
      </c>
      <c r="AN9" s="146">
        <f t="shared" ref="AN9:AN16" si="12">AO9+AP9</f>
        <v>6182.5</v>
      </c>
      <c r="AO9" s="145">
        <v>5762.5</v>
      </c>
      <c r="AP9" s="145">
        <v>420</v>
      </c>
      <c r="AQ9" s="146">
        <f t="shared" ref="AQ9:AQ16" si="13">AR9+AS9</f>
        <v>0</v>
      </c>
      <c r="AR9" s="145">
        <v>0</v>
      </c>
      <c r="AS9" s="145">
        <v>0</v>
      </c>
      <c r="AT9" s="146">
        <f t="shared" ref="AT9:AT16" si="14">AU9+AV9</f>
        <v>23105</v>
      </c>
      <c r="AU9" s="145">
        <f t="shared" si="1"/>
        <v>22055</v>
      </c>
      <c r="AV9" s="145">
        <f t="shared" si="1"/>
        <v>1050</v>
      </c>
      <c r="AW9" s="321"/>
      <c r="AX9" s="304"/>
      <c r="AY9" s="313"/>
    </row>
    <row r="10" spans="1:51" ht="82.5" hidden="1" customHeight="1" x14ac:dyDescent="0.25">
      <c r="B10" s="295"/>
      <c r="C10" s="269"/>
      <c r="D10" s="320"/>
      <c r="E10" s="212" t="s">
        <v>335</v>
      </c>
      <c r="F10" s="211" t="s">
        <v>328</v>
      </c>
      <c r="G10" s="146">
        <f>H10+I10</f>
        <v>506636.16960000002</v>
      </c>
      <c r="H10" s="145">
        <v>422196.80800000002</v>
      </c>
      <c r="I10" s="145">
        <f>SUM(H10*0.2)</f>
        <v>84439.361600000004</v>
      </c>
      <c r="J10" s="146">
        <f t="shared" si="2"/>
        <v>0</v>
      </c>
      <c r="K10" s="145">
        <v>0</v>
      </c>
      <c r="L10" s="145">
        <v>0</v>
      </c>
      <c r="M10" s="146">
        <f t="shared" si="3"/>
        <v>0</v>
      </c>
      <c r="N10" s="145">
        <v>0</v>
      </c>
      <c r="O10" s="145">
        <v>0</v>
      </c>
      <c r="P10" s="146">
        <f t="shared" si="4"/>
        <v>18000</v>
      </c>
      <c r="Q10" s="145">
        <v>18000</v>
      </c>
      <c r="R10" s="145">
        <v>0</v>
      </c>
      <c r="S10" s="146">
        <f t="shared" si="5"/>
        <v>488636.16960000002</v>
      </c>
      <c r="T10" s="145">
        <f t="shared" si="6"/>
        <v>404196.80800000002</v>
      </c>
      <c r="U10" s="145">
        <f t="shared" si="6"/>
        <v>84439.361600000004</v>
      </c>
      <c r="V10" s="146">
        <f>W10+X10</f>
        <v>92420</v>
      </c>
      <c r="W10" s="145">
        <v>88220</v>
      </c>
      <c r="X10" s="145">
        <v>4200</v>
      </c>
      <c r="Y10" s="146">
        <f t="shared" si="7"/>
        <v>94860</v>
      </c>
      <c r="Z10" s="145">
        <v>72540</v>
      </c>
      <c r="AA10" s="145">
        <v>22320</v>
      </c>
      <c r="AB10" s="146">
        <f t="shared" si="8"/>
        <v>301356.16960000002</v>
      </c>
      <c r="AC10" s="145">
        <f t="shared" si="0"/>
        <v>243436.80800000002</v>
      </c>
      <c r="AD10" s="145">
        <f t="shared" si="0"/>
        <v>57919.361600000004</v>
      </c>
      <c r="AE10" s="146">
        <f t="shared" si="9"/>
        <v>48247.199999999997</v>
      </c>
      <c r="AF10" s="145">
        <v>40206</v>
      </c>
      <c r="AG10" s="145">
        <v>8041.2000000000007</v>
      </c>
      <c r="AH10" s="146">
        <f t="shared" si="10"/>
        <v>0</v>
      </c>
      <c r="AI10" s="145">
        <v>0</v>
      </c>
      <c r="AJ10" s="145">
        <v>0</v>
      </c>
      <c r="AK10" s="146">
        <f t="shared" si="11"/>
        <v>67690</v>
      </c>
      <c r="AL10" s="145">
        <v>65170</v>
      </c>
      <c r="AM10" s="145">
        <v>2520</v>
      </c>
      <c r="AN10" s="146">
        <f t="shared" si="12"/>
        <v>24730</v>
      </c>
      <c r="AO10" s="145">
        <v>23050</v>
      </c>
      <c r="AP10" s="145">
        <v>1680</v>
      </c>
      <c r="AQ10" s="146">
        <f t="shared" si="13"/>
        <v>0</v>
      </c>
      <c r="AR10" s="145">
        <v>0</v>
      </c>
      <c r="AS10" s="145">
        <v>0</v>
      </c>
      <c r="AT10" s="146">
        <f t="shared" si="14"/>
        <v>92420</v>
      </c>
      <c r="AU10" s="145">
        <f t="shared" si="1"/>
        <v>88220</v>
      </c>
      <c r="AV10" s="145">
        <f t="shared" si="1"/>
        <v>4200</v>
      </c>
      <c r="AW10" s="302"/>
      <c r="AX10" s="311"/>
      <c r="AY10" s="314"/>
    </row>
    <row r="11" spans="1:51" ht="237" customHeight="1" x14ac:dyDescent="0.25">
      <c r="B11" s="52">
        <v>1167</v>
      </c>
      <c r="C11" s="16">
        <v>42008</v>
      </c>
      <c r="D11" s="14" t="s">
        <v>334</v>
      </c>
      <c r="E11" s="16"/>
      <c r="F11" s="16"/>
      <c r="G11" s="146">
        <f t="shared" ref="G11:G16" si="15">H11+I11</f>
        <v>639840</v>
      </c>
      <c r="H11" s="145">
        <v>533200</v>
      </c>
      <c r="I11" s="145">
        <v>106640</v>
      </c>
      <c r="J11" s="146">
        <f t="shared" si="2"/>
        <v>1423.00488</v>
      </c>
      <c r="K11" s="145">
        <v>1134.8816899999999</v>
      </c>
      <c r="L11" s="145">
        <v>288.12319000000002</v>
      </c>
      <c r="M11" s="146">
        <f t="shared" si="3"/>
        <v>150.32928000000001</v>
      </c>
      <c r="N11" s="145">
        <v>119.68835</v>
      </c>
      <c r="O11" s="145">
        <v>30.640930000000001</v>
      </c>
      <c r="P11" s="146">
        <f t="shared" si="4"/>
        <v>74671.593778982657</v>
      </c>
      <c r="Q11" s="145">
        <v>74600.289410477752</v>
      </c>
      <c r="R11" s="145">
        <v>71.304368504910713</v>
      </c>
      <c r="S11" s="146">
        <f t="shared" si="5"/>
        <v>563595.0720610175</v>
      </c>
      <c r="T11" s="145">
        <f>SUM(H11-K11-N11-Q11)</f>
        <v>457345.14054952236</v>
      </c>
      <c r="U11" s="145">
        <f>SUM(I11-L11-O11-R11)</f>
        <v>106249.9315114951</v>
      </c>
      <c r="V11" s="146">
        <f t="shared" ref="V11:V16" si="16">W11+X11</f>
        <v>115875</v>
      </c>
      <c r="W11" s="145">
        <v>110555</v>
      </c>
      <c r="X11" s="145">
        <v>5320</v>
      </c>
      <c r="Y11" s="146">
        <f t="shared" si="7"/>
        <v>118950</v>
      </c>
      <c r="Z11" s="145">
        <v>90975</v>
      </c>
      <c r="AA11" s="145">
        <v>27975</v>
      </c>
      <c r="AB11" s="146">
        <f t="shared" si="8"/>
        <v>328770.07206101745</v>
      </c>
      <c r="AC11" s="145">
        <f>SUM(T11-W11-Z11)</f>
        <v>255815.14054952236</v>
      </c>
      <c r="AD11" s="145">
        <f>SUM(U11-X11-AA11)</f>
        <v>72954.931511495102</v>
      </c>
      <c r="AE11" s="146">
        <f t="shared" si="9"/>
        <v>60751.688010625003</v>
      </c>
      <c r="AF11" s="145">
        <v>50611.650408499998</v>
      </c>
      <c r="AG11" s="145">
        <v>10140.037602125001</v>
      </c>
      <c r="AH11" s="146">
        <f t="shared" si="10"/>
        <v>87.5</v>
      </c>
      <c r="AI11" s="145">
        <v>70</v>
      </c>
      <c r="AJ11" s="145">
        <v>17.5</v>
      </c>
      <c r="AK11" s="146">
        <f t="shared" si="11"/>
        <v>84700</v>
      </c>
      <c r="AL11" s="145">
        <v>81532.5</v>
      </c>
      <c r="AM11" s="145">
        <v>3167.5</v>
      </c>
      <c r="AN11" s="146">
        <f t="shared" si="12"/>
        <v>31000</v>
      </c>
      <c r="AO11" s="145">
        <v>28882.5</v>
      </c>
      <c r="AP11" s="145">
        <v>2117.5</v>
      </c>
      <c r="AQ11" s="146">
        <f t="shared" si="13"/>
        <v>87.5</v>
      </c>
      <c r="AR11" s="145">
        <v>70</v>
      </c>
      <c r="AS11" s="145">
        <v>17.5</v>
      </c>
      <c r="AT11" s="146">
        <f>AU11+AV11</f>
        <v>115875</v>
      </c>
      <c r="AU11" s="145">
        <f>SUM(AI11+AL11+AO11+AR11)</f>
        <v>110555</v>
      </c>
      <c r="AV11" s="145">
        <f>SUM(AJ11+AM11+AP11+AS11)</f>
        <v>5320</v>
      </c>
      <c r="AW11" s="213" t="s">
        <v>336</v>
      </c>
      <c r="AX11" s="214" t="s">
        <v>337</v>
      </c>
      <c r="AY11" s="45" t="s">
        <v>340</v>
      </c>
    </row>
    <row r="12" spans="1:51" hidden="1" x14ac:dyDescent="0.25">
      <c r="B12" s="52"/>
      <c r="C12" s="16"/>
      <c r="D12" s="16"/>
      <c r="E12" s="16"/>
      <c r="F12" s="16"/>
      <c r="G12" s="146">
        <f t="shared" si="15"/>
        <v>0</v>
      </c>
      <c r="H12" s="145"/>
      <c r="I12" s="145"/>
      <c r="J12" s="146">
        <f t="shared" si="2"/>
        <v>0</v>
      </c>
      <c r="K12" s="145"/>
      <c r="L12" s="145"/>
      <c r="M12" s="146">
        <f t="shared" si="3"/>
        <v>0</v>
      </c>
      <c r="N12" s="145"/>
      <c r="O12" s="145"/>
      <c r="P12" s="146">
        <f t="shared" si="4"/>
        <v>0</v>
      </c>
      <c r="Q12" s="145"/>
      <c r="R12" s="145"/>
      <c r="S12" s="146">
        <f t="shared" si="5"/>
        <v>0</v>
      </c>
      <c r="T12" s="145"/>
      <c r="U12" s="145"/>
      <c r="V12" s="146">
        <f t="shared" si="16"/>
        <v>0</v>
      </c>
      <c r="W12" s="145"/>
      <c r="X12" s="145"/>
      <c r="Y12" s="146">
        <f t="shared" si="7"/>
        <v>0</v>
      </c>
      <c r="Z12" s="145"/>
      <c r="AA12" s="145"/>
      <c r="AB12" s="146">
        <f t="shared" si="8"/>
        <v>0</v>
      </c>
      <c r="AC12" s="145"/>
      <c r="AD12" s="145"/>
      <c r="AE12" s="146">
        <f t="shared" si="9"/>
        <v>0</v>
      </c>
      <c r="AF12" s="145"/>
      <c r="AG12" s="145"/>
      <c r="AH12" s="146">
        <f t="shared" si="10"/>
        <v>0</v>
      </c>
      <c r="AI12" s="145"/>
      <c r="AJ12" s="145"/>
      <c r="AK12" s="146">
        <f t="shared" si="11"/>
        <v>0</v>
      </c>
      <c r="AL12" s="145"/>
      <c r="AM12" s="145"/>
      <c r="AN12" s="146">
        <f t="shared" si="12"/>
        <v>0</v>
      </c>
      <c r="AO12" s="145"/>
      <c r="AP12" s="145"/>
      <c r="AQ12" s="146">
        <f t="shared" si="13"/>
        <v>0</v>
      </c>
      <c r="AR12" s="145"/>
      <c r="AS12" s="145"/>
      <c r="AT12" s="146">
        <f t="shared" si="14"/>
        <v>0</v>
      </c>
      <c r="AU12" s="145"/>
      <c r="AV12" s="145"/>
      <c r="AW12" s="50"/>
      <c r="AX12" s="22"/>
      <c r="AY12" s="45"/>
    </row>
    <row r="13" spans="1:51" hidden="1" x14ac:dyDescent="0.25">
      <c r="B13" s="52"/>
      <c r="C13" s="16"/>
      <c r="D13" s="16"/>
      <c r="E13" s="16"/>
      <c r="F13" s="16"/>
      <c r="G13" s="146">
        <f t="shared" si="15"/>
        <v>0</v>
      </c>
      <c r="H13" s="145"/>
      <c r="I13" s="145"/>
      <c r="J13" s="146">
        <f t="shared" si="2"/>
        <v>0</v>
      </c>
      <c r="K13" s="145"/>
      <c r="L13" s="145"/>
      <c r="M13" s="146">
        <f t="shared" si="3"/>
        <v>0</v>
      </c>
      <c r="N13" s="145"/>
      <c r="O13" s="145"/>
      <c r="P13" s="146">
        <f t="shared" si="4"/>
        <v>0</v>
      </c>
      <c r="Q13" s="145"/>
      <c r="R13" s="145"/>
      <c r="S13" s="146">
        <f t="shared" si="5"/>
        <v>0</v>
      </c>
      <c r="T13" s="145"/>
      <c r="U13" s="145"/>
      <c r="V13" s="146">
        <f t="shared" si="16"/>
        <v>0</v>
      </c>
      <c r="W13" s="145"/>
      <c r="X13" s="145"/>
      <c r="Y13" s="146">
        <f t="shared" si="7"/>
        <v>0</v>
      </c>
      <c r="Z13" s="145"/>
      <c r="AA13" s="145"/>
      <c r="AB13" s="146">
        <f t="shared" si="8"/>
        <v>0</v>
      </c>
      <c r="AC13" s="145"/>
      <c r="AD13" s="145"/>
      <c r="AE13" s="146">
        <f t="shared" si="9"/>
        <v>0</v>
      </c>
      <c r="AF13" s="145"/>
      <c r="AG13" s="145"/>
      <c r="AH13" s="146">
        <f t="shared" si="10"/>
        <v>0</v>
      </c>
      <c r="AI13" s="145"/>
      <c r="AJ13" s="145"/>
      <c r="AK13" s="146">
        <f t="shared" si="11"/>
        <v>0</v>
      </c>
      <c r="AL13" s="145"/>
      <c r="AM13" s="145"/>
      <c r="AN13" s="146">
        <f t="shared" si="12"/>
        <v>0</v>
      </c>
      <c r="AO13" s="145"/>
      <c r="AP13" s="145"/>
      <c r="AQ13" s="146">
        <f t="shared" si="13"/>
        <v>0</v>
      </c>
      <c r="AR13" s="145"/>
      <c r="AS13" s="145"/>
      <c r="AT13" s="146">
        <f t="shared" si="14"/>
        <v>0</v>
      </c>
      <c r="AU13" s="145"/>
      <c r="AV13" s="145"/>
      <c r="AW13" s="50"/>
      <c r="AX13" s="22"/>
      <c r="AY13" s="45"/>
    </row>
    <row r="14" spans="1:51" hidden="1" x14ac:dyDescent="0.25">
      <c r="B14" s="52"/>
      <c r="C14" s="16"/>
      <c r="D14" s="16"/>
      <c r="E14" s="16"/>
      <c r="F14" s="16"/>
      <c r="G14" s="146">
        <f t="shared" si="15"/>
        <v>0</v>
      </c>
      <c r="H14" s="145"/>
      <c r="I14" s="145"/>
      <c r="J14" s="146">
        <f t="shared" si="2"/>
        <v>0</v>
      </c>
      <c r="K14" s="145"/>
      <c r="L14" s="145"/>
      <c r="M14" s="146">
        <f t="shared" si="3"/>
        <v>0</v>
      </c>
      <c r="N14" s="145"/>
      <c r="O14" s="145"/>
      <c r="P14" s="146">
        <f t="shared" si="4"/>
        <v>0</v>
      </c>
      <c r="Q14" s="145"/>
      <c r="R14" s="145"/>
      <c r="S14" s="146">
        <f t="shared" si="5"/>
        <v>0</v>
      </c>
      <c r="T14" s="145"/>
      <c r="U14" s="145"/>
      <c r="V14" s="146">
        <f t="shared" si="16"/>
        <v>0</v>
      </c>
      <c r="W14" s="145"/>
      <c r="X14" s="145"/>
      <c r="Y14" s="146">
        <f t="shared" si="7"/>
        <v>0</v>
      </c>
      <c r="Z14" s="145"/>
      <c r="AA14" s="145"/>
      <c r="AB14" s="146">
        <f t="shared" si="8"/>
        <v>0</v>
      </c>
      <c r="AC14" s="145"/>
      <c r="AD14" s="145"/>
      <c r="AE14" s="146">
        <f t="shared" si="9"/>
        <v>0</v>
      </c>
      <c r="AF14" s="145"/>
      <c r="AG14" s="145"/>
      <c r="AH14" s="146">
        <f t="shared" si="10"/>
        <v>0</v>
      </c>
      <c r="AI14" s="145"/>
      <c r="AJ14" s="145"/>
      <c r="AK14" s="146">
        <f t="shared" si="11"/>
        <v>0</v>
      </c>
      <c r="AL14" s="145"/>
      <c r="AM14" s="145"/>
      <c r="AN14" s="146">
        <f t="shared" si="12"/>
        <v>0</v>
      </c>
      <c r="AO14" s="145"/>
      <c r="AP14" s="145"/>
      <c r="AQ14" s="146">
        <f t="shared" si="13"/>
        <v>0</v>
      </c>
      <c r="AR14" s="145"/>
      <c r="AS14" s="145"/>
      <c r="AT14" s="146">
        <f t="shared" si="14"/>
        <v>0</v>
      </c>
      <c r="AU14" s="145"/>
      <c r="AV14" s="145"/>
      <c r="AW14" s="50"/>
      <c r="AX14" s="22"/>
      <c r="AY14" s="45"/>
    </row>
    <row r="15" spans="1:51" hidden="1" x14ac:dyDescent="0.25">
      <c r="B15" s="52"/>
      <c r="C15" s="16"/>
      <c r="D15" s="16"/>
      <c r="E15" s="16"/>
      <c r="F15" s="16"/>
      <c r="G15" s="146">
        <f t="shared" si="15"/>
        <v>0</v>
      </c>
      <c r="H15" s="145"/>
      <c r="I15" s="145"/>
      <c r="J15" s="146">
        <f t="shared" si="2"/>
        <v>0</v>
      </c>
      <c r="K15" s="145"/>
      <c r="L15" s="145"/>
      <c r="M15" s="146">
        <f t="shared" si="3"/>
        <v>0</v>
      </c>
      <c r="N15" s="145"/>
      <c r="O15" s="145"/>
      <c r="P15" s="146">
        <f t="shared" si="4"/>
        <v>0</v>
      </c>
      <c r="Q15" s="145"/>
      <c r="R15" s="145"/>
      <c r="S15" s="146">
        <f t="shared" si="5"/>
        <v>0</v>
      </c>
      <c r="T15" s="145"/>
      <c r="U15" s="145"/>
      <c r="V15" s="146">
        <f t="shared" si="16"/>
        <v>0</v>
      </c>
      <c r="W15" s="145"/>
      <c r="X15" s="145"/>
      <c r="Y15" s="146">
        <f t="shared" si="7"/>
        <v>0</v>
      </c>
      <c r="Z15" s="145"/>
      <c r="AA15" s="145"/>
      <c r="AB15" s="146">
        <f t="shared" si="8"/>
        <v>0</v>
      </c>
      <c r="AC15" s="145"/>
      <c r="AD15" s="145"/>
      <c r="AE15" s="146">
        <f t="shared" si="9"/>
        <v>0</v>
      </c>
      <c r="AF15" s="145"/>
      <c r="AG15" s="145"/>
      <c r="AH15" s="146">
        <f t="shared" si="10"/>
        <v>0</v>
      </c>
      <c r="AI15" s="145"/>
      <c r="AJ15" s="145"/>
      <c r="AK15" s="146">
        <f t="shared" si="11"/>
        <v>0</v>
      </c>
      <c r="AL15" s="145"/>
      <c r="AM15" s="145"/>
      <c r="AN15" s="146">
        <f t="shared" si="12"/>
        <v>0</v>
      </c>
      <c r="AO15" s="145"/>
      <c r="AP15" s="145"/>
      <c r="AQ15" s="146">
        <f t="shared" si="13"/>
        <v>0</v>
      </c>
      <c r="AR15" s="145"/>
      <c r="AS15" s="145"/>
      <c r="AT15" s="146">
        <f t="shared" si="14"/>
        <v>0</v>
      </c>
      <c r="AU15" s="145"/>
      <c r="AV15" s="145"/>
      <c r="AW15" s="50"/>
      <c r="AX15" s="22"/>
      <c r="AY15" s="45"/>
    </row>
    <row r="16" spans="1:51" hidden="1" x14ac:dyDescent="0.25">
      <c r="B16" s="53"/>
      <c r="C16" s="30"/>
      <c r="D16" s="30"/>
      <c r="E16" s="30"/>
      <c r="F16" s="30"/>
      <c r="G16" s="146">
        <f t="shared" si="15"/>
        <v>0</v>
      </c>
      <c r="H16" s="145"/>
      <c r="I16" s="145"/>
      <c r="J16" s="146">
        <f t="shared" si="2"/>
        <v>0</v>
      </c>
      <c r="K16" s="145"/>
      <c r="L16" s="145"/>
      <c r="M16" s="146">
        <f t="shared" si="3"/>
        <v>0</v>
      </c>
      <c r="N16" s="145"/>
      <c r="O16" s="145"/>
      <c r="P16" s="146">
        <f t="shared" si="4"/>
        <v>0</v>
      </c>
      <c r="Q16" s="145"/>
      <c r="R16" s="145"/>
      <c r="S16" s="146">
        <f t="shared" si="5"/>
        <v>0</v>
      </c>
      <c r="T16" s="145"/>
      <c r="U16" s="145"/>
      <c r="V16" s="146">
        <f t="shared" si="16"/>
        <v>0</v>
      </c>
      <c r="W16" s="145"/>
      <c r="X16" s="145"/>
      <c r="Y16" s="146">
        <f t="shared" si="7"/>
        <v>0</v>
      </c>
      <c r="Z16" s="145"/>
      <c r="AA16" s="145"/>
      <c r="AB16" s="146">
        <f t="shared" si="8"/>
        <v>0</v>
      </c>
      <c r="AC16" s="145"/>
      <c r="AD16" s="145"/>
      <c r="AE16" s="146">
        <f t="shared" si="9"/>
        <v>0</v>
      </c>
      <c r="AF16" s="145"/>
      <c r="AG16" s="145"/>
      <c r="AH16" s="146">
        <f t="shared" si="10"/>
        <v>0</v>
      </c>
      <c r="AI16" s="145"/>
      <c r="AJ16" s="145"/>
      <c r="AK16" s="146">
        <f t="shared" si="11"/>
        <v>0</v>
      </c>
      <c r="AL16" s="145"/>
      <c r="AM16" s="145"/>
      <c r="AN16" s="146">
        <f t="shared" si="12"/>
        <v>0</v>
      </c>
      <c r="AO16" s="145"/>
      <c r="AP16" s="145"/>
      <c r="AQ16" s="146">
        <f t="shared" si="13"/>
        <v>0</v>
      </c>
      <c r="AR16" s="145"/>
      <c r="AS16" s="145"/>
      <c r="AT16" s="146">
        <f t="shared" si="14"/>
        <v>0</v>
      </c>
      <c r="AU16" s="145"/>
      <c r="AV16" s="145"/>
      <c r="AW16" s="50"/>
      <c r="AX16" s="22"/>
      <c r="AY16" s="45"/>
    </row>
    <row r="17" spans="1:51" ht="17.25" customHeight="1" thickBot="1" x14ac:dyDescent="0.3">
      <c r="A17" s="28"/>
      <c r="B17" s="315" t="s">
        <v>12</v>
      </c>
      <c r="C17" s="316"/>
      <c r="D17" s="317"/>
      <c r="E17" s="138"/>
      <c r="F17" s="138"/>
      <c r="G17" s="147">
        <f>SUM(H17:I17)</f>
        <v>639840</v>
      </c>
      <c r="H17" s="147">
        <f>SUM(H11)</f>
        <v>533200</v>
      </c>
      <c r="I17" s="147">
        <f>SUM(I11)</f>
        <v>106640</v>
      </c>
      <c r="J17" s="147">
        <f>SUM(K17:L17)</f>
        <v>1423.00488</v>
      </c>
      <c r="K17" s="147">
        <f>SUM(K11)</f>
        <v>1134.8816899999999</v>
      </c>
      <c r="L17" s="147">
        <f>SUM(L11)</f>
        <v>288.12319000000002</v>
      </c>
      <c r="M17" s="147">
        <f>SUM(N17:O17)</f>
        <v>150.32928000000001</v>
      </c>
      <c r="N17" s="147">
        <f>SUM(N11)</f>
        <v>119.68835</v>
      </c>
      <c r="O17" s="147">
        <f>SUM(O11)</f>
        <v>30.640930000000001</v>
      </c>
      <c r="P17" s="147">
        <f>SUM(Q17:R17)</f>
        <v>74671.593778982657</v>
      </c>
      <c r="Q17" s="147">
        <f>SUM(Q11)</f>
        <v>74600.289410477752</v>
      </c>
      <c r="R17" s="147">
        <f>SUM(R11)</f>
        <v>71.304368504910713</v>
      </c>
      <c r="S17" s="147">
        <f>SUM(T17:U17)</f>
        <v>563595.0720610175</v>
      </c>
      <c r="T17" s="147">
        <f>SUM(T11)</f>
        <v>457345.14054952236</v>
      </c>
      <c r="U17" s="147">
        <f>SUM(U11)</f>
        <v>106249.9315114951</v>
      </c>
      <c r="V17" s="147">
        <f>SUM(W17:X17)</f>
        <v>115875</v>
      </c>
      <c r="W17" s="147">
        <f>SUM(W11)</f>
        <v>110555</v>
      </c>
      <c r="X17" s="147">
        <f>SUM(X11)</f>
        <v>5320</v>
      </c>
      <c r="Y17" s="147">
        <f>SUM(Z17:AA17)</f>
        <v>118950</v>
      </c>
      <c r="Z17" s="147">
        <f>SUM(Z11)</f>
        <v>90975</v>
      </c>
      <c r="AA17" s="147">
        <f>SUM(AA11)</f>
        <v>27975</v>
      </c>
      <c r="AB17" s="147">
        <f>SUM(AC17:AD17)</f>
        <v>328770.07206101745</v>
      </c>
      <c r="AC17" s="147">
        <f>SUM(AC11)</f>
        <v>255815.14054952236</v>
      </c>
      <c r="AD17" s="147">
        <f>SUM(AD11)</f>
        <v>72954.931511495102</v>
      </c>
      <c r="AE17" s="147">
        <f>SUM(AF17:AG17)</f>
        <v>60751.688010625003</v>
      </c>
      <c r="AF17" s="147">
        <f>SUM(AF11)</f>
        <v>50611.650408499998</v>
      </c>
      <c r="AG17" s="147">
        <f>SUM(AG11)</f>
        <v>10140.037602125001</v>
      </c>
      <c r="AH17" s="147">
        <f>SUM(AI17:AJ17)</f>
        <v>87.5</v>
      </c>
      <c r="AI17" s="147">
        <f>SUM(AI11)</f>
        <v>70</v>
      </c>
      <c r="AJ17" s="147">
        <f>SUM(AJ11)</f>
        <v>17.5</v>
      </c>
      <c r="AK17" s="147">
        <f>SUM(AL17:AM17)</f>
        <v>84700</v>
      </c>
      <c r="AL17" s="147">
        <f>SUM(AL11)</f>
        <v>81532.5</v>
      </c>
      <c r="AM17" s="147">
        <f>SUM(AM11)</f>
        <v>3167.5</v>
      </c>
      <c r="AN17" s="147">
        <f>SUM(AO17:AP17)</f>
        <v>31000</v>
      </c>
      <c r="AO17" s="147">
        <f>SUM(AO11)</f>
        <v>28882.5</v>
      </c>
      <c r="AP17" s="147">
        <f>SUM(AP11)</f>
        <v>2117.5</v>
      </c>
      <c r="AQ17" s="147">
        <f>SUM(AR17:AS17)</f>
        <v>87.5</v>
      </c>
      <c r="AR17" s="147">
        <f>SUM(AR11)</f>
        <v>70</v>
      </c>
      <c r="AS17" s="147">
        <f>SUM(AS11)</f>
        <v>17.5</v>
      </c>
      <c r="AT17" s="147">
        <f>SUM(AU17:AV17)</f>
        <v>115875</v>
      </c>
      <c r="AU17" s="147">
        <f>SUM(AU11)</f>
        <v>110555</v>
      </c>
      <c r="AV17" s="147">
        <f>SUM(AV11)</f>
        <v>5320</v>
      </c>
      <c r="AW17" s="47" t="s">
        <v>44</v>
      </c>
      <c r="AX17" s="48" t="s">
        <v>44</v>
      </c>
      <c r="AY17" s="49" t="s">
        <v>44</v>
      </c>
    </row>
  </sheetData>
  <mergeCells count="32">
    <mergeCell ref="B17:D17"/>
    <mergeCell ref="B8:B10"/>
    <mergeCell ref="C8:C10"/>
    <mergeCell ref="D8:D10"/>
    <mergeCell ref="AW8:AW10"/>
    <mergeCell ref="AX8:AX10"/>
    <mergeCell ref="AY8:AY10"/>
    <mergeCell ref="AY5:AY7"/>
    <mergeCell ref="V6:X6"/>
    <mergeCell ref="Y6:AA6"/>
    <mergeCell ref="AB6:AD6"/>
    <mergeCell ref="AH6:AJ6"/>
    <mergeCell ref="AK6:AM6"/>
    <mergeCell ref="AN6:AP6"/>
    <mergeCell ref="AQ6:AS6"/>
    <mergeCell ref="AT6:AV6"/>
    <mergeCell ref="AX5:AX7"/>
    <mergeCell ref="A4:U4"/>
    <mergeCell ref="AW4:AY4"/>
    <mergeCell ref="B5:C6"/>
    <mergeCell ref="D5:D7"/>
    <mergeCell ref="E5:E7"/>
    <mergeCell ref="F5:F7"/>
    <mergeCell ref="G5:I6"/>
    <mergeCell ref="J5:L6"/>
    <mergeCell ref="M5:O6"/>
    <mergeCell ref="P5:R6"/>
    <mergeCell ref="S5:U6"/>
    <mergeCell ref="V5:AD5"/>
    <mergeCell ref="AE5:AG6"/>
    <mergeCell ref="AH5:AV5"/>
    <mergeCell ref="AW5:AW7"/>
  </mergeCells>
  <dataValidations count="1">
    <dataValidation type="list" allowBlank="1" showInputMessage="1" showErrorMessage="1" sqref="E8:E10" xr:uid="{9C9AC17A-798F-43BE-89DD-16E3D50B3002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C94D9-944D-48B3-9405-940664C6EB0B}">
  <sheetPr>
    <tabColor theme="0" tint="-0.14999847407452621"/>
  </sheetPr>
  <dimension ref="A1:AY26"/>
  <sheetViews>
    <sheetView topLeftCell="AE3" workbookViewId="0">
      <selection activeCell="AU20" sqref="AU20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4.140625" customWidth="1"/>
    <col min="5" max="6" width="24.140625" hidden="1" customWidth="1"/>
    <col min="7" max="7" width="13.85546875" bestFit="1" customWidth="1"/>
    <col min="8" max="8" width="12.5703125" bestFit="1" customWidth="1"/>
    <col min="9" max="9" width="12.42578125" bestFit="1" customWidth="1"/>
    <col min="10" max="10" width="10.140625" bestFit="1" customWidth="1"/>
    <col min="11" max="11" width="8.5703125" bestFit="1" customWidth="1"/>
    <col min="12" max="13" width="9.140625" bestFit="1" customWidth="1"/>
    <col min="14" max="14" width="8.85546875" bestFit="1" customWidth="1"/>
    <col min="15" max="15" width="8.28515625" bestFit="1" customWidth="1"/>
    <col min="16" max="17" width="12" bestFit="1" customWidth="1"/>
    <col min="18" max="18" width="9.28515625" bestFit="1" customWidth="1"/>
    <col min="19" max="19" width="13.5703125" bestFit="1" customWidth="1"/>
    <col min="20" max="20" width="13.140625" bestFit="1" customWidth="1"/>
    <col min="21" max="21" width="12.140625" bestFit="1" customWidth="1"/>
    <col min="22" max="22" width="12.42578125" bestFit="1" customWidth="1"/>
    <col min="23" max="23" width="12.5703125" bestFit="1" customWidth="1"/>
    <col min="24" max="24" width="11" bestFit="1" customWidth="1"/>
    <col min="25" max="25" width="12.140625" bestFit="1" customWidth="1"/>
    <col min="26" max="26" width="12.5703125" bestFit="1" customWidth="1"/>
    <col min="27" max="27" width="12.28515625" bestFit="1" customWidth="1"/>
    <col min="28" max="28" width="13.140625" bestFit="1" customWidth="1"/>
    <col min="29" max="30" width="12.85546875" bestFit="1" customWidth="1"/>
    <col min="31" max="31" width="12.28515625" bestFit="1" customWidth="1"/>
    <col min="32" max="32" width="11.7109375" bestFit="1" customWidth="1"/>
    <col min="33" max="33" width="11.28515625" bestFit="1" customWidth="1"/>
    <col min="34" max="34" width="9" bestFit="1" customWidth="1"/>
    <col min="36" max="36" width="7.7109375" bestFit="1" customWidth="1"/>
    <col min="37" max="37" width="12.28515625" bestFit="1" customWidth="1"/>
    <col min="38" max="38" width="12.42578125" bestFit="1" customWidth="1"/>
    <col min="39" max="39" width="11.42578125" bestFit="1" customWidth="1"/>
    <col min="40" max="40" width="12" bestFit="1" customWidth="1"/>
    <col min="41" max="41" width="11.7109375" bestFit="1" customWidth="1"/>
    <col min="42" max="42" width="10.42578125" bestFit="1" customWidth="1"/>
    <col min="43" max="43" width="9" bestFit="1" customWidth="1"/>
    <col min="44" max="44" width="9.140625" bestFit="1" customWidth="1"/>
    <col min="45" max="45" width="7.7109375" bestFit="1" customWidth="1"/>
    <col min="46" max="46" width="12.28515625" bestFit="1" customWidth="1"/>
    <col min="47" max="47" width="12.7109375" bestFit="1" customWidth="1"/>
    <col min="48" max="48" width="10.85546875" bestFit="1" customWidth="1"/>
    <col min="49" max="49" width="9.5703125" customWidth="1"/>
    <col min="51" max="51" width="55.42578125" customWidth="1"/>
  </cols>
  <sheetData>
    <row r="1" spans="1:51" ht="17.25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1:51" s="56" customFormat="1" ht="17.25" x14ac:dyDescent="0.25">
      <c r="A3" s="64" t="s">
        <v>134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1:51" ht="15.75" thickBot="1" x14ac:dyDescent="0.3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AW4" s="275" t="s">
        <v>329</v>
      </c>
      <c r="AX4" s="275"/>
      <c r="AY4" s="275"/>
    </row>
    <row r="5" spans="1:51" ht="15" customHeight="1" x14ac:dyDescent="0.25">
      <c r="B5" s="307" t="s">
        <v>8</v>
      </c>
      <c r="C5" s="279"/>
      <c r="D5" s="279" t="s">
        <v>51</v>
      </c>
      <c r="E5" s="309" t="s">
        <v>43</v>
      </c>
      <c r="F5" s="309" t="s">
        <v>333</v>
      </c>
      <c r="G5" s="279" t="s">
        <v>322</v>
      </c>
      <c r="H5" s="279"/>
      <c r="I5" s="279"/>
      <c r="J5" s="279" t="s">
        <v>143</v>
      </c>
      <c r="K5" s="279"/>
      <c r="L5" s="279"/>
      <c r="M5" s="279" t="s">
        <v>144</v>
      </c>
      <c r="N5" s="279"/>
      <c r="O5" s="279"/>
      <c r="P5" s="279" t="s">
        <v>145</v>
      </c>
      <c r="Q5" s="279"/>
      <c r="R5" s="279"/>
      <c r="S5" s="279" t="s">
        <v>22</v>
      </c>
      <c r="T5" s="279"/>
      <c r="U5" s="279"/>
      <c r="V5" s="279" t="s">
        <v>16</v>
      </c>
      <c r="W5" s="279"/>
      <c r="X5" s="279"/>
      <c r="Y5" s="279"/>
      <c r="Z5" s="279"/>
      <c r="AA5" s="279"/>
      <c r="AB5" s="279"/>
      <c r="AC5" s="279"/>
      <c r="AD5" s="280"/>
      <c r="AE5" s="281" t="s">
        <v>147</v>
      </c>
      <c r="AF5" s="282"/>
      <c r="AG5" s="282"/>
      <c r="AH5" s="282" t="s">
        <v>148</v>
      </c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4"/>
      <c r="AW5" s="285" t="s">
        <v>28</v>
      </c>
      <c r="AX5" s="287" t="s">
        <v>29</v>
      </c>
      <c r="AY5" s="322" t="s">
        <v>116</v>
      </c>
    </row>
    <row r="6" spans="1:51" ht="23.25" customHeight="1" x14ac:dyDescent="0.25">
      <c r="B6" s="308"/>
      <c r="C6" s="261"/>
      <c r="D6" s="261"/>
      <c r="E6" s="310"/>
      <c r="F6" s="310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 t="s">
        <v>7</v>
      </c>
      <c r="W6" s="261"/>
      <c r="X6" s="261"/>
      <c r="Y6" s="261" t="s">
        <v>115</v>
      </c>
      <c r="Z6" s="261"/>
      <c r="AA6" s="261"/>
      <c r="AB6" s="261" t="s">
        <v>146</v>
      </c>
      <c r="AC6" s="261"/>
      <c r="AD6" s="305"/>
      <c r="AE6" s="283"/>
      <c r="AF6" s="273"/>
      <c r="AG6" s="273"/>
      <c r="AH6" s="273" t="s">
        <v>30</v>
      </c>
      <c r="AI6" s="273"/>
      <c r="AJ6" s="273"/>
      <c r="AK6" s="273" t="s">
        <v>31</v>
      </c>
      <c r="AL6" s="273"/>
      <c r="AM6" s="273"/>
      <c r="AN6" s="273" t="s">
        <v>32</v>
      </c>
      <c r="AO6" s="273"/>
      <c r="AP6" s="273"/>
      <c r="AQ6" s="273" t="s">
        <v>33</v>
      </c>
      <c r="AR6" s="273"/>
      <c r="AS6" s="273"/>
      <c r="AT6" s="273" t="s">
        <v>34</v>
      </c>
      <c r="AU6" s="273"/>
      <c r="AV6" s="274"/>
      <c r="AW6" s="286"/>
      <c r="AX6" s="288"/>
      <c r="AY6" s="323"/>
    </row>
    <row r="7" spans="1:51" ht="126" customHeight="1" x14ac:dyDescent="0.25">
      <c r="B7" s="51" t="s">
        <v>2</v>
      </c>
      <c r="C7" s="5" t="s">
        <v>25</v>
      </c>
      <c r="D7" s="261"/>
      <c r="E7" s="310"/>
      <c r="F7" s="310"/>
      <c r="G7" s="6" t="s">
        <v>12</v>
      </c>
      <c r="H7" s="6" t="s">
        <v>20</v>
      </c>
      <c r="I7" s="6" t="s">
        <v>21</v>
      </c>
      <c r="J7" s="6" t="s">
        <v>12</v>
      </c>
      <c r="K7" s="6" t="s">
        <v>20</v>
      </c>
      <c r="L7" s="6" t="s">
        <v>21</v>
      </c>
      <c r="M7" s="6" t="s">
        <v>12</v>
      </c>
      <c r="N7" s="6" t="s">
        <v>20</v>
      </c>
      <c r="O7" s="6" t="s">
        <v>21</v>
      </c>
      <c r="P7" s="6" t="s">
        <v>12</v>
      </c>
      <c r="Q7" s="6" t="s">
        <v>20</v>
      </c>
      <c r="R7" s="6" t="s">
        <v>21</v>
      </c>
      <c r="S7" s="6" t="s">
        <v>12</v>
      </c>
      <c r="T7" s="6" t="s">
        <v>20</v>
      </c>
      <c r="U7" s="6" t="s">
        <v>21</v>
      </c>
      <c r="V7" s="29" t="s">
        <v>12</v>
      </c>
      <c r="W7" s="29" t="s">
        <v>20</v>
      </c>
      <c r="X7" s="29" t="s">
        <v>21</v>
      </c>
      <c r="Y7" s="29" t="s">
        <v>12</v>
      </c>
      <c r="Z7" s="29" t="s">
        <v>20</v>
      </c>
      <c r="AA7" s="29" t="s">
        <v>21</v>
      </c>
      <c r="AB7" s="29" t="s">
        <v>12</v>
      </c>
      <c r="AC7" s="29" t="s">
        <v>20</v>
      </c>
      <c r="AD7" s="55" t="s">
        <v>21</v>
      </c>
      <c r="AE7" s="42" t="s">
        <v>12</v>
      </c>
      <c r="AF7" s="41" t="s">
        <v>20</v>
      </c>
      <c r="AG7" s="41" t="s">
        <v>21</v>
      </c>
      <c r="AH7" s="41" t="s">
        <v>12</v>
      </c>
      <c r="AI7" s="41" t="s">
        <v>20</v>
      </c>
      <c r="AJ7" s="41" t="s">
        <v>21</v>
      </c>
      <c r="AK7" s="41" t="s">
        <v>12</v>
      </c>
      <c r="AL7" s="41" t="s">
        <v>20</v>
      </c>
      <c r="AM7" s="41" t="s">
        <v>21</v>
      </c>
      <c r="AN7" s="41" t="s">
        <v>12</v>
      </c>
      <c r="AO7" s="41" t="s">
        <v>20</v>
      </c>
      <c r="AP7" s="41" t="s">
        <v>21</v>
      </c>
      <c r="AQ7" s="41" t="s">
        <v>12</v>
      </c>
      <c r="AR7" s="41" t="s">
        <v>20</v>
      </c>
      <c r="AS7" s="41" t="s">
        <v>21</v>
      </c>
      <c r="AT7" s="41" t="s">
        <v>12</v>
      </c>
      <c r="AU7" s="41" t="s">
        <v>20</v>
      </c>
      <c r="AV7" s="43" t="s">
        <v>21</v>
      </c>
      <c r="AW7" s="286"/>
      <c r="AX7" s="288"/>
      <c r="AY7" s="323"/>
    </row>
    <row r="8" spans="1:51" ht="82.5" hidden="1" customHeight="1" x14ac:dyDescent="0.25">
      <c r="B8" s="293">
        <v>1167</v>
      </c>
      <c r="C8" s="267">
        <v>42008</v>
      </c>
      <c r="D8" s="318" t="s">
        <v>334</v>
      </c>
      <c r="E8" s="210" t="s">
        <v>335</v>
      </c>
      <c r="F8" s="211" t="s">
        <v>324</v>
      </c>
      <c r="G8" s="146">
        <f>H8+I8</f>
        <v>2698088.8530000001</v>
      </c>
      <c r="H8" s="145">
        <f>SUM('Հ7 Ձև2 (Loan 42008 Euro)'!H8*'Հ7 Ձև2 (Loan 42008 AMD)'!$B$20)</f>
        <v>2248407.3774999999</v>
      </c>
      <c r="I8" s="145">
        <f>SUM('Հ7 Ձև2 (Loan 42008 Euro)'!I8*'Հ7 Ձև2 (Loan 42008 AMD)'!$B$20)</f>
        <v>449681.4755</v>
      </c>
      <c r="J8" s="146">
        <f>K8+L8</f>
        <v>764405.65668675001</v>
      </c>
      <c r="K8" s="145">
        <v>611571.51240939996</v>
      </c>
      <c r="L8" s="145">
        <v>152834.14427735002</v>
      </c>
      <c r="M8" s="146">
        <f>N8+O8</f>
        <v>64559.297518249994</v>
      </c>
      <c r="N8" s="145">
        <v>51588.072616999998</v>
      </c>
      <c r="O8" s="145">
        <v>12971.22490125</v>
      </c>
      <c r="P8" s="146">
        <f>Q8+R8</f>
        <v>149921</v>
      </c>
      <c r="Q8" s="145">
        <v>119936.8</v>
      </c>
      <c r="R8" s="145">
        <v>29984.2</v>
      </c>
      <c r="S8" s="146">
        <f>T8+U8</f>
        <v>1719202.898795</v>
      </c>
      <c r="T8" s="145">
        <f>SUM(H8-K8-N8-Q8)</f>
        <v>1465310.9924736</v>
      </c>
      <c r="U8" s="145">
        <f>SUM(I8-L8-O8-R8)</f>
        <v>253891.90632140002</v>
      </c>
      <c r="V8" s="146">
        <f>W8+X8</f>
        <v>144287.5</v>
      </c>
      <c r="W8" s="145">
        <f>SUM('Հ7 Ձև2 (Loan 42008 Euro)'!W8*'Հ7 Ձև2 (Loan 42008 AMD)'!$B$20)</f>
        <v>115430</v>
      </c>
      <c r="X8" s="145">
        <f>SUM('Հ7 Ձև2 (Loan 42008 Euro)'!X8*'Հ7 Ձև2 (Loan 42008 AMD)'!$B$20)</f>
        <v>28857.5</v>
      </c>
      <c r="Y8" s="146">
        <f>Z8+AA8</f>
        <v>154593.75</v>
      </c>
      <c r="Z8" s="145">
        <f>SUM('Հ7 Ձև2 (Loan 42008 Euro)'!Z8*'Հ7 Ձև2 (Loan 42008 AMD)'!$B$20)</f>
        <v>123675</v>
      </c>
      <c r="AA8" s="145">
        <f>SUM('Հ7 Ձև2 (Loan 42008 Euro)'!AA8*'Հ7 Ձև2 (Loan 42008 AMD)'!$B$20)</f>
        <v>30918.75</v>
      </c>
      <c r="AB8" s="146">
        <f>AC8+AD8</f>
        <v>1420321.648795</v>
      </c>
      <c r="AC8" s="145">
        <f>SUM(T8-W8-Z8)</f>
        <v>1226205.9924736</v>
      </c>
      <c r="AD8" s="145">
        <f>SUM(U8-X8-AA8)</f>
        <v>194115.65632140002</v>
      </c>
      <c r="AE8" s="146">
        <f>AF8+AG8</f>
        <v>192972.13071154375</v>
      </c>
      <c r="AF8" s="145">
        <v>154377.70456923501</v>
      </c>
      <c r="AG8" s="145">
        <v>38594.426142308752</v>
      </c>
      <c r="AH8" s="146">
        <f>AI8+AJ8</f>
        <v>36071.875</v>
      </c>
      <c r="AI8" s="145">
        <f>SUM('Հ7 Ձև2 (Loan 42008 Euro)'!AI8*'Հ7 Ձև2 (Loan 42008 AMD)'!$B$20)</f>
        <v>28857.5</v>
      </c>
      <c r="AJ8" s="145">
        <f>SUM('Հ7 Ձև2 (Loan 42008 Euro)'!AJ8*'Հ7 Ձև2 (Loan 42008 AMD)'!$B$20)</f>
        <v>7214.375</v>
      </c>
      <c r="AK8" s="146">
        <f>AL8+AM8</f>
        <v>36071.875</v>
      </c>
      <c r="AL8" s="145">
        <f>SUM('Հ7 Ձև2 (Loan 42008 Euro)'!AL8*'Հ7 Ձև2 (Loan 42008 AMD)'!$B$20)</f>
        <v>28857.5</v>
      </c>
      <c r="AM8" s="145">
        <f>SUM('Հ7 Ձև2 (Loan 42008 Euro)'!AM8*'Հ7 Ձև2 (Loan 42008 AMD)'!$B$20)</f>
        <v>7214.375</v>
      </c>
      <c r="AN8" s="146">
        <f>AO8+AP8</f>
        <v>36071.875</v>
      </c>
      <c r="AO8" s="145">
        <f>SUM('Հ7 Ձև2 (Loan 42008 Euro)'!AO8*'Հ7 Ձև2 (Loan 42008 AMD)'!$B$20)</f>
        <v>28857.5</v>
      </c>
      <c r="AP8" s="145">
        <f>SUM('Հ7 Ձև2 (Loan 42008 Euro)'!AP8*'Հ7 Ձև2 (Loan 42008 AMD)'!$B$20)</f>
        <v>7214.375</v>
      </c>
      <c r="AQ8" s="146">
        <f>AR8+AS8</f>
        <v>36071.875</v>
      </c>
      <c r="AR8" s="145">
        <f>SUM('Հ7 Ձև2 (Loan 42008 Euro)'!AR8*'Հ7 Ձև2 (Loan 42008 AMD)'!$B$20)</f>
        <v>28857.5</v>
      </c>
      <c r="AS8" s="145">
        <f>SUM('Հ7 Ձև2 (Loan 42008 Euro)'!AS8*'Հ7 Ձև2 (Loan 42008 AMD)'!$B$20)</f>
        <v>7214.375</v>
      </c>
      <c r="AT8" s="146">
        <f>AU8+AV8</f>
        <v>144287.5</v>
      </c>
      <c r="AU8" s="145">
        <f t="shared" ref="AU8:AV10" si="0">SUM(AI8+AL8+AO8+AR8)</f>
        <v>115430</v>
      </c>
      <c r="AV8" s="145">
        <f t="shared" si="0"/>
        <v>28857.5</v>
      </c>
      <c r="AW8" s="301" t="s">
        <v>336</v>
      </c>
      <c r="AX8" s="303" t="s">
        <v>337</v>
      </c>
      <c r="AY8" s="312" t="s">
        <v>339</v>
      </c>
    </row>
    <row r="9" spans="1:51" ht="82.5" hidden="1" customHeight="1" x14ac:dyDescent="0.25">
      <c r="B9" s="294"/>
      <c r="C9" s="268"/>
      <c r="D9" s="319"/>
      <c r="E9" s="212" t="s">
        <v>335</v>
      </c>
      <c r="F9" s="211" t="s">
        <v>327</v>
      </c>
      <c r="G9" s="146">
        <f>H9+I9</f>
        <v>52215190.229400009</v>
      </c>
      <c r="H9" s="145">
        <f>SUM('Հ7 Ձև2 (Loan 42008 Euro)'!H9*'Հ7 Ձև2 (Loan 42008 AMD)'!$B$20)</f>
        <v>43512658.524500005</v>
      </c>
      <c r="I9" s="145">
        <f>SUM('Հ7 Ձև2 (Loan 42008 Euro)'!I9*'Հ7 Ձև2 (Loan 42008 AMD)'!$B$20)</f>
        <v>8702531.7049000002</v>
      </c>
      <c r="J9" s="146">
        <f t="shared" ref="J9:J16" si="1">K9+L9</f>
        <v>0</v>
      </c>
      <c r="K9" s="145">
        <v>0</v>
      </c>
      <c r="L9" s="145">
        <v>0</v>
      </c>
      <c r="M9" s="146">
        <f t="shared" ref="M9:M16" si="2">N9+O9</f>
        <v>0</v>
      </c>
      <c r="N9" s="145">
        <v>0</v>
      </c>
      <c r="O9" s="145">
        <v>0</v>
      </c>
      <c r="P9" s="146">
        <f t="shared" ref="P9:P16" si="3">Q9+R9</f>
        <v>1892295</v>
      </c>
      <c r="Q9" s="145">
        <f>+'Հ7 Ձև2 (Loan 42008 Euro)'!Q9*420.51</f>
        <v>1892295</v>
      </c>
      <c r="R9" s="145">
        <v>0</v>
      </c>
      <c r="S9" s="146">
        <f t="shared" ref="S9:S16" si="4">T9+U9</f>
        <v>50322895.229400009</v>
      </c>
      <c r="T9" s="145">
        <f t="shared" ref="T9:U10" si="5">SUM(H9-K9-N9-Q9)</f>
        <v>41620363.524500005</v>
      </c>
      <c r="U9" s="145">
        <f t="shared" si="5"/>
        <v>8702531.7049000002</v>
      </c>
      <c r="V9" s="146">
        <f>W9+X9</f>
        <v>9525036.25</v>
      </c>
      <c r="W9" s="145">
        <f>SUM('Հ7 Ձև2 (Loan 42008 Euro)'!W9*'Հ7 Ձև2 (Loan 42008 AMD)'!$B$20)</f>
        <v>9092173.75</v>
      </c>
      <c r="X9" s="145">
        <f>SUM('Հ7 Ձև2 (Loan 42008 Euro)'!X9*'Հ7 Ձև2 (Loan 42008 AMD)'!$B$20)</f>
        <v>432862.5</v>
      </c>
      <c r="Y9" s="146">
        <f t="shared" ref="Y9:Y16" si="6">Z9+AA9</f>
        <v>9776508.75</v>
      </c>
      <c r="Z9" s="145">
        <f>SUM('Հ7 Ձև2 (Loan 42008 Euro)'!Z9*'Հ7 Ձև2 (Loan 42008 AMD)'!$B$20)</f>
        <v>7476153.75</v>
      </c>
      <c r="AA9" s="145">
        <f>SUM('Հ7 Ձև2 (Loan 42008 Euro)'!AA9*'Հ7 Ձև2 (Loan 42008 AMD)'!$B$20)</f>
        <v>2300355</v>
      </c>
      <c r="AB9" s="146">
        <f t="shared" ref="AB9:AB16" si="7">AC9+AD9</f>
        <v>31021350.229400005</v>
      </c>
      <c r="AC9" s="145">
        <f t="shared" ref="AC9:AD11" si="8">SUM(T9-W9-Z9)</f>
        <v>25052036.024500005</v>
      </c>
      <c r="AD9" s="145">
        <f t="shared" si="8"/>
        <v>5969314.2049000002</v>
      </c>
      <c r="AE9" s="146">
        <f t="shared" ref="AE9:AE16" si="9">AF9+AG9</f>
        <v>5257859.2379999999</v>
      </c>
      <c r="AF9" s="145">
        <v>4381549.3650000002</v>
      </c>
      <c r="AG9" s="145">
        <v>876309.87300000014</v>
      </c>
      <c r="AH9" s="146">
        <f t="shared" ref="AH9:AH16" si="10">AI9+AJ9</f>
        <v>0</v>
      </c>
      <c r="AI9" s="145">
        <f>SUM('Հ7 Ձև2 (Loan 42008 Euro)'!AI9*'Հ7 Ձև2 (Loan 42008 AMD)'!$B$20)</f>
        <v>0</v>
      </c>
      <c r="AJ9" s="145">
        <f>SUM('Հ7 Ձև2 (Loan 42008 Euro)'!AJ9*'Հ7 Ձև2 (Loan 42008 AMD)'!$B$20)</f>
        <v>0</v>
      </c>
      <c r="AK9" s="146">
        <f t="shared" ref="AK9:AK16" si="11">AL9+AM9</f>
        <v>6976300.625</v>
      </c>
      <c r="AL9" s="145">
        <f>SUM('Հ7 Ձև2 (Loan 42008 Euro)'!AL9*'Հ7 Ձև2 (Loan 42008 AMD)'!$B$20)</f>
        <v>6716583.125</v>
      </c>
      <c r="AM9" s="145">
        <f>SUM('Հ7 Ձև2 (Loan 42008 Euro)'!AM9*'Հ7 Ձև2 (Loan 42008 AMD)'!$B$20)</f>
        <v>259717.5</v>
      </c>
      <c r="AN9" s="146">
        <f t="shared" ref="AN9:AN16" si="12">AO9+AP9</f>
        <v>2548735.625</v>
      </c>
      <c r="AO9" s="145">
        <f>SUM('Հ7 Ձև2 (Loan 42008 Euro)'!AO9*'Հ7 Ձև2 (Loan 42008 AMD)'!$B$20)</f>
        <v>2375590.625</v>
      </c>
      <c r="AP9" s="145">
        <f>SUM('Հ7 Ձև2 (Loan 42008 Euro)'!AP9*'Հ7 Ձև2 (Loan 42008 AMD)'!$B$20)</f>
        <v>173145</v>
      </c>
      <c r="AQ9" s="146">
        <f t="shared" ref="AQ9:AQ16" si="13">AR9+AS9</f>
        <v>0</v>
      </c>
      <c r="AR9" s="145">
        <f>SUM('Հ7 Ձև2 (Loan 42008 Euro)'!AR9*'Հ7 Ձև2 (Loan 42008 AMD)'!$B$20)</f>
        <v>0</v>
      </c>
      <c r="AS9" s="145">
        <f>SUM('Հ7 Ձև2 (Loan 42008 Euro)'!AS9*'Հ7 Ձև2 (Loan 42008 AMD)'!$B$20)</f>
        <v>0</v>
      </c>
      <c r="AT9" s="146">
        <f t="shared" ref="AT9:AT16" si="14">AU9+AV9</f>
        <v>9525036.25</v>
      </c>
      <c r="AU9" s="145">
        <f t="shared" si="0"/>
        <v>9092173.75</v>
      </c>
      <c r="AV9" s="145">
        <f t="shared" si="0"/>
        <v>432862.5</v>
      </c>
      <c r="AW9" s="321"/>
      <c r="AX9" s="304"/>
      <c r="AY9" s="313"/>
    </row>
    <row r="10" spans="1:51" ht="82.5" hidden="1" customHeight="1" x14ac:dyDescent="0.25">
      <c r="B10" s="295"/>
      <c r="C10" s="269"/>
      <c r="D10" s="320"/>
      <c r="E10" s="212" t="s">
        <v>335</v>
      </c>
      <c r="F10" s="211" t="s">
        <v>328</v>
      </c>
      <c r="G10" s="146">
        <f>H10+I10</f>
        <v>208860760.91760004</v>
      </c>
      <c r="H10" s="145">
        <f>SUM('Հ7 Ձև2 (Loan 42008 Euro)'!H10*'Հ7 Ձև2 (Loan 42008 AMD)'!$B$20)</f>
        <v>174050634.09800002</v>
      </c>
      <c r="I10" s="145">
        <f>SUM('Հ7 Ձև2 (Loan 42008 Euro)'!I10*'Հ7 Ձև2 (Loan 42008 AMD)'!$B$20)</f>
        <v>34810126.819600001</v>
      </c>
      <c r="J10" s="146">
        <f t="shared" si="1"/>
        <v>0</v>
      </c>
      <c r="K10" s="145">
        <v>0</v>
      </c>
      <c r="L10" s="145">
        <v>0</v>
      </c>
      <c r="M10" s="146">
        <f t="shared" si="2"/>
        <v>0</v>
      </c>
      <c r="N10" s="145">
        <v>0</v>
      </c>
      <c r="O10" s="145">
        <v>0</v>
      </c>
      <c r="P10" s="146">
        <f t="shared" si="3"/>
        <v>7569180</v>
      </c>
      <c r="Q10" s="145">
        <f>+'Հ7 Ձև2 (Loan 42008 Euro)'!Q10*420.51</f>
        <v>7569180</v>
      </c>
      <c r="R10" s="145">
        <v>0</v>
      </c>
      <c r="S10" s="146">
        <f t="shared" si="4"/>
        <v>201291580.91760004</v>
      </c>
      <c r="T10" s="145">
        <f t="shared" si="5"/>
        <v>166481454.09800002</v>
      </c>
      <c r="U10" s="145">
        <f t="shared" si="5"/>
        <v>34810126.819600001</v>
      </c>
      <c r="V10" s="146">
        <f>W10+X10</f>
        <v>38100145</v>
      </c>
      <c r="W10" s="145">
        <f>SUM('Հ7 Ձև2 (Loan 42008 Euro)'!W10*'Հ7 Ձև2 (Loan 42008 AMD)'!$B$20)</f>
        <v>36368695</v>
      </c>
      <c r="X10" s="145">
        <f>SUM('Հ7 Ձև2 (Loan 42008 Euro)'!X10*'Հ7 Ձև2 (Loan 42008 AMD)'!$B$20)</f>
        <v>1731450</v>
      </c>
      <c r="Y10" s="146">
        <f t="shared" si="6"/>
        <v>39106035</v>
      </c>
      <c r="Z10" s="145">
        <f>SUM('Հ7 Ձև2 (Loan 42008 Euro)'!Z10*'Հ7 Ձև2 (Loan 42008 AMD)'!$B$20)</f>
        <v>29904615</v>
      </c>
      <c r="AA10" s="145">
        <f>SUM('Հ7 Ձև2 (Loan 42008 Euro)'!AA10*'Հ7 Ձև2 (Loan 42008 AMD)'!$B$20)</f>
        <v>9201420</v>
      </c>
      <c r="AB10" s="146">
        <f t="shared" si="7"/>
        <v>124085400.91760002</v>
      </c>
      <c r="AC10" s="145">
        <f t="shared" si="8"/>
        <v>100208144.09800002</v>
      </c>
      <c r="AD10" s="145">
        <f t="shared" si="8"/>
        <v>23877256.819600001</v>
      </c>
      <c r="AE10" s="146">
        <f t="shared" si="9"/>
        <v>21031436.952</v>
      </c>
      <c r="AF10" s="145">
        <v>17526197.460000001</v>
      </c>
      <c r="AG10" s="145">
        <v>3505239.4920000006</v>
      </c>
      <c r="AH10" s="146">
        <f t="shared" si="10"/>
        <v>0</v>
      </c>
      <c r="AI10" s="145">
        <f>SUM('Հ7 Ձև2 (Loan 42008 Euro)'!AI10*'Հ7 Ձև2 (Loan 42008 AMD)'!$B$20)</f>
        <v>0</v>
      </c>
      <c r="AJ10" s="145">
        <f>SUM('Հ7 Ձև2 (Loan 42008 Euro)'!AJ10*'Հ7 Ձև2 (Loan 42008 AMD)'!$B$20)</f>
        <v>0</v>
      </c>
      <c r="AK10" s="146">
        <f t="shared" si="11"/>
        <v>27905202.5</v>
      </c>
      <c r="AL10" s="145">
        <f>SUM('Հ7 Ձև2 (Loan 42008 Euro)'!AL10*'Հ7 Ձև2 (Loan 42008 AMD)'!$B$20)</f>
        <v>26866332.5</v>
      </c>
      <c r="AM10" s="145">
        <f>SUM('Հ7 Ձև2 (Loan 42008 Euro)'!AM10*'Հ7 Ձև2 (Loan 42008 AMD)'!$B$20)</f>
        <v>1038870</v>
      </c>
      <c r="AN10" s="146">
        <f t="shared" si="12"/>
        <v>10194942.5</v>
      </c>
      <c r="AO10" s="145">
        <f>SUM('Հ7 Ձև2 (Loan 42008 Euro)'!AO10*'Հ7 Ձև2 (Loan 42008 AMD)'!$B$20)</f>
        <v>9502362.5</v>
      </c>
      <c r="AP10" s="145">
        <f>SUM('Հ7 Ձև2 (Loan 42008 Euro)'!AP10*'Հ7 Ձև2 (Loan 42008 AMD)'!$B$20)</f>
        <v>692580</v>
      </c>
      <c r="AQ10" s="146">
        <f t="shared" si="13"/>
        <v>0</v>
      </c>
      <c r="AR10" s="145">
        <f>SUM('Հ7 Ձև2 (Loan 42008 Euro)'!AR10*'Հ7 Ձև2 (Loan 42008 AMD)'!$B$20)</f>
        <v>0</v>
      </c>
      <c r="AS10" s="145">
        <f>SUM('Հ7 Ձև2 (Loan 42008 Euro)'!AS10*'Հ7 Ձև2 (Loan 42008 AMD)'!$B$20)</f>
        <v>0</v>
      </c>
      <c r="AT10" s="146">
        <f t="shared" si="14"/>
        <v>38100145</v>
      </c>
      <c r="AU10" s="145">
        <f t="shared" si="0"/>
        <v>36368695</v>
      </c>
      <c r="AV10" s="145">
        <f t="shared" si="0"/>
        <v>1731450</v>
      </c>
      <c r="AW10" s="302"/>
      <c r="AX10" s="311"/>
      <c r="AY10" s="314"/>
    </row>
    <row r="11" spans="1:51" ht="266.25" customHeight="1" x14ac:dyDescent="0.25">
      <c r="B11" s="215">
        <v>1167</v>
      </c>
      <c r="C11" s="14">
        <v>42008</v>
      </c>
      <c r="D11" s="16" t="s">
        <v>334</v>
      </c>
      <c r="E11" s="16"/>
      <c r="F11" s="16"/>
      <c r="G11" s="146">
        <f t="shared" ref="G11:G16" si="15">H11+I11</f>
        <v>263774040</v>
      </c>
      <c r="H11" s="145">
        <f>SUM('Հ7 Ձև2 (Loan 42008 Euro)'!H11*'Հ7 Ձև2 (Loan 42008 AMD)'!$B$20)</f>
        <v>219811700</v>
      </c>
      <c r="I11" s="145">
        <f>SUM('Հ7 Ձև2 (Loan 42008 Euro)'!I11*'Հ7 Ձև2 (Loan 42008 AMD)'!$B$20)</f>
        <v>43962340</v>
      </c>
      <c r="J11" s="146">
        <f t="shared" si="1"/>
        <v>764405.65668675001</v>
      </c>
      <c r="K11" s="145">
        <v>611571.51240939996</v>
      </c>
      <c r="L11" s="145">
        <v>152834.14427735002</v>
      </c>
      <c r="M11" s="146">
        <f t="shared" si="2"/>
        <v>64559.297518249994</v>
      </c>
      <c r="N11" s="145">
        <v>51588.072616999998</v>
      </c>
      <c r="O11" s="145">
        <v>12971.22490125</v>
      </c>
      <c r="P11" s="146">
        <f t="shared" si="3"/>
        <v>31400151.899999999</v>
      </c>
      <c r="Q11" s="145">
        <v>31370167.699999999</v>
      </c>
      <c r="R11" s="145">
        <v>29984.2</v>
      </c>
      <c r="S11" s="146">
        <f t="shared" si="4"/>
        <v>231544923.14579502</v>
      </c>
      <c r="T11" s="145">
        <f>SUM(H11-K11-N11-Q11)</f>
        <v>187778372.71497363</v>
      </c>
      <c r="U11" s="145">
        <f>SUM(I11-L11-O11-R11)</f>
        <v>43766550.430821396</v>
      </c>
      <c r="V11" s="146">
        <f t="shared" ref="V11:V16" si="16">W11+X11</f>
        <v>47769468.75</v>
      </c>
      <c r="W11" s="145">
        <f>SUM('Հ7 Ձև2 (Loan 42008 Euro)'!W11*'Հ7 Ձև2 (Loan 42008 AMD)'!$B$20)</f>
        <v>45576298.75</v>
      </c>
      <c r="X11" s="145">
        <f>SUM('Հ7 Ձև2 (Loan 42008 Euro)'!X11*'Հ7 Ձև2 (Loan 42008 AMD)'!$B$20)</f>
        <v>2193170</v>
      </c>
      <c r="Y11" s="146">
        <f t="shared" si="6"/>
        <v>49037137.5</v>
      </c>
      <c r="Z11" s="145">
        <f>SUM('Հ7 Ձև2 (Loan 42008 Euro)'!Z11*'Հ7 Ձև2 (Loan 42008 AMD)'!$B$20)</f>
        <v>37504443.75</v>
      </c>
      <c r="AA11" s="145">
        <f>SUM('Հ7 Ձև2 (Loan 42008 Euro)'!AA11*'Հ7 Ձև2 (Loan 42008 AMD)'!$B$20)</f>
        <v>11532693.75</v>
      </c>
      <c r="AB11" s="146">
        <f t="shared" si="7"/>
        <v>134738316.89579502</v>
      </c>
      <c r="AC11" s="145">
        <f t="shared" si="8"/>
        <v>104697630.21497363</v>
      </c>
      <c r="AD11" s="145">
        <f t="shared" si="8"/>
        <v>30040686.680821396</v>
      </c>
      <c r="AE11" s="146">
        <f t="shared" si="9"/>
        <v>26482268.320711546</v>
      </c>
      <c r="AF11" s="145">
        <v>22062124.529569238</v>
      </c>
      <c r="AG11" s="145">
        <v>4420143.7911423091</v>
      </c>
      <c r="AH11" s="146">
        <f t="shared" si="10"/>
        <v>36071.875</v>
      </c>
      <c r="AI11" s="145">
        <v>28857.5</v>
      </c>
      <c r="AJ11" s="145">
        <v>7214.375</v>
      </c>
      <c r="AK11" s="146">
        <f t="shared" si="11"/>
        <v>34917575</v>
      </c>
      <c r="AL11" s="145">
        <v>33611773.125</v>
      </c>
      <c r="AM11" s="145">
        <v>1305801.875</v>
      </c>
      <c r="AN11" s="146">
        <f t="shared" si="12"/>
        <v>12779750</v>
      </c>
      <c r="AO11" s="145">
        <v>11906810.625</v>
      </c>
      <c r="AP11" s="145">
        <v>872939.375</v>
      </c>
      <c r="AQ11" s="146">
        <f t="shared" si="13"/>
        <v>36071.875</v>
      </c>
      <c r="AR11" s="145">
        <v>28857.5</v>
      </c>
      <c r="AS11" s="145">
        <v>7214.375</v>
      </c>
      <c r="AT11" s="146">
        <f t="shared" si="14"/>
        <v>47769468.75</v>
      </c>
      <c r="AU11" s="145">
        <f>SUM(AU8:AU10)</f>
        <v>45576298.75</v>
      </c>
      <c r="AV11" s="145">
        <f>SUM(AV8:AV10)</f>
        <v>2193170</v>
      </c>
      <c r="AW11" s="213" t="s">
        <v>336</v>
      </c>
      <c r="AX11" s="214" t="s">
        <v>337</v>
      </c>
      <c r="AY11" s="45" t="s">
        <v>342</v>
      </c>
    </row>
    <row r="12" spans="1:51" hidden="1" x14ac:dyDescent="0.25">
      <c r="B12" s="52"/>
      <c r="C12" s="16"/>
      <c r="D12" s="16"/>
      <c r="E12" s="16"/>
      <c r="F12" s="16"/>
      <c r="G12" s="146">
        <f t="shared" si="15"/>
        <v>0</v>
      </c>
      <c r="H12" s="145"/>
      <c r="I12" s="145"/>
      <c r="J12" s="146">
        <f t="shared" si="1"/>
        <v>0</v>
      </c>
      <c r="K12" s="145"/>
      <c r="L12" s="145"/>
      <c r="M12" s="146">
        <f t="shared" si="2"/>
        <v>0</v>
      </c>
      <c r="N12" s="145"/>
      <c r="O12" s="145"/>
      <c r="P12" s="146">
        <f t="shared" si="3"/>
        <v>0</v>
      </c>
      <c r="Q12" s="145"/>
      <c r="R12" s="145"/>
      <c r="S12" s="146">
        <f t="shared" si="4"/>
        <v>0</v>
      </c>
      <c r="T12" s="145"/>
      <c r="U12" s="145"/>
      <c r="V12" s="146">
        <f t="shared" si="16"/>
        <v>0</v>
      </c>
      <c r="W12" s="145"/>
      <c r="X12" s="145"/>
      <c r="Y12" s="146">
        <f t="shared" si="6"/>
        <v>0</v>
      </c>
      <c r="Z12" s="145"/>
      <c r="AA12" s="145"/>
      <c r="AB12" s="146">
        <f t="shared" si="7"/>
        <v>0</v>
      </c>
      <c r="AC12" s="145"/>
      <c r="AD12" s="145"/>
      <c r="AE12" s="146">
        <f t="shared" si="9"/>
        <v>0</v>
      </c>
      <c r="AF12" s="145"/>
      <c r="AG12" s="145"/>
      <c r="AH12" s="146">
        <f t="shared" si="10"/>
        <v>0</v>
      </c>
      <c r="AI12" s="145"/>
      <c r="AJ12" s="145"/>
      <c r="AK12" s="146">
        <f t="shared" si="11"/>
        <v>0</v>
      </c>
      <c r="AL12" s="145"/>
      <c r="AM12" s="145"/>
      <c r="AN12" s="146">
        <f t="shared" si="12"/>
        <v>0</v>
      </c>
      <c r="AO12" s="145"/>
      <c r="AP12" s="145"/>
      <c r="AQ12" s="146">
        <f t="shared" si="13"/>
        <v>0</v>
      </c>
      <c r="AR12" s="145"/>
      <c r="AS12" s="145"/>
      <c r="AT12" s="146">
        <f t="shared" si="14"/>
        <v>0</v>
      </c>
      <c r="AU12" s="145"/>
      <c r="AV12" s="145"/>
      <c r="AW12" s="50"/>
      <c r="AX12" s="22"/>
      <c r="AY12" s="45"/>
    </row>
    <row r="13" spans="1:51" hidden="1" x14ac:dyDescent="0.25">
      <c r="B13" s="52"/>
      <c r="C13" s="16"/>
      <c r="D13" s="16"/>
      <c r="E13" s="16"/>
      <c r="F13" s="16"/>
      <c r="G13" s="146">
        <f t="shared" si="15"/>
        <v>0</v>
      </c>
      <c r="H13" s="145"/>
      <c r="I13" s="145"/>
      <c r="J13" s="146">
        <f t="shared" si="1"/>
        <v>0</v>
      </c>
      <c r="K13" s="145"/>
      <c r="L13" s="145"/>
      <c r="M13" s="146">
        <f t="shared" si="2"/>
        <v>0</v>
      </c>
      <c r="N13" s="145"/>
      <c r="O13" s="145"/>
      <c r="P13" s="146">
        <f t="shared" si="3"/>
        <v>0</v>
      </c>
      <c r="Q13" s="145"/>
      <c r="R13" s="145"/>
      <c r="S13" s="146">
        <f t="shared" si="4"/>
        <v>0</v>
      </c>
      <c r="T13" s="145"/>
      <c r="U13" s="145"/>
      <c r="V13" s="146">
        <f t="shared" si="16"/>
        <v>0</v>
      </c>
      <c r="W13" s="145"/>
      <c r="X13" s="145"/>
      <c r="Y13" s="146">
        <f t="shared" si="6"/>
        <v>0</v>
      </c>
      <c r="Z13" s="145"/>
      <c r="AA13" s="145"/>
      <c r="AB13" s="146">
        <f t="shared" si="7"/>
        <v>0</v>
      </c>
      <c r="AC13" s="145"/>
      <c r="AD13" s="145"/>
      <c r="AE13" s="146">
        <f t="shared" si="9"/>
        <v>0</v>
      </c>
      <c r="AF13" s="145"/>
      <c r="AG13" s="145"/>
      <c r="AH13" s="146">
        <f t="shared" si="10"/>
        <v>0</v>
      </c>
      <c r="AI13" s="145"/>
      <c r="AJ13" s="145"/>
      <c r="AK13" s="146">
        <f t="shared" si="11"/>
        <v>0</v>
      </c>
      <c r="AL13" s="145"/>
      <c r="AM13" s="145"/>
      <c r="AN13" s="146">
        <f t="shared" si="12"/>
        <v>0</v>
      </c>
      <c r="AO13" s="145"/>
      <c r="AP13" s="145"/>
      <c r="AQ13" s="146">
        <f t="shared" si="13"/>
        <v>0</v>
      </c>
      <c r="AR13" s="145"/>
      <c r="AS13" s="145"/>
      <c r="AT13" s="146">
        <f t="shared" si="14"/>
        <v>0</v>
      </c>
      <c r="AU13" s="145"/>
      <c r="AV13" s="145"/>
      <c r="AW13" s="50"/>
      <c r="AX13" s="22"/>
      <c r="AY13" s="45"/>
    </row>
    <row r="14" spans="1:51" hidden="1" x14ac:dyDescent="0.25">
      <c r="B14" s="52"/>
      <c r="C14" s="16"/>
      <c r="D14" s="16"/>
      <c r="E14" s="16"/>
      <c r="F14" s="16"/>
      <c r="G14" s="146">
        <f t="shared" si="15"/>
        <v>0</v>
      </c>
      <c r="H14" s="145"/>
      <c r="I14" s="145"/>
      <c r="J14" s="146">
        <f t="shared" si="1"/>
        <v>0</v>
      </c>
      <c r="K14" s="145"/>
      <c r="L14" s="145"/>
      <c r="M14" s="146">
        <f t="shared" si="2"/>
        <v>0</v>
      </c>
      <c r="N14" s="145"/>
      <c r="O14" s="145"/>
      <c r="P14" s="146">
        <f t="shared" si="3"/>
        <v>0</v>
      </c>
      <c r="Q14" s="145"/>
      <c r="R14" s="145"/>
      <c r="S14" s="146">
        <f t="shared" si="4"/>
        <v>0</v>
      </c>
      <c r="T14" s="145"/>
      <c r="U14" s="145"/>
      <c r="V14" s="146">
        <f t="shared" si="16"/>
        <v>0</v>
      </c>
      <c r="W14" s="145"/>
      <c r="X14" s="145"/>
      <c r="Y14" s="146">
        <f t="shared" si="6"/>
        <v>0</v>
      </c>
      <c r="Z14" s="145"/>
      <c r="AA14" s="145"/>
      <c r="AB14" s="146">
        <f t="shared" si="7"/>
        <v>0</v>
      </c>
      <c r="AC14" s="145"/>
      <c r="AD14" s="145"/>
      <c r="AE14" s="146">
        <f t="shared" si="9"/>
        <v>0</v>
      </c>
      <c r="AF14" s="145"/>
      <c r="AG14" s="145"/>
      <c r="AH14" s="146">
        <f t="shared" si="10"/>
        <v>0</v>
      </c>
      <c r="AI14" s="145"/>
      <c r="AJ14" s="145"/>
      <c r="AK14" s="146">
        <f t="shared" si="11"/>
        <v>0</v>
      </c>
      <c r="AL14" s="145"/>
      <c r="AM14" s="145"/>
      <c r="AN14" s="146">
        <f t="shared" si="12"/>
        <v>0</v>
      </c>
      <c r="AO14" s="145"/>
      <c r="AP14" s="145"/>
      <c r="AQ14" s="146">
        <f t="shared" si="13"/>
        <v>0</v>
      </c>
      <c r="AR14" s="145"/>
      <c r="AS14" s="145"/>
      <c r="AT14" s="146">
        <f t="shared" si="14"/>
        <v>0</v>
      </c>
      <c r="AU14" s="145"/>
      <c r="AV14" s="145"/>
      <c r="AW14" s="50"/>
      <c r="AX14" s="22"/>
      <c r="AY14" s="45"/>
    </row>
    <row r="15" spans="1:51" hidden="1" x14ac:dyDescent="0.25">
      <c r="B15" s="52"/>
      <c r="C15" s="16"/>
      <c r="D15" s="16"/>
      <c r="E15" s="16"/>
      <c r="F15" s="16"/>
      <c r="G15" s="146">
        <f t="shared" si="15"/>
        <v>0</v>
      </c>
      <c r="H15" s="145"/>
      <c r="I15" s="145"/>
      <c r="J15" s="146">
        <f t="shared" si="1"/>
        <v>0</v>
      </c>
      <c r="K15" s="145"/>
      <c r="L15" s="145"/>
      <c r="M15" s="146">
        <f t="shared" si="2"/>
        <v>0</v>
      </c>
      <c r="N15" s="145"/>
      <c r="O15" s="145"/>
      <c r="P15" s="146">
        <f t="shared" si="3"/>
        <v>0</v>
      </c>
      <c r="Q15" s="145"/>
      <c r="R15" s="145"/>
      <c r="S15" s="146">
        <f t="shared" si="4"/>
        <v>0</v>
      </c>
      <c r="T15" s="145"/>
      <c r="U15" s="145"/>
      <c r="V15" s="146">
        <f t="shared" si="16"/>
        <v>0</v>
      </c>
      <c r="W15" s="145"/>
      <c r="X15" s="145"/>
      <c r="Y15" s="146">
        <f t="shared" si="6"/>
        <v>0</v>
      </c>
      <c r="Z15" s="145"/>
      <c r="AA15" s="145"/>
      <c r="AB15" s="146">
        <f t="shared" si="7"/>
        <v>0</v>
      </c>
      <c r="AC15" s="145"/>
      <c r="AD15" s="145"/>
      <c r="AE15" s="146">
        <f t="shared" si="9"/>
        <v>0</v>
      </c>
      <c r="AF15" s="145"/>
      <c r="AG15" s="145"/>
      <c r="AH15" s="146">
        <f t="shared" si="10"/>
        <v>0</v>
      </c>
      <c r="AI15" s="145"/>
      <c r="AJ15" s="145"/>
      <c r="AK15" s="146">
        <f t="shared" si="11"/>
        <v>0</v>
      </c>
      <c r="AL15" s="145"/>
      <c r="AM15" s="145"/>
      <c r="AN15" s="146">
        <f t="shared" si="12"/>
        <v>0</v>
      </c>
      <c r="AO15" s="145"/>
      <c r="AP15" s="145"/>
      <c r="AQ15" s="146">
        <f t="shared" si="13"/>
        <v>0</v>
      </c>
      <c r="AR15" s="145"/>
      <c r="AS15" s="145"/>
      <c r="AT15" s="146">
        <f t="shared" si="14"/>
        <v>0</v>
      </c>
      <c r="AU15" s="145"/>
      <c r="AV15" s="145"/>
      <c r="AW15" s="50"/>
      <c r="AX15" s="22"/>
      <c r="AY15" s="45"/>
    </row>
    <row r="16" spans="1:51" hidden="1" x14ac:dyDescent="0.25">
      <c r="B16" s="53"/>
      <c r="C16" s="30"/>
      <c r="D16" s="30"/>
      <c r="E16" s="30"/>
      <c r="F16" s="30"/>
      <c r="G16" s="146">
        <f t="shared" si="15"/>
        <v>0</v>
      </c>
      <c r="H16" s="145"/>
      <c r="I16" s="145"/>
      <c r="J16" s="146">
        <f t="shared" si="1"/>
        <v>0</v>
      </c>
      <c r="K16" s="145"/>
      <c r="L16" s="145"/>
      <c r="M16" s="146">
        <f t="shared" si="2"/>
        <v>0</v>
      </c>
      <c r="N16" s="145"/>
      <c r="O16" s="145"/>
      <c r="P16" s="146">
        <f t="shared" si="3"/>
        <v>0</v>
      </c>
      <c r="Q16" s="145"/>
      <c r="R16" s="145"/>
      <c r="S16" s="146">
        <f t="shared" si="4"/>
        <v>0</v>
      </c>
      <c r="T16" s="145"/>
      <c r="U16" s="145"/>
      <c r="V16" s="146">
        <f t="shared" si="16"/>
        <v>0</v>
      </c>
      <c r="W16" s="145"/>
      <c r="X16" s="145"/>
      <c r="Y16" s="146">
        <f t="shared" si="6"/>
        <v>0</v>
      </c>
      <c r="Z16" s="145"/>
      <c r="AA16" s="145"/>
      <c r="AB16" s="146">
        <f t="shared" si="7"/>
        <v>0</v>
      </c>
      <c r="AC16" s="145"/>
      <c r="AD16" s="145"/>
      <c r="AE16" s="146">
        <f t="shared" si="9"/>
        <v>0</v>
      </c>
      <c r="AF16" s="145"/>
      <c r="AG16" s="145"/>
      <c r="AH16" s="146">
        <f t="shared" si="10"/>
        <v>0</v>
      </c>
      <c r="AI16" s="145"/>
      <c r="AJ16" s="145"/>
      <c r="AK16" s="146">
        <f t="shared" si="11"/>
        <v>0</v>
      </c>
      <c r="AL16" s="145"/>
      <c r="AM16" s="145"/>
      <c r="AN16" s="146">
        <f t="shared" si="12"/>
        <v>0</v>
      </c>
      <c r="AO16" s="145"/>
      <c r="AP16" s="145"/>
      <c r="AQ16" s="146">
        <f t="shared" si="13"/>
        <v>0</v>
      </c>
      <c r="AR16" s="145"/>
      <c r="AS16" s="145"/>
      <c r="AT16" s="146">
        <f t="shared" si="14"/>
        <v>0</v>
      </c>
      <c r="AU16" s="145"/>
      <c r="AV16" s="145"/>
      <c r="AW16" s="50"/>
      <c r="AX16" s="22"/>
      <c r="AY16" s="45"/>
    </row>
    <row r="17" spans="1:51" ht="17.25" customHeight="1" thickBot="1" x14ac:dyDescent="0.3">
      <c r="A17" s="28"/>
      <c r="B17" s="315" t="s">
        <v>12</v>
      </c>
      <c r="C17" s="316"/>
      <c r="D17" s="317"/>
      <c r="E17" s="138"/>
      <c r="F17" s="138"/>
      <c r="G17" s="147">
        <f>H17+I17</f>
        <v>263774040</v>
      </c>
      <c r="H17" s="147">
        <f>SUM(H11)</f>
        <v>219811700</v>
      </c>
      <c r="I17" s="147">
        <f>SUM(I11)</f>
        <v>43962340</v>
      </c>
      <c r="J17" s="147">
        <f>K17+L17</f>
        <v>764405.65668675001</v>
      </c>
      <c r="K17" s="147">
        <f>SUM(K11)</f>
        <v>611571.51240939996</v>
      </c>
      <c r="L17" s="147">
        <f>SUM(L11)</f>
        <v>152834.14427735002</v>
      </c>
      <c r="M17" s="147">
        <f>N17+O17</f>
        <v>64559.297518249994</v>
      </c>
      <c r="N17" s="147">
        <f>SUM(N11)</f>
        <v>51588.072616999998</v>
      </c>
      <c r="O17" s="147">
        <f>SUM(O11)</f>
        <v>12971.22490125</v>
      </c>
      <c r="P17" s="147">
        <f>Q17+R17</f>
        <v>31400151.899999999</v>
      </c>
      <c r="Q17" s="147">
        <f>SUM(Q11)</f>
        <v>31370167.699999999</v>
      </c>
      <c r="R17" s="147">
        <f>SUM(R11)</f>
        <v>29984.2</v>
      </c>
      <c r="S17" s="147">
        <f>T17+U17</f>
        <v>231544923.14579502</v>
      </c>
      <c r="T17" s="147">
        <f>SUM(T11)</f>
        <v>187778372.71497363</v>
      </c>
      <c r="U17" s="147">
        <f>SUM(U11)</f>
        <v>43766550.430821396</v>
      </c>
      <c r="V17" s="147">
        <f>W17+X17</f>
        <v>47769468.75</v>
      </c>
      <c r="W17" s="147">
        <f>SUM(W11)</f>
        <v>45576298.75</v>
      </c>
      <c r="X17" s="147">
        <f>SUM(X11)</f>
        <v>2193170</v>
      </c>
      <c r="Y17" s="147">
        <f>Z17+AA17</f>
        <v>49037137.5</v>
      </c>
      <c r="Z17" s="147">
        <f>SUM(Z11)</f>
        <v>37504443.75</v>
      </c>
      <c r="AA17" s="147">
        <f>SUM(AA11)</f>
        <v>11532693.75</v>
      </c>
      <c r="AB17" s="147">
        <f>AC17+AD17</f>
        <v>134738316.89579502</v>
      </c>
      <c r="AC17" s="147">
        <f>SUM(AC11)</f>
        <v>104697630.21497363</v>
      </c>
      <c r="AD17" s="147">
        <f>SUM(AD11)</f>
        <v>30040686.680821396</v>
      </c>
      <c r="AE17" s="147">
        <f>AF17+AG17</f>
        <v>26482268.320711546</v>
      </c>
      <c r="AF17" s="147">
        <f>SUM(AF11)</f>
        <v>22062124.529569238</v>
      </c>
      <c r="AG17" s="147">
        <f>SUM(AG11)</f>
        <v>4420143.7911423091</v>
      </c>
      <c r="AH17" s="147">
        <f>AI17+AJ17</f>
        <v>36071.875</v>
      </c>
      <c r="AI17" s="147">
        <f>SUM(AI11)</f>
        <v>28857.5</v>
      </c>
      <c r="AJ17" s="147">
        <f>SUM(AJ11)</f>
        <v>7214.375</v>
      </c>
      <c r="AK17" s="147">
        <f>AL17+AM17</f>
        <v>34917575</v>
      </c>
      <c r="AL17" s="147">
        <f>SUM(AL11)</f>
        <v>33611773.125</v>
      </c>
      <c r="AM17" s="147">
        <f>SUM(AM11)</f>
        <v>1305801.875</v>
      </c>
      <c r="AN17" s="147">
        <f>AO17+AP17</f>
        <v>12779750</v>
      </c>
      <c r="AO17" s="147">
        <f>SUM(AO11)</f>
        <v>11906810.625</v>
      </c>
      <c r="AP17" s="147">
        <f>SUM(AP11)</f>
        <v>872939.375</v>
      </c>
      <c r="AQ17" s="147">
        <f>AR17+AS17</f>
        <v>36071.875</v>
      </c>
      <c r="AR17" s="147">
        <f>SUM(AR11)</f>
        <v>28857.5</v>
      </c>
      <c r="AS17" s="147">
        <f>SUM(AS11)</f>
        <v>7214.375</v>
      </c>
      <c r="AT17" s="147">
        <f>AU17+AV17</f>
        <v>47769468.75</v>
      </c>
      <c r="AU17" s="147">
        <f>SUM(AU11)</f>
        <v>45576298.75</v>
      </c>
      <c r="AV17" s="147">
        <f>SUM(AV11)</f>
        <v>2193170</v>
      </c>
      <c r="AW17" s="47" t="s">
        <v>44</v>
      </c>
      <c r="AX17" s="48" t="s">
        <v>44</v>
      </c>
      <c r="AY17" s="49" t="s">
        <v>44</v>
      </c>
    </row>
    <row r="20" spans="1:51" x14ac:dyDescent="0.25">
      <c r="B20">
        <v>412.25</v>
      </c>
    </row>
    <row r="23" spans="1:51" x14ac:dyDescent="0.25">
      <c r="E23" s="206"/>
    </row>
    <row r="25" spans="1:51" x14ac:dyDescent="0.25">
      <c r="E25" s="206"/>
    </row>
    <row r="26" spans="1:51" x14ac:dyDescent="0.25">
      <c r="E26" s="144"/>
    </row>
  </sheetData>
  <mergeCells count="32">
    <mergeCell ref="B17:D17"/>
    <mergeCell ref="B8:B10"/>
    <mergeCell ref="C8:C10"/>
    <mergeCell ref="D8:D10"/>
    <mergeCell ref="AW8:AW10"/>
    <mergeCell ref="AX8:AX10"/>
    <mergeCell ref="AY8:AY10"/>
    <mergeCell ref="AY5:AY7"/>
    <mergeCell ref="V6:X6"/>
    <mergeCell ref="Y6:AA6"/>
    <mergeCell ref="AB6:AD6"/>
    <mergeCell ref="AH6:AJ6"/>
    <mergeCell ref="AK6:AM6"/>
    <mergeCell ref="AN6:AP6"/>
    <mergeCell ref="AQ6:AS6"/>
    <mergeCell ref="AT6:AV6"/>
    <mergeCell ref="AX5:AX7"/>
    <mergeCell ref="A4:U4"/>
    <mergeCell ref="AW4:AY4"/>
    <mergeCell ref="B5:C6"/>
    <mergeCell ref="D5:D7"/>
    <mergeCell ref="E5:E7"/>
    <mergeCell ref="F5:F7"/>
    <mergeCell ref="G5:I6"/>
    <mergeCell ref="J5:L6"/>
    <mergeCell ref="M5:O6"/>
    <mergeCell ref="P5:R6"/>
    <mergeCell ref="S5:U6"/>
    <mergeCell ref="V5:AD5"/>
    <mergeCell ref="AE5:AG6"/>
    <mergeCell ref="AH5:AV5"/>
    <mergeCell ref="AW5:AW7"/>
  </mergeCells>
  <dataValidations count="1">
    <dataValidation type="list" allowBlank="1" showInputMessage="1" showErrorMessage="1" sqref="E8:E10" xr:uid="{CEEB8899-4A89-427A-B29D-3476C3DB2BED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9"/>
  <sheetViews>
    <sheetView zoomScale="85" zoomScaleNormal="85" workbookViewId="0">
      <selection activeCell="T8" activeCellId="2" sqref="Z8 W8 T8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35.28515625" customWidth="1"/>
    <col min="5" max="5" width="14.85546875" customWidth="1"/>
    <col min="6" max="7" width="13.85546875" customWidth="1"/>
    <col min="8" max="10" width="8.7109375" customWidth="1"/>
    <col min="11" max="13" width="7.42578125" customWidth="1"/>
    <col min="14" max="14" width="13.42578125" customWidth="1"/>
    <col min="15" max="15" width="13.5703125" bestFit="1" customWidth="1"/>
    <col min="16" max="16" width="8.28515625" customWidth="1"/>
    <col min="17" max="17" width="13.5703125" bestFit="1" customWidth="1"/>
    <col min="18" max="18" width="14" bestFit="1" customWidth="1"/>
    <col min="19" max="19" width="14" customWidth="1"/>
    <col min="20" max="22" width="13.42578125" customWidth="1"/>
    <col min="23" max="23" width="12.7109375" bestFit="1" customWidth="1"/>
    <col min="24" max="24" width="12.85546875" bestFit="1" customWidth="1"/>
    <col min="25" max="25" width="12.28515625" customWidth="1"/>
    <col min="26" max="26" width="14.140625" customWidth="1"/>
    <col min="27" max="27" width="13.140625" customWidth="1"/>
    <col min="28" max="28" width="13.7109375" customWidth="1"/>
    <col min="29" max="31" width="14.5703125" customWidth="1"/>
    <col min="32" max="32" width="9.42578125" bestFit="1" customWidth="1"/>
    <col min="33" max="33" width="9.7109375" bestFit="1" customWidth="1"/>
    <col min="34" max="34" width="9.28515625" bestFit="1" customWidth="1"/>
    <col min="35" max="35" width="9.42578125" bestFit="1" customWidth="1"/>
    <col min="36" max="36" width="9.7109375" bestFit="1" customWidth="1"/>
    <col min="37" max="37" width="9.28515625" bestFit="1" customWidth="1"/>
    <col min="38" max="38" width="11.7109375" bestFit="1" customWidth="1"/>
    <col min="39" max="39" width="11.5703125" bestFit="1" customWidth="1"/>
    <col min="40" max="40" width="11.42578125" bestFit="1" customWidth="1"/>
    <col min="41" max="41" width="11.5703125" bestFit="1" customWidth="1"/>
    <col min="42" max="42" width="14.42578125" customWidth="1"/>
    <col min="43" max="43" width="10.28515625" bestFit="1" customWidth="1"/>
    <col min="44" max="44" width="12.42578125" bestFit="1" customWidth="1"/>
    <col min="45" max="45" width="12.85546875" bestFit="1" customWidth="1"/>
    <col min="46" max="46" width="12.7109375" customWidth="1"/>
    <col min="48" max="48" width="16.42578125" customWidth="1"/>
    <col min="49" max="49" width="53.28515625" customWidth="1"/>
  </cols>
  <sheetData>
    <row r="1" spans="1:49" ht="17.25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49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49" s="56" customFormat="1" ht="17.25" x14ac:dyDescent="0.25">
      <c r="A3" s="64" t="s">
        <v>134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1:49" ht="15.75" thickBot="1" x14ac:dyDescent="0.3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</row>
    <row r="5" spans="1:49" ht="15" customHeight="1" x14ac:dyDescent="0.25">
      <c r="B5" s="307" t="s">
        <v>8</v>
      </c>
      <c r="C5" s="279"/>
      <c r="D5" s="279" t="s">
        <v>51</v>
      </c>
      <c r="E5" s="279" t="s">
        <v>258</v>
      </c>
      <c r="F5" s="279"/>
      <c r="G5" s="279"/>
      <c r="H5" s="279" t="s">
        <v>143</v>
      </c>
      <c r="I5" s="279"/>
      <c r="J5" s="279"/>
      <c r="K5" s="279" t="s">
        <v>144</v>
      </c>
      <c r="L5" s="279"/>
      <c r="M5" s="279"/>
      <c r="N5" s="279" t="s">
        <v>145</v>
      </c>
      <c r="O5" s="279"/>
      <c r="P5" s="279"/>
      <c r="Q5" s="279" t="s">
        <v>22</v>
      </c>
      <c r="R5" s="279"/>
      <c r="S5" s="279"/>
      <c r="T5" s="279" t="s">
        <v>16</v>
      </c>
      <c r="U5" s="279"/>
      <c r="V5" s="279"/>
      <c r="W5" s="279"/>
      <c r="X5" s="279"/>
      <c r="Y5" s="279"/>
      <c r="Z5" s="279"/>
      <c r="AA5" s="279"/>
      <c r="AB5" s="280"/>
      <c r="AC5" s="326" t="s">
        <v>262</v>
      </c>
      <c r="AD5" s="327"/>
      <c r="AE5" s="327"/>
      <c r="AF5" s="282" t="s">
        <v>148</v>
      </c>
      <c r="AG5" s="282"/>
      <c r="AH5" s="282"/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4"/>
      <c r="AU5" s="285" t="s">
        <v>28</v>
      </c>
      <c r="AV5" s="287" t="s">
        <v>29</v>
      </c>
      <c r="AW5" s="324" t="s">
        <v>116</v>
      </c>
    </row>
    <row r="6" spans="1:49" ht="23.25" customHeight="1" x14ac:dyDescent="0.25">
      <c r="B6" s="308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 t="s">
        <v>7</v>
      </c>
      <c r="U6" s="261"/>
      <c r="V6" s="261"/>
      <c r="W6" s="261" t="s">
        <v>115</v>
      </c>
      <c r="X6" s="261"/>
      <c r="Y6" s="261"/>
      <c r="Z6" s="261" t="s">
        <v>146</v>
      </c>
      <c r="AA6" s="261"/>
      <c r="AB6" s="305"/>
      <c r="AC6" s="328"/>
      <c r="AD6" s="329"/>
      <c r="AE6" s="329"/>
      <c r="AF6" s="273" t="s">
        <v>30</v>
      </c>
      <c r="AG6" s="273"/>
      <c r="AH6" s="273"/>
      <c r="AI6" s="273" t="s">
        <v>31</v>
      </c>
      <c r="AJ6" s="273"/>
      <c r="AK6" s="273"/>
      <c r="AL6" s="273" t="s">
        <v>32</v>
      </c>
      <c r="AM6" s="273"/>
      <c r="AN6" s="273"/>
      <c r="AO6" s="273" t="s">
        <v>33</v>
      </c>
      <c r="AP6" s="273"/>
      <c r="AQ6" s="273"/>
      <c r="AR6" s="273" t="s">
        <v>34</v>
      </c>
      <c r="AS6" s="273"/>
      <c r="AT6" s="274"/>
      <c r="AU6" s="286"/>
      <c r="AV6" s="288"/>
      <c r="AW6" s="325"/>
    </row>
    <row r="7" spans="1:49" ht="126" customHeight="1" x14ac:dyDescent="0.25">
      <c r="B7" s="51" t="s">
        <v>2</v>
      </c>
      <c r="C7" s="5" t="s">
        <v>25</v>
      </c>
      <c r="D7" s="261"/>
      <c r="E7" s="6" t="s">
        <v>12</v>
      </c>
      <c r="F7" s="6" t="s">
        <v>20</v>
      </c>
      <c r="G7" s="6" t="s">
        <v>21</v>
      </c>
      <c r="H7" s="6" t="s">
        <v>12</v>
      </c>
      <c r="I7" s="6" t="s">
        <v>20</v>
      </c>
      <c r="J7" s="6" t="s">
        <v>21</v>
      </c>
      <c r="K7" s="6" t="s">
        <v>12</v>
      </c>
      <c r="L7" s="6" t="s">
        <v>20</v>
      </c>
      <c r="M7" s="6" t="s">
        <v>21</v>
      </c>
      <c r="N7" s="6" t="s">
        <v>12</v>
      </c>
      <c r="O7" s="6" t="s">
        <v>20</v>
      </c>
      <c r="P7" s="6" t="s">
        <v>21</v>
      </c>
      <c r="Q7" s="6" t="s">
        <v>12</v>
      </c>
      <c r="R7" s="6" t="s">
        <v>20</v>
      </c>
      <c r="S7" s="6" t="s">
        <v>21</v>
      </c>
      <c r="T7" s="6" t="s">
        <v>12</v>
      </c>
      <c r="U7" s="6" t="s">
        <v>20</v>
      </c>
      <c r="V7" s="6" t="s">
        <v>21</v>
      </c>
      <c r="W7" s="6" t="s">
        <v>12</v>
      </c>
      <c r="X7" s="6" t="s">
        <v>20</v>
      </c>
      <c r="Y7" s="6" t="s">
        <v>21</v>
      </c>
      <c r="Z7" s="6" t="s">
        <v>12</v>
      </c>
      <c r="AA7" s="6" t="s">
        <v>20</v>
      </c>
      <c r="AB7" s="149" t="s">
        <v>21</v>
      </c>
      <c r="AC7" s="150" t="s">
        <v>12</v>
      </c>
      <c r="AD7" s="151" t="s">
        <v>20</v>
      </c>
      <c r="AE7" s="151" t="s">
        <v>21</v>
      </c>
      <c r="AF7" s="151" t="s">
        <v>12</v>
      </c>
      <c r="AG7" s="151" t="s">
        <v>20</v>
      </c>
      <c r="AH7" s="151" t="s">
        <v>21</v>
      </c>
      <c r="AI7" s="151" t="s">
        <v>12</v>
      </c>
      <c r="AJ7" s="151" t="s">
        <v>20</v>
      </c>
      <c r="AK7" s="151" t="s">
        <v>21</v>
      </c>
      <c r="AL7" s="151" t="s">
        <v>12</v>
      </c>
      <c r="AM7" s="151" t="s">
        <v>20</v>
      </c>
      <c r="AN7" s="151" t="s">
        <v>21</v>
      </c>
      <c r="AO7" s="151" t="s">
        <v>12</v>
      </c>
      <c r="AP7" s="151" t="s">
        <v>20</v>
      </c>
      <c r="AQ7" s="151" t="s">
        <v>21</v>
      </c>
      <c r="AR7" s="151" t="s">
        <v>12</v>
      </c>
      <c r="AS7" s="151" t="s">
        <v>20</v>
      </c>
      <c r="AT7" s="152" t="s">
        <v>21</v>
      </c>
      <c r="AU7" s="286"/>
      <c r="AV7" s="288"/>
      <c r="AW7" s="325"/>
    </row>
    <row r="8" spans="1:49" ht="231" customHeight="1" x14ac:dyDescent="0.25">
      <c r="B8" s="52">
        <v>1167</v>
      </c>
      <c r="C8" s="16">
        <v>42013</v>
      </c>
      <c r="D8" s="14" t="str">
        <f>+'Հ5 (42013)'!D5</f>
        <v>Էլեկտրաէներգետիկ համակարգի զարգացման ծրագիր/Վերակառուցման և զարգացման միջազգային բանկի աջակցությամբ իրականացվող «Շահումյան-2», «Մարաշ» և «Եղեգնաձոր» ենթակայանների վերակառուցման շրջանակներում ենթավարկի տրամադրում «Բարձրավոլտ էլեկտրացանցեր» ՓԲԸ-ին</v>
      </c>
      <c r="E8" s="146">
        <f>F8+G8</f>
        <v>69600000</v>
      </c>
      <c r="F8" s="145">
        <f>40000000+15000000+3000000</f>
        <v>58000000</v>
      </c>
      <c r="G8" s="145">
        <f>8000000+3600000</f>
        <v>11600000</v>
      </c>
      <c r="H8" s="146">
        <f>I8+J8</f>
        <v>0</v>
      </c>
      <c r="I8" s="145">
        <v>0</v>
      </c>
      <c r="J8" s="145">
        <v>0</v>
      </c>
      <c r="K8" s="146">
        <f>L8+M8</f>
        <v>0</v>
      </c>
      <c r="L8" s="145">
        <v>0</v>
      </c>
      <c r="M8" s="145">
        <v>0</v>
      </c>
      <c r="N8" s="146">
        <f>O8+P8</f>
        <v>10000000</v>
      </c>
      <c r="O8" s="145">
        <v>10000000</v>
      </c>
      <c r="P8" s="145">
        <v>0</v>
      </c>
      <c r="Q8" s="146">
        <f>R8+S8</f>
        <v>59600000</v>
      </c>
      <c r="R8" s="145">
        <f>+F8-I8-L8-O8</f>
        <v>48000000</v>
      </c>
      <c r="S8" s="145">
        <f>+G8-J8-M8-P8</f>
        <v>11600000</v>
      </c>
      <c r="T8" s="146">
        <f>U8+V8</f>
        <v>9583600</v>
      </c>
      <c r="U8" s="145">
        <v>7983000</v>
      </c>
      <c r="V8" s="145">
        <v>1600600</v>
      </c>
      <c r="W8" s="146">
        <f>X8+Y8</f>
        <v>33575000</v>
      </c>
      <c r="X8" s="145">
        <v>27975000</v>
      </c>
      <c r="Y8" s="145">
        <v>5600000</v>
      </c>
      <c r="Z8" s="146">
        <f>AA8+AB8</f>
        <v>11147600.000000006</v>
      </c>
      <c r="AA8" s="145">
        <v>7618000.0000000056</v>
      </c>
      <c r="AB8" s="145">
        <v>3529600</v>
      </c>
      <c r="AC8" s="146">
        <f>AD8+AE8</f>
        <v>30815000</v>
      </c>
      <c r="AD8" s="145">
        <v>24015000</v>
      </c>
      <c r="AE8" s="145">
        <v>6800000</v>
      </c>
      <c r="AF8" s="146">
        <f>AG8+AH8</f>
        <v>72600</v>
      </c>
      <c r="AG8" s="145">
        <v>60000</v>
      </c>
      <c r="AH8" s="145">
        <v>12600</v>
      </c>
      <c r="AI8" s="146">
        <f>AJ8+AK8</f>
        <v>72600</v>
      </c>
      <c r="AJ8" s="145">
        <v>60000</v>
      </c>
      <c r="AK8" s="145">
        <v>12600</v>
      </c>
      <c r="AL8" s="146">
        <f>AM8+AN8</f>
        <v>5200520</v>
      </c>
      <c r="AM8" s="145">
        <v>4332600</v>
      </c>
      <c r="AN8" s="145">
        <v>867920</v>
      </c>
      <c r="AO8" s="146">
        <f>AP8+AQ8</f>
        <v>4237880</v>
      </c>
      <c r="AP8" s="145">
        <v>3530400</v>
      </c>
      <c r="AQ8" s="145">
        <v>707480</v>
      </c>
      <c r="AR8" s="146">
        <f>AS8+AT8</f>
        <v>9583600</v>
      </c>
      <c r="AS8" s="148">
        <f>+AG8+AJ8+AM8+AP8</f>
        <v>7983000</v>
      </c>
      <c r="AT8" s="148">
        <f>+AH8+AK8+AN8+AQ8</f>
        <v>1600600</v>
      </c>
      <c r="AU8" s="219" t="s">
        <v>260</v>
      </c>
      <c r="AV8" s="212" t="s">
        <v>261</v>
      </c>
      <c r="AW8" s="220" t="s">
        <v>343</v>
      </c>
    </row>
    <row r="9" spans="1:49" ht="17.25" customHeight="1" thickBot="1" x14ac:dyDescent="0.3">
      <c r="A9" s="28"/>
      <c r="B9" s="315" t="s">
        <v>12</v>
      </c>
      <c r="C9" s="316"/>
      <c r="D9" s="317"/>
      <c r="E9" s="147">
        <f>+F9+G9</f>
        <v>69600000</v>
      </c>
      <c r="F9" s="147">
        <f t="shared" ref="F9:AT9" si="0">SUM(F8:F8)</f>
        <v>58000000</v>
      </c>
      <c r="G9" s="147">
        <f t="shared" si="0"/>
        <v>11600000</v>
      </c>
      <c r="H9" s="147">
        <f t="shared" si="0"/>
        <v>0</v>
      </c>
      <c r="I9" s="147">
        <f t="shared" si="0"/>
        <v>0</v>
      </c>
      <c r="J9" s="147">
        <f t="shared" si="0"/>
        <v>0</v>
      </c>
      <c r="K9" s="147">
        <f t="shared" si="0"/>
        <v>0</v>
      </c>
      <c r="L9" s="147">
        <f t="shared" si="0"/>
        <v>0</v>
      </c>
      <c r="M9" s="147">
        <f t="shared" si="0"/>
        <v>0</v>
      </c>
      <c r="N9" s="147">
        <f t="shared" si="0"/>
        <v>10000000</v>
      </c>
      <c r="O9" s="147">
        <f t="shared" si="0"/>
        <v>10000000</v>
      </c>
      <c r="P9" s="147">
        <f t="shared" si="0"/>
        <v>0</v>
      </c>
      <c r="Q9" s="147">
        <f t="shared" si="0"/>
        <v>59600000</v>
      </c>
      <c r="R9" s="147">
        <f t="shared" si="0"/>
        <v>48000000</v>
      </c>
      <c r="S9" s="147">
        <f t="shared" si="0"/>
        <v>11600000</v>
      </c>
      <c r="T9" s="147">
        <f t="shared" si="0"/>
        <v>9583600</v>
      </c>
      <c r="U9" s="147">
        <f t="shared" si="0"/>
        <v>7983000</v>
      </c>
      <c r="V9" s="147">
        <f t="shared" si="0"/>
        <v>1600600</v>
      </c>
      <c r="W9" s="147">
        <f t="shared" si="0"/>
        <v>33575000</v>
      </c>
      <c r="X9" s="147">
        <f t="shared" si="0"/>
        <v>27975000</v>
      </c>
      <c r="Y9" s="147">
        <f t="shared" si="0"/>
        <v>5600000</v>
      </c>
      <c r="Z9" s="147">
        <f t="shared" si="0"/>
        <v>11147600.000000006</v>
      </c>
      <c r="AA9" s="147">
        <f t="shared" si="0"/>
        <v>7618000.0000000056</v>
      </c>
      <c r="AB9" s="147">
        <f t="shared" si="0"/>
        <v>3529600</v>
      </c>
      <c r="AC9" s="147">
        <f t="shared" si="0"/>
        <v>30815000</v>
      </c>
      <c r="AD9" s="147">
        <f t="shared" si="0"/>
        <v>24015000</v>
      </c>
      <c r="AE9" s="147">
        <f t="shared" si="0"/>
        <v>6800000</v>
      </c>
      <c r="AF9" s="147">
        <f t="shared" si="0"/>
        <v>72600</v>
      </c>
      <c r="AG9" s="147">
        <f t="shared" si="0"/>
        <v>60000</v>
      </c>
      <c r="AH9" s="147">
        <f t="shared" si="0"/>
        <v>12600</v>
      </c>
      <c r="AI9" s="147">
        <f t="shared" si="0"/>
        <v>72600</v>
      </c>
      <c r="AJ9" s="147">
        <f t="shared" si="0"/>
        <v>60000</v>
      </c>
      <c r="AK9" s="147">
        <f t="shared" si="0"/>
        <v>12600</v>
      </c>
      <c r="AL9" s="147">
        <f t="shared" si="0"/>
        <v>5200520</v>
      </c>
      <c r="AM9" s="147">
        <f t="shared" si="0"/>
        <v>4332600</v>
      </c>
      <c r="AN9" s="147">
        <f t="shared" si="0"/>
        <v>867920</v>
      </c>
      <c r="AO9" s="147">
        <f t="shared" si="0"/>
        <v>4237880</v>
      </c>
      <c r="AP9" s="147">
        <f t="shared" si="0"/>
        <v>3530400</v>
      </c>
      <c r="AQ9" s="147">
        <f t="shared" si="0"/>
        <v>707480</v>
      </c>
      <c r="AR9" s="147">
        <f t="shared" si="0"/>
        <v>9583600</v>
      </c>
      <c r="AS9" s="147">
        <f t="shared" si="0"/>
        <v>7983000</v>
      </c>
      <c r="AT9" s="147">
        <f t="shared" si="0"/>
        <v>1600600</v>
      </c>
      <c r="AU9" s="47" t="s">
        <v>44</v>
      </c>
      <c r="AV9" s="48" t="s">
        <v>44</v>
      </c>
      <c r="AW9" s="49" t="s">
        <v>44</v>
      </c>
    </row>
    <row r="18" spans="6:6" x14ac:dyDescent="0.25">
      <c r="F18" s="195"/>
    </row>
    <row r="19" spans="6:6" x14ac:dyDescent="0.25">
      <c r="F19" s="195"/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9:D9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9B011-10B4-4EAF-B588-243E215CBDFC}">
  <sheetPr>
    <tabColor theme="0" tint="-0.14999847407452621"/>
  </sheetPr>
  <dimension ref="A1:AW13"/>
  <sheetViews>
    <sheetView topLeftCell="AD1" workbookViewId="0">
      <selection activeCell="AV9" sqref="AV9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35.28515625" customWidth="1"/>
    <col min="5" max="5" width="14.42578125" customWidth="1"/>
    <col min="6" max="7" width="13.85546875" customWidth="1"/>
    <col min="8" max="10" width="8.7109375" customWidth="1"/>
    <col min="11" max="13" width="7.42578125" customWidth="1"/>
    <col min="14" max="14" width="13.42578125" customWidth="1"/>
    <col min="15" max="15" width="13" customWidth="1"/>
    <col min="16" max="16" width="8.28515625" customWidth="1"/>
    <col min="17" max="17" width="15.5703125" bestFit="1" customWidth="1"/>
    <col min="18" max="18" width="14" bestFit="1" customWidth="1"/>
    <col min="19" max="19" width="14" customWidth="1"/>
    <col min="20" max="22" width="13.42578125" customWidth="1"/>
    <col min="23" max="25" width="12.28515625" customWidth="1"/>
    <col min="26" max="26" width="14.140625" customWidth="1"/>
    <col min="27" max="27" width="13.140625" customWidth="1"/>
    <col min="28" max="28" width="13.7109375" customWidth="1"/>
    <col min="29" max="29" width="12.42578125" bestFit="1" customWidth="1"/>
    <col min="30" max="30" width="12.28515625" bestFit="1" customWidth="1"/>
    <col min="31" max="31" width="12.140625" bestFit="1" customWidth="1"/>
    <col min="32" max="32" width="9.42578125" bestFit="1" customWidth="1"/>
    <col min="33" max="33" width="9.7109375" bestFit="1" customWidth="1"/>
    <col min="34" max="34" width="9.28515625" bestFit="1" customWidth="1"/>
    <col min="35" max="35" width="9.42578125" bestFit="1" customWidth="1"/>
    <col min="36" max="36" width="9.7109375" bestFit="1" customWidth="1"/>
    <col min="37" max="37" width="9.28515625" bestFit="1" customWidth="1"/>
    <col min="38" max="38" width="11.7109375" bestFit="1" customWidth="1"/>
    <col min="39" max="39" width="11.5703125" bestFit="1" customWidth="1"/>
    <col min="40" max="40" width="11.42578125" bestFit="1" customWidth="1"/>
    <col min="41" max="42" width="11.5703125" bestFit="1" customWidth="1"/>
    <col min="43" max="43" width="10.28515625" bestFit="1" customWidth="1"/>
    <col min="44" max="44" width="12.42578125" bestFit="1" customWidth="1"/>
    <col min="45" max="45" width="12" customWidth="1"/>
    <col min="46" max="46" width="12.5703125" bestFit="1" customWidth="1"/>
    <col min="48" max="48" width="16.42578125" customWidth="1"/>
    <col min="49" max="49" width="53.28515625" customWidth="1"/>
  </cols>
  <sheetData>
    <row r="1" spans="1:49" ht="17.25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S1" s="66"/>
      <c r="AW1" s="66">
        <v>397.35</v>
      </c>
    </row>
    <row r="2" spans="1:49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49" s="56" customFormat="1" ht="17.25" x14ac:dyDescent="0.25">
      <c r="A3" s="64" t="s">
        <v>134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1:49" ht="15.75" thickBot="1" x14ac:dyDescent="0.3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</row>
    <row r="5" spans="1:49" ht="15" customHeight="1" x14ac:dyDescent="0.25">
      <c r="B5" s="307" t="s">
        <v>8</v>
      </c>
      <c r="C5" s="279"/>
      <c r="D5" s="279" t="s">
        <v>51</v>
      </c>
      <c r="E5" s="279" t="s">
        <v>263</v>
      </c>
      <c r="F5" s="279"/>
      <c r="G5" s="279"/>
      <c r="H5" s="279" t="s">
        <v>143</v>
      </c>
      <c r="I5" s="279"/>
      <c r="J5" s="279"/>
      <c r="K5" s="279" t="s">
        <v>144</v>
      </c>
      <c r="L5" s="279"/>
      <c r="M5" s="279"/>
      <c r="N5" s="279" t="s">
        <v>145</v>
      </c>
      <c r="O5" s="279"/>
      <c r="P5" s="279"/>
      <c r="Q5" s="279" t="s">
        <v>22</v>
      </c>
      <c r="R5" s="279"/>
      <c r="S5" s="279"/>
      <c r="T5" s="279" t="s">
        <v>16</v>
      </c>
      <c r="U5" s="279"/>
      <c r="V5" s="279"/>
      <c r="W5" s="279"/>
      <c r="X5" s="279"/>
      <c r="Y5" s="279"/>
      <c r="Z5" s="279"/>
      <c r="AA5" s="279"/>
      <c r="AB5" s="280"/>
      <c r="AC5" s="326" t="s">
        <v>262</v>
      </c>
      <c r="AD5" s="327"/>
      <c r="AE5" s="327"/>
      <c r="AF5" s="282" t="s">
        <v>148</v>
      </c>
      <c r="AG5" s="282"/>
      <c r="AH5" s="282"/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4"/>
      <c r="AU5" s="285" t="s">
        <v>28</v>
      </c>
      <c r="AV5" s="287" t="s">
        <v>29</v>
      </c>
      <c r="AW5" s="324" t="s">
        <v>116</v>
      </c>
    </row>
    <row r="6" spans="1:49" ht="23.25" customHeight="1" x14ac:dyDescent="0.25">
      <c r="B6" s="308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 t="s">
        <v>7</v>
      </c>
      <c r="U6" s="261"/>
      <c r="V6" s="261"/>
      <c r="W6" s="261" t="s">
        <v>115</v>
      </c>
      <c r="X6" s="261"/>
      <c r="Y6" s="261"/>
      <c r="Z6" s="261" t="s">
        <v>146</v>
      </c>
      <c r="AA6" s="261"/>
      <c r="AB6" s="305"/>
      <c r="AC6" s="328"/>
      <c r="AD6" s="329"/>
      <c r="AE6" s="329"/>
      <c r="AF6" s="273" t="s">
        <v>30</v>
      </c>
      <c r="AG6" s="273"/>
      <c r="AH6" s="273"/>
      <c r="AI6" s="273" t="s">
        <v>31</v>
      </c>
      <c r="AJ6" s="273"/>
      <c r="AK6" s="273"/>
      <c r="AL6" s="273" t="s">
        <v>32</v>
      </c>
      <c r="AM6" s="273"/>
      <c r="AN6" s="273"/>
      <c r="AO6" s="273" t="s">
        <v>33</v>
      </c>
      <c r="AP6" s="273"/>
      <c r="AQ6" s="273"/>
      <c r="AR6" s="273" t="s">
        <v>34</v>
      </c>
      <c r="AS6" s="273"/>
      <c r="AT6" s="274"/>
      <c r="AU6" s="286"/>
      <c r="AV6" s="288"/>
      <c r="AW6" s="325"/>
    </row>
    <row r="7" spans="1:49" ht="126" customHeight="1" x14ac:dyDescent="0.25">
      <c r="B7" s="51" t="s">
        <v>2</v>
      </c>
      <c r="C7" s="5" t="s">
        <v>25</v>
      </c>
      <c r="D7" s="261"/>
      <c r="E7" s="6" t="s">
        <v>12</v>
      </c>
      <c r="F7" s="6" t="s">
        <v>20</v>
      </c>
      <c r="G7" s="6" t="s">
        <v>21</v>
      </c>
      <c r="H7" s="6" t="s">
        <v>12</v>
      </c>
      <c r="I7" s="6" t="s">
        <v>20</v>
      </c>
      <c r="J7" s="6" t="s">
        <v>21</v>
      </c>
      <c r="K7" s="6" t="s">
        <v>12</v>
      </c>
      <c r="L7" s="6" t="s">
        <v>20</v>
      </c>
      <c r="M7" s="6" t="s">
        <v>21</v>
      </c>
      <c r="N7" s="6" t="s">
        <v>12</v>
      </c>
      <c r="O7" s="6" t="s">
        <v>20</v>
      </c>
      <c r="P7" s="6" t="s">
        <v>21</v>
      </c>
      <c r="Q7" s="6" t="s">
        <v>12</v>
      </c>
      <c r="R7" s="6" t="s">
        <v>20</v>
      </c>
      <c r="S7" s="6" t="s">
        <v>21</v>
      </c>
      <c r="T7" s="6" t="s">
        <v>12</v>
      </c>
      <c r="U7" s="6" t="s">
        <v>20</v>
      </c>
      <c r="V7" s="6" t="s">
        <v>21</v>
      </c>
      <c r="W7" s="6" t="s">
        <v>12</v>
      </c>
      <c r="X7" s="6" t="s">
        <v>20</v>
      </c>
      <c r="Y7" s="6" t="s">
        <v>21</v>
      </c>
      <c r="Z7" s="6" t="s">
        <v>12</v>
      </c>
      <c r="AA7" s="6" t="s">
        <v>20</v>
      </c>
      <c r="AB7" s="149" t="s">
        <v>21</v>
      </c>
      <c r="AC7" s="150" t="s">
        <v>12</v>
      </c>
      <c r="AD7" s="151" t="s">
        <v>20</v>
      </c>
      <c r="AE7" s="151" t="s">
        <v>21</v>
      </c>
      <c r="AF7" s="151" t="s">
        <v>12</v>
      </c>
      <c r="AG7" s="151" t="s">
        <v>20</v>
      </c>
      <c r="AH7" s="151" t="s">
        <v>21</v>
      </c>
      <c r="AI7" s="151" t="s">
        <v>12</v>
      </c>
      <c r="AJ7" s="151" t="s">
        <v>20</v>
      </c>
      <c r="AK7" s="151" t="s">
        <v>21</v>
      </c>
      <c r="AL7" s="151" t="s">
        <v>12</v>
      </c>
      <c r="AM7" s="151" t="s">
        <v>20</v>
      </c>
      <c r="AN7" s="151" t="s">
        <v>21</v>
      </c>
      <c r="AO7" s="151" t="s">
        <v>12</v>
      </c>
      <c r="AP7" s="151" t="s">
        <v>20</v>
      </c>
      <c r="AQ7" s="151" t="s">
        <v>21</v>
      </c>
      <c r="AR7" s="151" t="s">
        <v>12</v>
      </c>
      <c r="AS7" s="151" t="s">
        <v>20</v>
      </c>
      <c r="AT7" s="152" t="s">
        <v>21</v>
      </c>
      <c r="AU7" s="286"/>
      <c r="AV7" s="288"/>
      <c r="AW7" s="325"/>
    </row>
    <row r="8" spans="1:49" ht="231" customHeight="1" x14ac:dyDescent="0.25">
      <c r="B8" s="52">
        <v>1167</v>
      </c>
      <c r="C8" s="16">
        <v>42013</v>
      </c>
      <c r="D8" s="14" t="str">
        <f>+'Հ5 (42013)'!D5</f>
        <v>Էլեկտրաէներգետիկ համակարգի զարգացման ծրագիր/Վերակառուցման և զարգացման միջազգային բանկի աջակցությամբ իրականացվող «Շահումյան-2», «Մարաշ» և «Եղեգնաձոր» ենթակայանների վերակառուցման շրջանակներում ենթավարկի տրամադրում «Բարձրավոլտ էլեկտրացանցեր» ՓԲԸ-ին</v>
      </c>
      <c r="E8" s="146">
        <f>F8+G8</f>
        <v>27655560</v>
      </c>
      <c r="F8" s="145">
        <f>+'Հ7 Ձև2'!F8*'Հ7 Ձև2 (դրամ)'!$AW$1/1000</f>
        <v>23046300</v>
      </c>
      <c r="G8" s="145">
        <f>+'Հ7 Ձև2'!G8*'Հ7 Ձև2 (դրամ)'!$AW$1/1000</f>
        <v>4609260</v>
      </c>
      <c r="H8" s="146">
        <f>I8+J8</f>
        <v>0</v>
      </c>
      <c r="I8" s="145">
        <f>+'Հ7 Ձև2'!I8*'Հ7 Ձև2 (դրամ)'!$AW$1/1000</f>
        <v>0</v>
      </c>
      <c r="J8" s="145">
        <f>+'Հ7 Ձև2'!J8*'Հ7 Ձև2 (դրամ)'!$AW$1/1000</f>
        <v>0</v>
      </c>
      <c r="K8" s="146">
        <f>L8+M8</f>
        <v>0</v>
      </c>
      <c r="L8" s="145">
        <f>+'Հ7 Ձև2'!L8*'Հ7 Ձև2 (դրամ)'!$AW$1/1000</f>
        <v>0</v>
      </c>
      <c r="M8" s="145">
        <f>+'Հ7 Ձև2'!M8*'Հ7 Ձև2 (դրամ)'!$AW$1/1000</f>
        <v>0</v>
      </c>
      <c r="N8" s="146">
        <f>O8+P8</f>
        <v>3871700</v>
      </c>
      <c r="O8" s="145">
        <f>+'Հ3 Մաս 2'!H10</f>
        <v>3871700</v>
      </c>
      <c r="P8" s="145">
        <v>0</v>
      </c>
      <c r="Q8" s="146">
        <f>R8+S8</f>
        <v>23783860</v>
      </c>
      <c r="R8" s="145">
        <f>+F8-I8-L8-O8</f>
        <v>19174600</v>
      </c>
      <c r="S8" s="145">
        <f>+G8-J8-M8-P8</f>
        <v>4609260</v>
      </c>
      <c r="T8" s="146">
        <f>U8+V8</f>
        <v>3808043.46</v>
      </c>
      <c r="U8" s="145">
        <f>+'Հ7 Ձև2'!U8*'Հ7 Ձև2 (դրամ)'!$AW$1/1000</f>
        <v>3172045.05</v>
      </c>
      <c r="V8" s="145">
        <f>+'Հ7 Ձև2'!V8*'Հ7 Ձև2 (դրամ)'!$AW$1/1000</f>
        <v>635998.41</v>
      </c>
      <c r="W8" s="146">
        <f>X8+Y8</f>
        <v>13341026.25</v>
      </c>
      <c r="X8" s="145">
        <f>+'Հ7 Ձև2'!X8*'Հ7 Ձև2 (դրամ)'!$AW$1/1000</f>
        <v>11115866.25</v>
      </c>
      <c r="Y8" s="145">
        <f>+'Հ7 Ձև2'!Y8*'Հ7 Ձև2 (դրամ)'!$AW$1/1000</f>
        <v>2225160</v>
      </c>
      <c r="Z8" s="146">
        <f>AA8+AB8</f>
        <v>4429498.8600000031</v>
      </c>
      <c r="AA8" s="145">
        <f>+'Հ7 Ձև2'!AA8*'Հ7 Ձև2 (դրամ)'!$AW$1/1000</f>
        <v>3027012.3000000026</v>
      </c>
      <c r="AB8" s="145">
        <f>+'Հ7 Ձև2'!AB8*'Հ7 Ձև2 (դրամ)'!$AW$1/1000</f>
        <v>1402486.56</v>
      </c>
      <c r="AC8" s="146">
        <f>AD8+AE8</f>
        <v>12445562.199999999</v>
      </c>
      <c r="AD8" s="145">
        <v>9699178.1999999993</v>
      </c>
      <c r="AE8" s="145">
        <v>2746384</v>
      </c>
      <c r="AF8" s="146">
        <f>AG8+AH8</f>
        <v>28847.61</v>
      </c>
      <c r="AG8" s="145">
        <f>+'Հ7 Ձև2'!AG8*'Հ7 Ձև2 (դրամ)'!$AW$1/1000</f>
        <v>23841</v>
      </c>
      <c r="AH8" s="145">
        <f>+'Հ7 Ձև2'!AH8*'Հ7 Ձև2 (դրամ)'!$AW$1/1000</f>
        <v>5006.6099999999997</v>
      </c>
      <c r="AI8" s="146">
        <f>AJ8+AK8</f>
        <v>28847.61</v>
      </c>
      <c r="AJ8" s="145">
        <f>+'Հ7 Ձև2'!AJ8*'Հ7 Ձև2 (դրամ)'!$AW$1/1000</f>
        <v>23841</v>
      </c>
      <c r="AK8" s="145">
        <f>+'Հ7 Ձև2'!AK8*'Հ7 Ձև2 (դրամ)'!$AW$1/1000</f>
        <v>5006.6099999999997</v>
      </c>
      <c r="AL8" s="146">
        <f>AM8+AN8</f>
        <v>2066426.622</v>
      </c>
      <c r="AM8" s="145">
        <f>+'Հ7 Ձև2'!AM8*'Հ7 Ձև2 (դրամ)'!$AW$1/1000</f>
        <v>1721558.61</v>
      </c>
      <c r="AN8" s="145">
        <f>+'Հ7 Ձև2'!AN8*'Հ7 Ձև2 (դրամ)'!$AW$1/1000</f>
        <v>344868.01199999999</v>
      </c>
      <c r="AO8" s="146">
        <f>AP8+AQ8</f>
        <v>1683921.618</v>
      </c>
      <c r="AP8" s="145">
        <f>+'Հ7 Ձև2'!AP8*'Հ7 Ձև2 (դրամ)'!$AW$1/1000</f>
        <v>1402804.44</v>
      </c>
      <c r="AQ8" s="145">
        <f>+'Հ7 Ձև2'!AQ8*'Հ7 Ձև2 (դրամ)'!$AW$1/1000</f>
        <v>281117.17800000001</v>
      </c>
      <c r="AR8" s="146">
        <f>AS8+AT8</f>
        <v>3808043.46</v>
      </c>
      <c r="AS8" s="148">
        <f>+AG8+AJ8+AM8+AP8</f>
        <v>3172045.05</v>
      </c>
      <c r="AT8" s="221">
        <f>+AH8+AK8+AN8+AQ8</f>
        <v>635998.40999999992</v>
      </c>
      <c r="AU8" s="219" t="s">
        <v>260</v>
      </c>
      <c r="AV8" s="212" t="s">
        <v>261</v>
      </c>
      <c r="AW8" s="220" t="s">
        <v>344</v>
      </c>
    </row>
    <row r="9" spans="1:49" ht="17.25" customHeight="1" thickBot="1" x14ac:dyDescent="0.3">
      <c r="A9" s="28"/>
      <c r="B9" s="315" t="s">
        <v>12</v>
      </c>
      <c r="C9" s="316"/>
      <c r="D9" s="317"/>
      <c r="E9" s="147">
        <f>+F9+G9</f>
        <v>27655560</v>
      </c>
      <c r="F9" s="147">
        <f t="shared" ref="F9:AT9" si="0">SUM(F8:F8)</f>
        <v>23046300</v>
      </c>
      <c r="G9" s="147">
        <f t="shared" si="0"/>
        <v>4609260</v>
      </c>
      <c r="H9" s="147">
        <f t="shared" si="0"/>
        <v>0</v>
      </c>
      <c r="I9" s="147">
        <f t="shared" si="0"/>
        <v>0</v>
      </c>
      <c r="J9" s="147">
        <f t="shared" si="0"/>
        <v>0</v>
      </c>
      <c r="K9" s="147">
        <f t="shared" si="0"/>
        <v>0</v>
      </c>
      <c r="L9" s="147">
        <f t="shared" si="0"/>
        <v>0</v>
      </c>
      <c r="M9" s="147">
        <f t="shared" si="0"/>
        <v>0</v>
      </c>
      <c r="N9" s="147">
        <f t="shared" si="0"/>
        <v>3871700</v>
      </c>
      <c r="O9" s="147">
        <f t="shared" si="0"/>
        <v>3871700</v>
      </c>
      <c r="P9" s="147">
        <f t="shared" si="0"/>
        <v>0</v>
      </c>
      <c r="Q9" s="147">
        <f t="shared" si="0"/>
        <v>23783860</v>
      </c>
      <c r="R9" s="147">
        <f t="shared" si="0"/>
        <v>19174600</v>
      </c>
      <c r="S9" s="147">
        <f t="shared" si="0"/>
        <v>4609260</v>
      </c>
      <c r="T9" s="147">
        <f t="shared" si="0"/>
        <v>3808043.46</v>
      </c>
      <c r="U9" s="147">
        <f t="shared" si="0"/>
        <v>3172045.05</v>
      </c>
      <c r="V9" s="147">
        <f t="shared" si="0"/>
        <v>635998.41</v>
      </c>
      <c r="W9" s="147">
        <f t="shared" si="0"/>
        <v>13341026.25</v>
      </c>
      <c r="X9" s="147">
        <f t="shared" si="0"/>
        <v>11115866.25</v>
      </c>
      <c r="Y9" s="147">
        <f t="shared" si="0"/>
        <v>2225160</v>
      </c>
      <c r="Z9" s="147">
        <f t="shared" si="0"/>
        <v>4429498.8600000031</v>
      </c>
      <c r="AA9" s="147">
        <f t="shared" si="0"/>
        <v>3027012.3000000026</v>
      </c>
      <c r="AB9" s="147">
        <f t="shared" si="0"/>
        <v>1402486.56</v>
      </c>
      <c r="AC9" s="147">
        <f t="shared" si="0"/>
        <v>12445562.199999999</v>
      </c>
      <c r="AD9" s="147">
        <f t="shared" si="0"/>
        <v>9699178.1999999993</v>
      </c>
      <c r="AE9" s="147">
        <f t="shared" si="0"/>
        <v>2746384</v>
      </c>
      <c r="AF9" s="147">
        <f t="shared" si="0"/>
        <v>28847.61</v>
      </c>
      <c r="AG9" s="147">
        <f t="shared" si="0"/>
        <v>23841</v>
      </c>
      <c r="AH9" s="147">
        <f t="shared" si="0"/>
        <v>5006.6099999999997</v>
      </c>
      <c r="AI9" s="147">
        <f t="shared" si="0"/>
        <v>28847.61</v>
      </c>
      <c r="AJ9" s="147">
        <f t="shared" si="0"/>
        <v>23841</v>
      </c>
      <c r="AK9" s="147">
        <f t="shared" si="0"/>
        <v>5006.6099999999997</v>
      </c>
      <c r="AL9" s="147">
        <f t="shared" si="0"/>
        <v>2066426.622</v>
      </c>
      <c r="AM9" s="147">
        <f t="shared" si="0"/>
        <v>1721558.61</v>
      </c>
      <c r="AN9" s="147">
        <f t="shared" si="0"/>
        <v>344868.01199999999</v>
      </c>
      <c r="AO9" s="147">
        <f t="shared" si="0"/>
        <v>1683921.618</v>
      </c>
      <c r="AP9" s="147">
        <f t="shared" si="0"/>
        <v>1402804.44</v>
      </c>
      <c r="AQ9" s="147">
        <f t="shared" si="0"/>
        <v>281117.17800000001</v>
      </c>
      <c r="AR9" s="147">
        <f t="shared" si="0"/>
        <v>3808043.46</v>
      </c>
      <c r="AS9" s="147">
        <f t="shared" si="0"/>
        <v>3172045.05</v>
      </c>
      <c r="AT9" s="147">
        <f t="shared" si="0"/>
        <v>635998.40999999992</v>
      </c>
      <c r="AU9" s="47" t="s">
        <v>44</v>
      </c>
      <c r="AV9" s="48" t="s">
        <v>44</v>
      </c>
      <c r="AW9" s="49" t="s">
        <v>44</v>
      </c>
    </row>
    <row r="13" spans="1:49" x14ac:dyDescent="0.25">
      <c r="Q13" s="144"/>
    </row>
  </sheetData>
  <mergeCells count="23">
    <mergeCell ref="A4:S4"/>
    <mergeCell ref="B5:C6"/>
    <mergeCell ref="D5:D7"/>
    <mergeCell ref="E5:G6"/>
    <mergeCell ref="H5:J6"/>
    <mergeCell ref="K5:M6"/>
    <mergeCell ref="N5:P6"/>
    <mergeCell ref="Q5:S6"/>
    <mergeCell ref="B9:D9"/>
    <mergeCell ref="AW5:AW7"/>
    <mergeCell ref="T6:V6"/>
    <mergeCell ref="W6:Y6"/>
    <mergeCell ref="Z6:AB6"/>
    <mergeCell ref="AF6:AH6"/>
    <mergeCell ref="T5:AB5"/>
    <mergeCell ref="AC5:AE6"/>
    <mergeCell ref="AF5:AT5"/>
    <mergeCell ref="AU5:AU7"/>
    <mergeCell ref="AV5:AV7"/>
    <mergeCell ref="AI6:AK6"/>
    <mergeCell ref="AL6:AN6"/>
    <mergeCell ref="AO6:AQ6"/>
    <mergeCell ref="AR6:AT6"/>
  </mergeCells>
  <pageMargins left="0.7" right="0.7" top="0.75" bottom="0.75" header="0.3" footer="0.3"/>
  <pageSetup paperSize="9" orientation="portrait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I8" sqref="I8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64" t="s">
        <v>129</v>
      </c>
      <c r="B1" s="65"/>
      <c r="C1" s="65"/>
      <c r="D1" s="65"/>
      <c r="E1" s="65"/>
      <c r="F1" s="65"/>
      <c r="G1" s="65"/>
      <c r="H1" s="65"/>
      <c r="I1" s="65"/>
      <c r="J1" s="65"/>
    </row>
    <row r="2" spans="1:19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9" s="56" customFormat="1" ht="17.25" x14ac:dyDescent="0.25">
      <c r="A3" s="64" t="s">
        <v>124</v>
      </c>
      <c r="B3" s="66"/>
      <c r="C3" s="66"/>
      <c r="D3" s="66"/>
      <c r="E3" s="66"/>
      <c r="F3" s="66"/>
      <c r="G3" s="66"/>
      <c r="H3" s="66"/>
      <c r="I3" s="66"/>
      <c r="J3" s="66"/>
      <c r="K3" s="58"/>
      <c r="L3" s="58"/>
      <c r="M3" s="58"/>
    </row>
    <row r="4" spans="1:19" ht="17.25" x14ac:dyDescent="0.25">
      <c r="A4" s="3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9" x14ac:dyDescent="0.25"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332" t="s">
        <v>120</v>
      </c>
      <c r="R5" s="332"/>
      <c r="S5" s="332"/>
    </row>
    <row r="6" spans="1:19" ht="33" customHeight="1" x14ac:dyDescent="0.25">
      <c r="B6" s="261" t="s">
        <v>8</v>
      </c>
      <c r="C6" s="261"/>
      <c r="D6" s="261" t="s">
        <v>51</v>
      </c>
      <c r="E6" s="239" t="s">
        <v>119</v>
      </c>
      <c r="F6" s="261" t="s">
        <v>121</v>
      </c>
      <c r="G6" s="261" t="s">
        <v>122</v>
      </c>
      <c r="H6" s="261" t="s">
        <v>144</v>
      </c>
      <c r="I6" s="261" t="s">
        <v>145</v>
      </c>
      <c r="J6" s="261" t="s">
        <v>22</v>
      </c>
      <c r="K6" s="261" t="s">
        <v>16</v>
      </c>
      <c r="L6" s="261"/>
      <c r="M6" s="261"/>
      <c r="N6" s="333" t="s">
        <v>149</v>
      </c>
      <c r="O6" s="334"/>
      <c r="P6" s="334"/>
      <c r="Q6" s="334"/>
      <c r="R6" s="335"/>
      <c r="S6" s="330" t="s">
        <v>123</v>
      </c>
    </row>
    <row r="7" spans="1:19" ht="23.25" customHeight="1" x14ac:dyDescent="0.25">
      <c r="B7" s="261"/>
      <c r="C7" s="261"/>
      <c r="D7" s="261"/>
      <c r="E7" s="310"/>
      <c r="F7" s="261"/>
      <c r="G7" s="261"/>
      <c r="H7" s="261"/>
      <c r="I7" s="261"/>
      <c r="J7" s="261"/>
      <c r="K7" s="26" t="s">
        <v>7</v>
      </c>
      <c r="L7" s="26" t="s">
        <v>115</v>
      </c>
      <c r="M7" s="26" t="s">
        <v>146</v>
      </c>
      <c r="N7" s="59" t="s">
        <v>30</v>
      </c>
      <c r="O7" s="59" t="s">
        <v>31</v>
      </c>
      <c r="P7" s="59" t="s">
        <v>32</v>
      </c>
      <c r="Q7" s="59" t="s">
        <v>118</v>
      </c>
      <c r="R7" s="59" t="s">
        <v>34</v>
      </c>
      <c r="S7" s="331"/>
    </row>
    <row r="8" spans="1:19" ht="110.25" customHeight="1" x14ac:dyDescent="0.25">
      <c r="B8" s="5" t="s">
        <v>2</v>
      </c>
      <c r="C8" s="5" t="s">
        <v>25</v>
      </c>
      <c r="D8" s="261"/>
      <c r="E8" s="310"/>
      <c r="F8" s="57"/>
      <c r="G8" s="57"/>
      <c r="H8" s="6" t="s">
        <v>12</v>
      </c>
      <c r="I8" s="6" t="s">
        <v>12</v>
      </c>
      <c r="J8" s="6" t="s">
        <v>12</v>
      </c>
      <c r="K8" s="6" t="s">
        <v>12</v>
      </c>
      <c r="L8" s="6" t="s">
        <v>12</v>
      </c>
      <c r="M8" s="6" t="s">
        <v>12</v>
      </c>
      <c r="N8" s="6" t="s">
        <v>12</v>
      </c>
      <c r="O8" s="6" t="s">
        <v>12</v>
      </c>
      <c r="P8" s="6" t="s">
        <v>12</v>
      </c>
      <c r="Q8" s="6" t="s">
        <v>12</v>
      </c>
      <c r="R8" s="6" t="s">
        <v>12</v>
      </c>
      <c r="S8" s="331"/>
    </row>
    <row r="9" spans="1:19" x14ac:dyDescent="0.25">
      <c r="B9" s="16"/>
      <c r="C9" s="16"/>
      <c r="D9" s="16"/>
      <c r="E9" s="16"/>
      <c r="F9" s="16"/>
      <c r="G9" s="16"/>
      <c r="H9" s="18">
        <f>+H10</f>
        <v>0</v>
      </c>
      <c r="I9" s="18">
        <f t="shared" ref="I9:R11" si="0">+I10</f>
        <v>0</v>
      </c>
      <c r="J9" s="18">
        <f t="shared" si="0"/>
        <v>0</v>
      </c>
      <c r="K9" s="18">
        <f t="shared" si="0"/>
        <v>0</v>
      </c>
      <c r="L9" s="18">
        <f t="shared" si="0"/>
        <v>0</v>
      </c>
      <c r="M9" s="18">
        <f t="shared" si="0"/>
        <v>0</v>
      </c>
      <c r="N9" s="18">
        <f t="shared" si="0"/>
        <v>0</v>
      </c>
      <c r="O9" s="18">
        <f t="shared" si="0"/>
        <v>0</v>
      </c>
      <c r="P9" s="18">
        <f t="shared" si="0"/>
        <v>0</v>
      </c>
      <c r="Q9" s="18">
        <f t="shared" si="0"/>
        <v>0</v>
      </c>
      <c r="R9" s="18">
        <f t="shared" si="0"/>
        <v>0</v>
      </c>
      <c r="S9" s="60"/>
    </row>
    <row r="10" spans="1:19" ht="33.75" customHeight="1" x14ac:dyDescent="0.25">
      <c r="B10" s="16"/>
      <c r="C10" s="16"/>
      <c r="D10" s="16"/>
      <c r="E10" s="16"/>
      <c r="F10" s="16"/>
      <c r="G10" s="16"/>
      <c r="H10" s="18">
        <f>+H11</f>
        <v>0</v>
      </c>
      <c r="I10" s="18">
        <f t="shared" si="0"/>
        <v>0</v>
      </c>
      <c r="J10" s="18">
        <f t="shared" si="0"/>
        <v>0</v>
      </c>
      <c r="K10" s="18">
        <f t="shared" si="0"/>
        <v>0</v>
      </c>
      <c r="L10" s="18">
        <f t="shared" si="0"/>
        <v>0</v>
      </c>
      <c r="M10" s="18">
        <f t="shared" si="0"/>
        <v>0</v>
      </c>
      <c r="N10" s="18">
        <f t="shared" si="0"/>
        <v>0</v>
      </c>
      <c r="O10" s="18">
        <f t="shared" si="0"/>
        <v>0</v>
      </c>
      <c r="P10" s="18">
        <f t="shared" si="0"/>
        <v>0</v>
      </c>
      <c r="Q10" s="18">
        <f t="shared" si="0"/>
        <v>0</v>
      </c>
      <c r="R10" s="18">
        <f t="shared" si="0"/>
        <v>0</v>
      </c>
      <c r="S10" s="60"/>
    </row>
    <row r="11" spans="1:19" x14ac:dyDescent="0.25">
      <c r="B11" s="16"/>
      <c r="C11" s="16"/>
      <c r="D11" s="16"/>
      <c r="E11" s="16"/>
      <c r="F11" s="16"/>
      <c r="G11" s="16"/>
      <c r="H11" s="18">
        <f>+H12</f>
        <v>0</v>
      </c>
      <c r="I11" s="18">
        <f t="shared" si="0"/>
        <v>0</v>
      </c>
      <c r="J11" s="18">
        <f t="shared" si="0"/>
        <v>0</v>
      </c>
      <c r="K11" s="18">
        <f t="shared" si="0"/>
        <v>0</v>
      </c>
      <c r="L11" s="18">
        <f t="shared" si="0"/>
        <v>0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0</v>
      </c>
      <c r="Q11" s="18">
        <f t="shared" si="0"/>
        <v>0</v>
      </c>
      <c r="R11" s="18">
        <f t="shared" si="0"/>
        <v>0</v>
      </c>
      <c r="S11" s="60"/>
    </row>
    <row r="12" spans="1:19" x14ac:dyDescent="0.25">
      <c r="B12" s="16"/>
      <c r="C12" s="16"/>
      <c r="D12" s="16"/>
      <c r="E12" s="16"/>
      <c r="F12" s="16"/>
      <c r="G12" s="16"/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f>+N12+O12+P12+Q12</f>
        <v>0</v>
      </c>
      <c r="S12" s="60"/>
    </row>
    <row r="13" spans="1:19" x14ac:dyDescent="0.25">
      <c r="B13" s="16"/>
      <c r="C13" s="16"/>
      <c r="D13" s="16"/>
      <c r="E13" s="16"/>
      <c r="F13" s="16"/>
      <c r="G13" s="16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60"/>
    </row>
    <row r="14" spans="1:19" x14ac:dyDescent="0.25">
      <c r="B14" s="16"/>
      <c r="C14" s="16"/>
      <c r="D14" s="16"/>
      <c r="E14" s="16"/>
      <c r="F14" s="16"/>
      <c r="G14" s="16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60"/>
    </row>
    <row r="15" spans="1:19" x14ac:dyDescent="0.25">
      <c r="B15" s="16"/>
      <c r="C15" s="16"/>
      <c r="D15" s="16"/>
      <c r="E15" s="16"/>
      <c r="F15" s="16"/>
      <c r="G15" s="16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60"/>
    </row>
    <row r="16" spans="1:19" x14ac:dyDescent="0.25">
      <c r="B16" s="16"/>
      <c r="C16" s="16"/>
      <c r="D16" s="16"/>
      <c r="E16" s="16"/>
      <c r="F16" s="16"/>
      <c r="G16" s="16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60"/>
    </row>
    <row r="17" spans="1:19" x14ac:dyDescent="0.25">
      <c r="B17" s="30"/>
      <c r="C17" s="30"/>
      <c r="D17" s="30"/>
      <c r="E17" s="30"/>
      <c r="F17" s="30"/>
      <c r="G17" s="30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60"/>
    </row>
    <row r="18" spans="1:19" ht="17.25" customHeight="1" x14ac:dyDescent="0.25">
      <c r="A18" s="28"/>
      <c r="B18" s="264" t="s">
        <v>12</v>
      </c>
      <c r="C18" s="265"/>
      <c r="D18" s="266"/>
      <c r="E18" s="54"/>
      <c r="F18" s="54"/>
      <c r="G18" s="54"/>
      <c r="H18" s="32"/>
      <c r="I18" s="32"/>
      <c r="J18" s="32"/>
      <c r="K18" s="32"/>
      <c r="L18" s="32"/>
      <c r="M18" s="32"/>
      <c r="N18" s="18"/>
      <c r="O18" s="32"/>
      <c r="P18" s="32"/>
      <c r="Q18" s="32"/>
      <c r="R18" s="32"/>
      <c r="S18" s="32" t="s">
        <v>44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tabSelected="1" workbookViewId="0">
      <selection activeCell="C7" sqref="C7"/>
    </sheetView>
  </sheetViews>
  <sheetFormatPr defaultRowHeight="16.5" x14ac:dyDescent="0.3"/>
  <cols>
    <col min="1" max="1" width="4.85546875" style="75" customWidth="1"/>
    <col min="2" max="2" width="92.7109375" style="75" customWidth="1"/>
    <col min="3" max="3" width="14.28515625" style="75" customWidth="1"/>
    <col min="4" max="4" width="13.5703125" style="75" bestFit="1" customWidth="1"/>
    <col min="5" max="5" width="14" style="75" bestFit="1" customWidth="1"/>
    <col min="6" max="6" width="15" style="75" customWidth="1"/>
    <col min="7" max="7" width="8.42578125" style="75" customWidth="1"/>
    <col min="8" max="11" width="9.140625" style="75"/>
    <col min="12" max="12" width="21" style="75" customWidth="1"/>
    <col min="13" max="16" width="9.140625" style="75"/>
    <col min="17" max="17" width="0" style="75" hidden="1" customWidth="1"/>
    <col min="18" max="16384" width="9.140625" style="75"/>
  </cols>
  <sheetData>
    <row r="1" spans="1:12" ht="30" customHeight="1" x14ac:dyDescent="0.3">
      <c r="A1" s="3" t="s">
        <v>52</v>
      </c>
      <c r="B1" s="11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s="4" customFormat="1" ht="15.75" customHeight="1" x14ac:dyDescent="0.25"/>
    <row r="3" spans="1:12" ht="38.25" customHeight="1" x14ac:dyDescent="0.3">
      <c r="A3" s="336" t="s">
        <v>157</v>
      </c>
      <c r="B3" s="336"/>
      <c r="C3" s="336"/>
      <c r="D3" s="336"/>
      <c r="E3" s="336"/>
      <c r="F3" s="336"/>
    </row>
    <row r="4" spans="1:12" ht="27" x14ac:dyDescent="0.3">
      <c r="C4" s="34"/>
      <c r="D4" s="34"/>
      <c r="E4" s="34"/>
      <c r="F4" s="222" t="s">
        <v>14</v>
      </c>
    </row>
    <row r="5" spans="1:12" ht="40.5" x14ac:dyDescent="0.3">
      <c r="B5" s="40"/>
      <c r="C5" s="37" t="s">
        <v>229</v>
      </c>
      <c r="D5" s="35" t="s">
        <v>17</v>
      </c>
      <c r="E5" s="35" t="s">
        <v>114</v>
      </c>
      <c r="F5" s="35" t="s">
        <v>137</v>
      </c>
    </row>
    <row r="6" spans="1:12" ht="27" x14ac:dyDescent="0.3">
      <c r="B6" s="74" t="s">
        <v>155</v>
      </c>
      <c r="C6" s="35" t="s">
        <v>13</v>
      </c>
      <c r="D6" s="36"/>
      <c r="E6" s="76"/>
      <c r="F6" s="36"/>
    </row>
    <row r="7" spans="1:12" s="77" customFormat="1" ht="27" x14ac:dyDescent="0.3">
      <c r="B7" s="38" t="s">
        <v>150</v>
      </c>
      <c r="C7" s="153">
        <f>+'Հ3 Մաս 2'!H10+'Հ3 Մաս 2'!H11+'Հ3 Մաս 2'!H12+'Հ3 Մաս 2'!H13</f>
        <v>36423476.100000001</v>
      </c>
      <c r="D7" s="33" t="s">
        <v>13</v>
      </c>
      <c r="E7" s="33" t="s">
        <v>13</v>
      </c>
      <c r="F7" s="33" t="s">
        <v>13</v>
      </c>
    </row>
    <row r="8" spans="1:12" ht="27" x14ac:dyDescent="0.3">
      <c r="B8" s="38" t="s">
        <v>151</v>
      </c>
      <c r="C8" s="35" t="s">
        <v>13</v>
      </c>
      <c r="D8" s="154">
        <f t="shared" ref="D8:F8" si="0">D9+D10+D11</f>
        <v>53569091.960000001</v>
      </c>
      <c r="E8" s="154">
        <f t="shared" si="0"/>
        <v>63217092.777999997</v>
      </c>
      <c r="F8" s="154">
        <f t="shared" si="0"/>
        <v>139702381.47973949</v>
      </c>
    </row>
    <row r="9" spans="1:12" ht="27" x14ac:dyDescent="0.3">
      <c r="B9" s="39" t="s">
        <v>152</v>
      </c>
      <c r="C9" s="35" t="s">
        <v>13</v>
      </c>
      <c r="D9" s="153">
        <f>+'Հ3 Մաս 2'!I10+'Հ3 Մաս 2'!I11+'Հ3 Մաս 2'!I12+'Հ3 Մաս 2'!I13</f>
        <v>53569091.960000001</v>
      </c>
      <c r="E9" s="153">
        <f>+'Հ3 Մաս 2'!J10+'Հ3 Մաս 2'!J11+'Հ3 Մաս 2'!J12+'Հ3 Մաս 2'!J13</f>
        <v>63217092.777999997</v>
      </c>
      <c r="F9" s="153">
        <f>+'Հ3 Մաս 2'!K10+'Հ3 Մաս 2'!K11+'Հ3 Մաս 2'!K12+'Հ3 Մաս 2'!K13</f>
        <v>139702381.47973949</v>
      </c>
    </row>
    <row r="10" spans="1:12" s="77" customFormat="1" x14ac:dyDescent="0.3">
      <c r="B10" s="39" t="s">
        <v>26</v>
      </c>
      <c r="C10" s="35" t="s">
        <v>13</v>
      </c>
      <c r="D10" s="36"/>
      <c r="E10" s="36"/>
      <c r="F10" s="36"/>
    </row>
    <row r="11" spans="1:12" x14ac:dyDescent="0.3">
      <c r="B11" s="39" t="s">
        <v>27</v>
      </c>
      <c r="C11" s="35" t="s">
        <v>13</v>
      </c>
      <c r="D11" s="36"/>
      <c r="E11" s="36"/>
      <c r="F11" s="36"/>
    </row>
    <row r="12" spans="1:12" x14ac:dyDescent="0.3">
      <c r="B12" s="216" t="s">
        <v>113</v>
      </c>
      <c r="C12" s="35" t="s">
        <v>13</v>
      </c>
      <c r="D12" s="154">
        <f>D8-C7</f>
        <v>17145615.859999999</v>
      </c>
      <c r="E12" s="154">
        <f>E8-C7</f>
        <v>26793616.677999996</v>
      </c>
      <c r="F12" s="154">
        <f>F8-C7</f>
        <v>103278905.37973949</v>
      </c>
    </row>
    <row r="13" spans="1:12" ht="27" x14ac:dyDescent="0.3">
      <c r="B13" s="38" t="s">
        <v>264</v>
      </c>
      <c r="C13" s="35" t="s">
        <v>13</v>
      </c>
      <c r="D13" s="154">
        <f>D8-D6</f>
        <v>53569091.960000001</v>
      </c>
      <c r="E13" s="154">
        <f t="shared" ref="E13:F13" si="1">E8-E6</f>
        <v>63217092.777999997</v>
      </c>
      <c r="F13" s="154">
        <f t="shared" si="1"/>
        <v>139702381.47973949</v>
      </c>
    </row>
    <row r="14" spans="1:12" ht="45.75" customHeight="1" x14ac:dyDescent="0.3"/>
    <row r="15" spans="1:12" x14ac:dyDescent="0.3">
      <c r="B15" s="78" t="s">
        <v>156</v>
      </c>
    </row>
    <row r="16" spans="1:12" x14ac:dyDescent="0.3">
      <c r="B16" s="78" t="s">
        <v>158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336" t="s">
        <v>105</v>
      </c>
      <c r="B1" s="336"/>
      <c r="C1" s="336"/>
      <c r="D1" s="336"/>
      <c r="E1" s="336"/>
      <c r="F1" s="336"/>
      <c r="G1" s="336"/>
      <c r="H1" s="336"/>
      <c r="I1" s="3"/>
      <c r="J1" s="3"/>
      <c r="K1" s="3"/>
      <c r="L1" s="3"/>
      <c r="M1" s="3"/>
      <c r="N1" s="3"/>
      <c r="O1" s="3"/>
    </row>
    <row r="2" spans="1:15" ht="17.25" customHeight="1" x14ac:dyDescent="0.25"/>
    <row r="3" spans="1:15" x14ac:dyDescent="0.25">
      <c r="B3" s="338" t="s">
        <v>106</v>
      </c>
      <c r="C3" s="338"/>
      <c r="D3" s="339"/>
      <c r="E3" s="339"/>
      <c r="F3" s="339"/>
      <c r="G3" s="339"/>
      <c r="H3" s="339"/>
    </row>
    <row r="4" spans="1:15" x14ac:dyDescent="0.25">
      <c r="B4" s="338" t="s">
        <v>107</v>
      </c>
      <c r="C4" s="338"/>
      <c r="D4" s="339"/>
      <c r="E4" s="339"/>
      <c r="F4" s="339"/>
      <c r="G4" s="339"/>
      <c r="H4" s="339"/>
    </row>
    <row r="5" spans="1:15" x14ac:dyDescent="0.25">
      <c r="B5" s="338" t="s">
        <v>108</v>
      </c>
      <c r="C5" s="338"/>
      <c r="D5" s="339"/>
      <c r="E5" s="339"/>
      <c r="F5" s="339"/>
      <c r="G5" s="339"/>
      <c r="H5" s="339"/>
    </row>
    <row r="6" spans="1:15" x14ac:dyDescent="0.25">
      <c r="B6" s="338" t="s">
        <v>109</v>
      </c>
      <c r="C6" s="338"/>
      <c r="D6" s="339"/>
      <c r="E6" s="339"/>
      <c r="F6" s="339"/>
      <c r="G6" s="339"/>
      <c r="H6" s="339"/>
    </row>
    <row r="9" spans="1:15" x14ac:dyDescent="0.25">
      <c r="A9" s="3" t="s">
        <v>35</v>
      </c>
    </row>
    <row r="10" spans="1:15" x14ac:dyDescent="0.25">
      <c r="B10" s="3"/>
    </row>
    <row r="11" spans="1:15" ht="25.5" customHeight="1" x14ac:dyDescent="0.25">
      <c r="B11" s="261" t="s">
        <v>8</v>
      </c>
      <c r="C11" s="261"/>
      <c r="D11" s="261" t="s">
        <v>36</v>
      </c>
      <c r="E11" s="261" t="s">
        <v>110</v>
      </c>
      <c r="F11" s="261"/>
      <c r="G11" s="261"/>
      <c r="H11" s="261" t="s">
        <v>111</v>
      </c>
    </row>
    <row r="12" spans="1:15" ht="28.5" customHeight="1" x14ac:dyDescent="0.25">
      <c r="B12" s="26" t="s">
        <v>2</v>
      </c>
      <c r="C12" s="26" t="s">
        <v>25</v>
      </c>
      <c r="D12" s="261"/>
      <c r="E12" s="26" t="s">
        <v>7</v>
      </c>
      <c r="F12" s="26" t="s">
        <v>115</v>
      </c>
      <c r="G12" s="26" t="s">
        <v>146</v>
      </c>
      <c r="H12" s="261"/>
    </row>
    <row r="13" spans="1:15" x14ac:dyDescent="0.25">
      <c r="B13" s="16"/>
      <c r="C13" s="16"/>
      <c r="D13" s="16"/>
      <c r="E13" s="17"/>
      <c r="F13" s="17"/>
      <c r="G13" s="17"/>
      <c r="H13" s="17"/>
    </row>
    <row r="14" spans="1:15" x14ac:dyDescent="0.25">
      <c r="B14" s="16"/>
      <c r="C14" s="16"/>
      <c r="D14" s="16"/>
      <c r="E14" s="17"/>
      <c r="F14" s="17"/>
      <c r="G14" s="17"/>
      <c r="H14" s="17"/>
    </row>
    <row r="15" spans="1:15" x14ac:dyDescent="0.25">
      <c r="B15" s="16"/>
      <c r="C15" s="16"/>
      <c r="D15" s="16"/>
      <c r="E15" s="17"/>
      <c r="F15" s="17"/>
      <c r="G15" s="17"/>
      <c r="H15" s="17"/>
    </row>
    <row r="16" spans="1:15" x14ac:dyDescent="0.25">
      <c r="B16" s="337" t="s">
        <v>12</v>
      </c>
      <c r="C16" s="337"/>
      <c r="D16" s="337"/>
      <c r="E16" s="26">
        <f>SUM(E13:E15)</f>
        <v>0</v>
      </c>
      <c r="F16" s="26">
        <f t="shared" ref="F16:G16" si="0">SUM(F13:F15)</f>
        <v>0</v>
      </c>
      <c r="G16" s="26">
        <f t="shared" si="0"/>
        <v>0</v>
      </c>
      <c r="H16" s="26" t="s">
        <v>44</v>
      </c>
    </row>
    <row r="18" spans="2:2" x14ac:dyDescent="0.25">
      <c r="B18" s="78" t="s">
        <v>159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3" t="s">
        <v>53</v>
      </c>
      <c r="B1" s="3"/>
      <c r="C1" s="3"/>
      <c r="D1" s="3"/>
    </row>
    <row r="3" spans="1:5" ht="25.5" x14ac:dyDescent="0.25">
      <c r="B3" s="26" t="s">
        <v>38</v>
      </c>
      <c r="C3" s="26" t="s">
        <v>112</v>
      </c>
      <c r="D3" s="26" t="s">
        <v>39</v>
      </c>
      <c r="E3" s="26" t="s">
        <v>40</v>
      </c>
    </row>
    <row r="4" spans="1:5" x14ac:dyDescent="0.25">
      <c r="B4" s="20"/>
      <c r="C4" s="20"/>
      <c r="D4" s="20"/>
      <c r="E4" s="20"/>
    </row>
    <row r="5" spans="1:5" x14ac:dyDescent="0.25">
      <c r="B5" s="20"/>
      <c r="C5" s="20"/>
      <c r="D5" s="20"/>
      <c r="E5" s="20"/>
    </row>
    <row r="7" spans="1:5" x14ac:dyDescent="0.25">
      <c r="B7" s="78" t="s">
        <v>159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R9"/>
  <sheetViews>
    <sheetView zoomScale="82" zoomScaleNormal="82" zoomScaleSheetLayoutView="50" workbookViewId="0">
      <selection activeCell="E21" sqref="E21"/>
    </sheetView>
  </sheetViews>
  <sheetFormatPr defaultRowHeight="16.5" x14ac:dyDescent="0.3"/>
  <cols>
    <col min="1" max="1" width="9.140625" style="83"/>
    <col min="2" max="2" width="11.5703125" style="84" customWidth="1"/>
    <col min="3" max="3" width="16.85546875" style="84" customWidth="1"/>
    <col min="4" max="4" width="37.140625" style="85" customWidth="1"/>
    <col min="5" max="5" width="27.7109375" style="85" customWidth="1"/>
    <col min="6" max="6" width="19" style="86" customWidth="1"/>
    <col min="7" max="7" width="15.7109375" style="86" customWidth="1"/>
    <col min="8" max="8" width="36" style="85" customWidth="1"/>
    <col min="9" max="9" width="19" style="89" bestFit="1" customWidth="1"/>
    <col min="10" max="10" width="25.7109375" style="89" customWidth="1"/>
    <col min="11" max="11" width="17" style="89" customWidth="1"/>
    <col min="12" max="12" width="26" style="90" customWidth="1"/>
    <col min="13" max="13" width="19.85546875" style="90" customWidth="1"/>
    <col min="14" max="14" width="15.85546875" style="91" customWidth="1"/>
    <col min="15" max="15" width="22" style="91" customWidth="1"/>
    <col min="16" max="16" width="14" style="93" customWidth="1"/>
    <col min="17" max="17" width="15" style="83" customWidth="1"/>
    <col min="18" max="18" width="15.42578125" style="83" customWidth="1"/>
    <col min="19" max="19" width="21.140625" style="83" customWidth="1"/>
    <col min="20" max="20" width="37.5703125" style="83" customWidth="1"/>
    <col min="21" max="16384" width="9.140625" style="83"/>
  </cols>
  <sheetData>
    <row r="1" spans="2:18" x14ac:dyDescent="0.3">
      <c r="B1" s="96" t="s">
        <v>189</v>
      </c>
      <c r="D1" s="84"/>
      <c r="E1" s="83"/>
      <c r="F1" s="85"/>
      <c r="H1" s="83"/>
      <c r="I1" s="97"/>
      <c r="J1" s="98"/>
      <c r="K1" s="98"/>
      <c r="L1" s="98"/>
      <c r="M1" s="99"/>
      <c r="N1" s="99"/>
      <c r="O1" s="100"/>
      <c r="P1" s="101"/>
    </row>
    <row r="2" spans="2:18" x14ac:dyDescent="0.3">
      <c r="B2" s="83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92"/>
    </row>
    <row r="3" spans="2:18" x14ac:dyDescent="0.3">
      <c r="B3" s="83"/>
      <c r="D3" s="84"/>
      <c r="F3" s="85"/>
      <c r="H3" s="87"/>
      <c r="I3" s="88"/>
      <c r="L3" s="89"/>
      <c r="N3" s="90"/>
      <c r="P3" s="91"/>
      <c r="Q3" s="93"/>
      <c r="R3" s="83" t="s">
        <v>184</v>
      </c>
    </row>
    <row r="4" spans="2:18" s="94" customFormat="1" ht="66" x14ac:dyDescent="0.3">
      <c r="B4" s="102" t="s">
        <v>180</v>
      </c>
      <c r="C4" s="102" t="s">
        <v>181</v>
      </c>
      <c r="D4" s="103" t="s">
        <v>175</v>
      </c>
      <c r="E4" s="103" t="s">
        <v>182</v>
      </c>
      <c r="F4" s="103" t="s">
        <v>209</v>
      </c>
      <c r="G4" s="103" t="s">
        <v>176</v>
      </c>
      <c r="H4" s="103" t="s">
        <v>210</v>
      </c>
      <c r="I4" s="104" t="s">
        <v>213</v>
      </c>
      <c r="J4" s="104" t="s">
        <v>177</v>
      </c>
      <c r="K4" s="104" t="s">
        <v>178</v>
      </c>
      <c r="L4" s="105" t="s">
        <v>266</v>
      </c>
      <c r="M4" s="105" t="s">
        <v>183</v>
      </c>
      <c r="N4" s="106" t="s">
        <v>228</v>
      </c>
      <c r="O4" s="106" t="s">
        <v>185</v>
      </c>
      <c r="P4" s="107" t="s">
        <v>186</v>
      </c>
      <c r="Q4" s="107" t="s">
        <v>187</v>
      </c>
      <c r="R4" s="107" t="s">
        <v>188</v>
      </c>
    </row>
    <row r="5" spans="2:18" s="95" customFormat="1" x14ac:dyDescent="0.3">
      <c r="B5" s="22"/>
      <c r="C5" s="17"/>
      <c r="D5" s="22"/>
      <c r="E5" s="22"/>
      <c r="F5" s="22"/>
      <c r="G5" s="22"/>
      <c r="H5" s="22"/>
      <c r="I5" s="22"/>
      <c r="J5" s="22"/>
      <c r="K5" s="22"/>
      <c r="L5" s="142"/>
      <c r="M5" s="142"/>
      <c r="N5" s="142"/>
      <c r="O5" s="217"/>
      <c r="P5" s="142"/>
      <c r="Q5" s="142"/>
      <c r="R5" s="142"/>
    </row>
    <row r="7" spans="2:18" x14ac:dyDescent="0.3">
      <c r="D7" s="122" t="s">
        <v>179</v>
      </c>
    </row>
    <row r="9" spans="2:18" x14ac:dyDescent="0.3">
      <c r="D9" s="78" t="s">
        <v>159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19"/>
  <sheetViews>
    <sheetView topLeftCell="A6" zoomScale="85" zoomScaleNormal="85" workbookViewId="0">
      <selection activeCell="K10" sqref="K10"/>
    </sheetView>
  </sheetViews>
  <sheetFormatPr defaultRowHeight="15" x14ac:dyDescent="0.25"/>
  <cols>
    <col min="1" max="1" width="11.42578125" customWidth="1"/>
    <col min="2" max="2" width="15.42578125" customWidth="1"/>
    <col min="3" max="3" width="17.28515625" customWidth="1"/>
    <col min="4" max="4" width="32.5703125" customWidth="1"/>
    <col min="5" max="5" width="27.7109375" customWidth="1"/>
    <col min="6" max="6" width="18" customWidth="1"/>
    <col min="7" max="7" width="15.85546875" customWidth="1"/>
    <col min="8" max="8" width="15" customWidth="1"/>
    <col min="9" max="9" width="15.85546875" customWidth="1"/>
    <col min="10" max="10" width="17" customWidth="1"/>
    <col min="11" max="11" width="20.140625" customWidth="1"/>
    <col min="12" max="12" width="12.140625" customWidth="1"/>
    <col min="13" max="13" width="14.42578125" bestFit="1" customWidth="1"/>
    <col min="14" max="14" width="13.85546875" bestFit="1" customWidth="1"/>
    <col min="15" max="15" width="13.7109375" bestFit="1" customWidth="1"/>
    <col min="18" max="18" width="18.5703125" customWidth="1"/>
    <col min="19" max="19" width="18.7109375" bestFit="1" customWidth="1"/>
    <col min="20" max="20" width="18.85546875" customWidth="1"/>
    <col min="21" max="21" width="18.140625" bestFit="1" customWidth="1"/>
  </cols>
  <sheetData>
    <row r="2" spans="1:21" x14ac:dyDescent="0.25">
      <c r="A2" s="8" t="s">
        <v>1</v>
      </c>
      <c r="B2" s="9"/>
      <c r="C2" s="9"/>
      <c r="D2" s="10"/>
      <c r="E2" s="10"/>
      <c r="F2" s="10"/>
      <c r="G2" s="10"/>
      <c r="H2" s="10"/>
      <c r="I2" s="10"/>
    </row>
    <row r="3" spans="1:21" ht="16.5" x14ac:dyDescent="0.3">
      <c r="E3" s="75" t="s">
        <v>236</v>
      </c>
      <c r="F3" s="75"/>
      <c r="G3" s="75"/>
      <c r="H3" s="75"/>
      <c r="I3" s="131"/>
      <c r="J3" s="75"/>
      <c r="K3" s="75"/>
      <c r="L3" s="75"/>
      <c r="M3" s="75"/>
      <c r="N3" s="75"/>
      <c r="O3" s="75"/>
      <c r="P3" s="75"/>
      <c r="Q3" s="75"/>
      <c r="R3" s="75"/>
    </row>
    <row r="4" spans="1:21" s="81" customFormat="1" ht="16.5" x14ac:dyDescent="0.3">
      <c r="A4" s="82"/>
      <c r="B4" s="82"/>
      <c r="C4" s="82"/>
      <c r="D4" s="82"/>
      <c r="E4" s="82"/>
      <c r="M4" s="232" t="s">
        <v>184</v>
      </c>
      <c r="N4" s="232"/>
    </row>
    <row r="5" spans="1:21" s="81" customFormat="1" ht="36" customHeight="1" x14ac:dyDescent="0.25">
      <c r="A5" s="233" t="s">
        <v>170</v>
      </c>
      <c r="B5" s="233" t="s">
        <v>199</v>
      </c>
      <c r="C5" s="233"/>
      <c r="D5" s="233" t="s">
        <v>217</v>
      </c>
      <c r="E5" s="233" t="s">
        <v>206</v>
      </c>
      <c r="F5" s="233" t="s">
        <v>216</v>
      </c>
      <c r="G5" s="234" t="s">
        <v>165</v>
      </c>
      <c r="H5" s="234" t="s">
        <v>166</v>
      </c>
      <c r="I5" s="234" t="s">
        <v>171</v>
      </c>
      <c r="J5" s="234" t="s">
        <v>172</v>
      </c>
      <c r="K5" s="234" t="s">
        <v>173</v>
      </c>
      <c r="L5" s="234" t="s">
        <v>163</v>
      </c>
      <c r="M5" s="234" t="s">
        <v>168</v>
      </c>
      <c r="N5" s="234" t="s">
        <v>169</v>
      </c>
      <c r="O5" s="235" t="s">
        <v>203</v>
      </c>
      <c r="P5" s="235"/>
      <c r="Q5" s="235"/>
      <c r="R5" s="235" t="s">
        <v>174</v>
      </c>
    </row>
    <row r="6" spans="1:21" s="81" customFormat="1" ht="141" customHeight="1" x14ac:dyDescent="0.25">
      <c r="A6" s="233"/>
      <c r="B6" s="121" t="s">
        <v>205</v>
      </c>
      <c r="C6" s="121" t="s">
        <v>207</v>
      </c>
      <c r="D6" s="233"/>
      <c r="E6" s="233"/>
      <c r="F6" s="233"/>
      <c r="G6" s="234"/>
      <c r="H6" s="234"/>
      <c r="I6" s="234"/>
      <c r="J6" s="234"/>
      <c r="K6" s="234"/>
      <c r="L6" s="234"/>
      <c r="M6" s="234"/>
      <c r="N6" s="234"/>
      <c r="O6" s="132" t="s">
        <v>167</v>
      </c>
      <c r="P6" s="132" t="s">
        <v>168</v>
      </c>
      <c r="Q6" s="132" t="s">
        <v>169</v>
      </c>
      <c r="R6" s="235"/>
    </row>
    <row r="7" spans="1:21" s="81" customFormat="1" ht="24.75" customHeight="1" x14ac:dyDescent="0.25">
      <c r="A7" s="121">
        <v>1</v>
      </c>
      <c r="B7" s="121">
        <v>2</v>
      </c>
      <c r="C7" s="121">
        <v>3</v>
      </c>
      <c r="D7" s="121">
        <v>4</v>
      </c>
      <c r="E7" s="121">
        <v>5</v>
      </c>
      <c r="F7" s="121">
        <v>6</v>
      </c>
      <c r="G7" s="121">
        <v>7</v>
      </c>
      <c r="H7" s="121">
        <v>8</v>
      </c>
      <c r="I7" s="121">
        <v>9</v>
      </c>
      <c r="J7" s="121">
        <v>10</v>
      </c>
      <c r="K7" s="121">
        <v>11</v>
      </c>
      <c r="L7" s="121">
        <v>12</v>
      </c>
      <c r="M7" s="121">
        <v>13</v>
      </c>
      <c r="N7" s="121">
        <v>14</v>
      </c>
      <c r="O7" s="121">
        <v>15</v>
      </c>
      <c r="P7" s="121">
        <v>16</v>
      </c>
      <c r="Q7" s="121">
        <v>17</v>
      </c>
      <c r="R7" s="121">
        <v>18</v>
      </c>
    </row>
    <row r="8" spans="1:21" s="81" customFormat="1" ht="24.95" customHeight="1" x14ac:dyDescent="0.25">
      <c r="A8" s="236" t="s">
        <v>204</v>
      </c>
      <c r="B8" s="237"/>
      <c r="C8" s="12"/>
      <c r="D8" s="12"/>
      <c r="E8" s="12"/>
      <c r="F8" s="12"/>
      <c r="G8" s="158">
        <f>+G9</f>
        <v>129118.58431825</v>
      </c>
      <c r="H8" s="158">
        <f t="shared" ref="H8:K8" si="0">+H9</f>
        <v>36423476.100000001</v>
      </c>
      <c r="I8" s="158">
        <f t="shared" si="0"/>
        <v>53569091.960000001</v>
      </c>
      <c r="J8" s="158">
        <f t="shared" si="0"/>
        <v>63217092.777999997</v>
      </c>
      <c r="K8" s="158">
        <f t="shared" si="0"/>
        <v>139702381.47973949</v>
      </c>
      <c r="L8" s="133">
        <v>0</v>
      </c>
      <c r="M8" s="133">
        <v>0</v>
      </c>
      <c r="N8" s="133">
        <v>0</v>
      </c>
      <c r="O8" s="133">
        <v>0</v>
      </c>
      <c r="P8" s="133">
        <v>0</v>
      </c>
      <c r="Q8" s="133">
        <v>0</v>
      </c>
      <c r="R8" s="12"/>
    </row>
    <row r="9" spans="1:21" s="81" customFormat="1" ht="102" customHeight="1" x14ac:dyDescent="0.25">
      <c r="A9" s="229" t="s">
        <v>237</v>
      </c>
      <c r="B9" s="229">
        <v>1167</v>
      </c>
      <c r="C9" s="12"/>
      <c r="D9" s="13" t="s">
        <v>238</v>
      </c>
      <c r="E9" s="13" t="s">
        <v>240</v>
      </c>
      <c r="F9" s="13" t="s">
        <v>241</v>
      </c>
      <c r="G9" s="133">
        <f>SUM(G10:G13)</f>
        <v>129118.58431825</v>
      </c>
      <c r="H9" s="133">
        <f t="shared" ref="H9:K9" si="1">SUM(H10:H13)</f>
        <v>36423476.100000001</v>
      </c>
      <c r="I9" s="133">
        <f t="shared" si="1"/>
        <v>53569091.960000001</v>
      </c>
      <c r="J9" s="133">
        <f t="shared" si="1"/>
        <v>63217092.777999997</v>
      </c>
      <c r="K9" s="133">
        <f t="shared" si="1"/>
        <v>139702381.47973949</v>
      </c>
      <c r="L9" s="133"/>
      <c r="M9" s="133"/>
      <c r="N9" s="133"/>
      <c r="O9" s="133"/>
      <c r="P9" s="133"/>
      <c r="Q9" s="133"/>
      <c r="R9" s="12"/>
    </row>
    <row r="10" spans="1:21" s="81" customFormat="1" ht="134.25" customHeight="1" x14ac:dyDescent="0.25">
      <c r="A10" s="230"/>
      <c r="B10" s="230"/>
      <c r="C10" s="13">
        <v>42013</v>
      </c>
      <c r="D10" s="13" t="s">
        <v>239</v>
      </c>
      <c r="E10" s="13" t="s">
        <v>265</v>
      </c>
      <c r="F10" s="13" t="s">
        <v>267</v>
      </c>
      <c r="G10" s="133">
        <v>0</v>
      </c>
      <c r="H10" s="133">
        <v>3871700</v>
      </c>
      <c r="I10" s="133">
        <v>3808043.46</v>
      </c>
      <c r="J10" s="133">
        <v>13341026.25</v>
      </c>
      <c r="K10" s="133">
        <v>4429498.8600000031</v>
      </c>
      <c r="L10" s="133">
        <v>0</v>
      </c>
      <c r="M10" s="133">
        <v>0</v>
      </c>
      <c r="N10" s="133">
        <v>0</v>
      </c>
      <c r="O10" s="133">
        <v>0</v>
      </c>
      <c r="P10" s="133">
        <v>0</v>
      </c>
      <c r="Q10" s="133">
        <v>0</v>
      </c>
      <c r="R10" s="12"/>
      <c r="S10" s="134"/>
      <c r="T10" s="134"/>
      <c r="U10" s="134"/>
    </row>
    <row r="11" spans="1:21" s="157" customFormat="1" ht="102" x14ac:dyDescent="0.25">
      <c r="A11" s="230"/>
      <c r="B11" s="230"/>
      <c r="C11" s="13">
        <v>42008</v>
      </c>
      <c r="D11" s="155" t="s">
        <v>268</v>
      </c>
      <c r="E11" s="13" t="s">
        <v>271</v>
      </c>
      <c r="F11" s="13" t="s">
        <v>267</v>
      </c>
      <c r="G11" s="156">
        <v>64559.297518249994</v>
      </c>
      <c r="H11" s="156">
        <v>31400151.899999999</v>
      </c>
      <c r="I11" s="156">
        <v>47769468.75</v>
      </c>
      <c r="J11" s="156">
        <v>49037137.5</v>
      </c>
      <c r="K11" s="156">
        <v>134738316.89579499</v>
      </c>
      <c r="L11" s="156">
        <v>0</v>
      </c>
      <c r="M11" s="156">
        <v>0</v>
      </c>
      <c r="N11" s="156">
        <v>0</v>
      </c>
      <c r="O11" s="156"/>
      <c r="P11" s="156">
        <v>0</v>
      </c>
      <c r="Q11" s="156">
        <v>0</v>
      </c>
      <c r="R11" s="13"/>
    </row>
    <row r="12" spans="1:21" s="157" customFormat="1" ht="89.25" x14ac:dyDescent="0.25">
      <c r="A12" s="230"/>
      <c r="B12" s="230"/>
      <c r="C12" s="13">
        <v>11006</v>
      </c>
      <c r="D12" s="155" t="s">
        <v>269</v>
      </c>
      <c r="E12" s="13" t="s">
        <v>272</v>
      </c>
      <c r="F12" s="13" t="s">
        <v>274</v>
      </c>
      <c r="G12" s="156">
        <v>64559.286800000002</v>
      </c>
      <c r="H12" s="156">
        <v>138607.5</v>
      </c>
      <c r="I12" s="156">
        <v>224057.87500000003</v>
      </c>
      <c r="J12" s="156">
        <v>154593.75</v>
      </c>
      <c r="K12" s="156">
        <v>534565.72394449986</v>
      </c>
      <c r="L12" s="156"/>
      <c r="M12" s="156">
        <v>0</v>
      </c>
      <c r="N12" s="156">
        <v>0</v>
      </c>
      <c r="O12" s="156">
        <v>0</v>
      </c>
      <c r="P12" s="156">
        <v>0</v>
      </c>
      <c r="Q12" s="156">
        <v>0</v>
      </c>
      <c r="R12" s="13"/>
    </row>
    <row r="13" spans="1:21" s="157" customFormat="1" ht="102" x14ac:dyDescent="0.25">
      <c r="A13" s="231"/>
      <c r="B13" s="231"/>
      <c r="C13" s="13">
        <v>32006</v>
      </c>
      <c r="D13" s="155" t="s">
        <v>270</v>
      </c>
      <c r="E13" s="13" t="s">
        <v>273</v>
      </c>
      <c r="F13" s="13" t="s">
        <v>275</v>
      </c>
      <c r="G13" s="156">
        <v>0</v>
      </c>
      <c r="H13" s="156">
        <v>1013016.7</v>
      </c>
      <c r="I13" s="156">
        <v>1767521.875</v>
      </c>
      <c r="J13" s="156">
        <v>684335.27800000017</v>
      </c>
      <c r="K13" s="156">
        <v>0</v>
      </c>
      <c r="L13" s="156"/>
      <c r="M13" s="156"/>
      <c r="N13" s="156">
        <v>0</v>
      </c>
      <c r="O13" s="156">
        <v>0</v>
      </c>
      <c r="P13" s="156">
        <v>0</v>
      </c>
      <c r="Q13" s="156">
        <v>0</v>
      </c>
      <c r="R13" s="13"/>
    </row>
    <row r="16" spans="1:21" x14ac:dyDescent="0.25">
      <c r="B16" s="78" t="s">
        <v>230</v>
      </c>
    </row>
    <row r="19" spans="9:9" x14ac:dyDescent="0.25">
      <c r="I19" s="218"/>
    </row>
  </sheetData>
  <mergeCells count="19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B9:B13"/>
    <mergeCell ref="A9:A13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67" workbookViewId="0">
      <selection activeCell="A20" sqref="A20:H20"/>
    </sheetView>
  </sheetViews>
  <sheetFormatPr defaultRowHeight="15" x14ac:dyDescent="0.25"/>
  <cols>
    <col min="1" max="5" width="9.140625" style="56"/>
    <col min="6" max="6" width="16.140625" style="56" customWidth="1"/>
    <col min="7" max="7" width="26.28515625" style="56" customWidth="1"/>
    <col min="8" max="8" width="59.42578125" style="56" customWidth="1"/>
    <col min="9" max="9" width="7.7109375" style="56" customWidth="1"/>
    <col min="10" max="16384" width="9.140625" style="56"/>
  </cols>
  <sheetData>
    <row r="1" spans="1:12" ht="21.75" customHeight="1" x14ac:dyDescent="0.25">
      <c r="A1" s="358" t="s">
        <v>37</v>
      </c>
      <c r="B1" s="358"/>
      <c r="C1" s="358"/>
      <c r="D1" s="358"/>
      <c r="E1" s="358"/>
      <c r="F1" s="358"/>
      <c r="G1" s="358"/>
      <c r="H1" s="358"/>
    </row>
    <row r="2" spans="1:12" ht="21.75" customHeight="1" x14ac:dyDescent="0.25">
      <c r="A2" s="364" t="s">
        <v>54</v>
      </c>
      <c r="B2" s="364"/>
      <c r="C2" s="364"/>
      <c r="D2" s="364"/>
      <c r="E2" s="364"/>
      <c r="F2" s="364"/>
      <c r="G2" s="364"/>
      <c r="H2" s="364"/>
    </row>
    <row r="3" spans="1:12" ht="15" customHeight="1" x14ac:dyDescent="0.25">
      <c r="A3" s="358"/>
      <c r="B3" s="358"/>
      <c r="C3" s="358"/>
      <c r="D3" s="358"/>
      <c r="E3" s="358"/>
      <c r="F3" s="358"/>
      <c r="G3" s="358"/>
      <c r="H3" s="358"/>
    </row>
    <row r="4" spans="1:12" x14ac:dyDescent="0.25">
      <c r="A4" s="341" t="s">
        <v>201</v>
      </c>
      <c r="B4" s="341"/>
      <c r="C4" s="341"/>
      <c r="D4" s="341"/>
      <c r="E4" s="341"/>
      <c r="F4" s="341"/>
      <c r="G4" s="341"/>
      <c r="H4" s="341"/>
    </row>
    <row r="5" spans="1:12" x14ac:dyDescent="0.25">
      <c r="A5" s="306"/>
      <c r="B5" s="306"/>
      <c r="C5" s="306"/>
      <c r="D5" s="306"/>
      <c r="E5" s="306"/>
      <c r="F5" s="306"/>
      <c r="G5" s="306"/>
      <c r="H5" s="306"/>
    </row>
    <row r="6" spans="1:12" x14ac:dyDescent="0.25">
      <c r="A6" s="359" t="s">
        <v>55</v>
      </c>
      <c r="B6" s="360"/>
      <c r="C6" s="360"/>
      <c r="D6" s="360"/>
      <c r="E6" s="360"/>
      <c r="F6" s="360"/>
      <c r="G6" s="360"/>
      <c r="H6" s="360"/>
    </row>
    <row r="7" spans="1:12" x14ac:dyDescent="0.25">
      <c r="A7" s="366"/>
      <c r="B7" s="367"/>
      <c r="C7" s="367"/>
      <c r="D7" s="367"/>
      <c r="E7" s="367"/>
      <c r="F7" s="367"/>
      <c r="G7" s="367"/>
      <c r="H7" s="367"/>
    </row>
    <row r="8" spans="1:12" ht="18" customHeight="1" x14ac:dyDescent="0.25">
      <c r="A8" s="365" t="s">
        <v>0</v>
      </c>
      <c r="B8" s="341"/>
      <c r="C8" s="341"/>
      <c r="D8" s="341"/>
      <c r="E8" s="341"/>
      <c r="F8" s="341"/>
      <c r="G8" s="341"/>
      <c r="H8" s="341"/>
    </row>
    <row r="9" spans="1:12" ht="30.75" customHeight="1" x14ac:dyDescent="0.25">
      <c r="A9" s="359" t="s">
        <v>63</v>
      </c>
      <c r="B9" s="360"/>
      <c r="C9" s="360"/>
      <c r="D9" s="360"/>
      <c r="E9" s="360"/>
      <c r="F9" s="360"/>
      <c r="G9" s="360"/>
      <c r="H9" s="360"/>
    </row>
    <row r="10" spans="1:12" ht="42" customHeight="1" x14ac:dyDescent="0.25">
      <c r="A10" s="359" t="s">
        <v>64</v>
      </c>
      <c r="B10" s="360"/>
      <c r="C10" s="360"/>
      <c r="D10" s="360"/>
      <c r="E10" s="360"/>
      <c r="F10" s="360"/>
      <c r="G10" s="360"/>
      <c r="H10" s="360"/>
    </row>
    <row r="11" spans="1:12" ht="28.5" customHeight="1" x14ac:dyDescent="0.25">
      <c r="A11" s="360" t="s">
        <v>65</v>
      </c>
      <c r="B11" s="360"/>
      <c r="C11" s="360"/>
      <c r="D11" s="360"/>
      <c r="E11" s="360"/>
      <c r="F11" s="360"/>
      <c r="G11" s="360"/>
      <c r="H11" s="360"/>
    </row>
    <row r="12" spans="1:12" ht="33" customHeight="1" x14ac:dyDescent="0.25">
      <c r="A12" s="360" t="s">
        <v>202</v>
      </c>
      <c r="B12" s="360"/>
      <c r="C12" s="360"/>
      <c r="D12" s="360"/>
      <c r="E12" s="360"/>
      <c r="F12" s="360"/>
      <c r="G12" s="360"/>
      <c r="H12" s="360"/>
      <c r="I12" s="108"/>
      <c r="J12" s="108"/>
      <c r="K12" s="108"/>
      <c r="L12" s="108"/>
    </row>
    <row r="13" spans="1:12" ht="19.5" customHeight="1" x14ac:dyDescent="0.25">
      <c r="A13" s="361"/>
      <c r="B13" s="361"/>
      <c r="C13" s="361"/>
      <c r="D13" s="361"/>
      <c r="E13" s="361"/>
      <c r="F13" s="361"/>
      <c r="G13" s="361"/>
      <c r="H13" s="361"/>
      <c r="I13" s="108"/>
      <c r="J13" s="108"/>
      <c r="K13" s="108"/>
      <c r="L13" s="108"/>
    </row>
    <row r="14" spans="1:12" ht="16.5" customHeight="1" x14ac:dyDescent="0.25">
      <c r="A14" s="341" t="s">
        <v>1</v>
      </c>
      <c r="B14" s="341"/>
      <c r="C14" s="341"/>
      <c r="D14" s="341"/>
      <c r="E14" s="341"/>
      <c r="F14" s="341"/>
      <c r="G14" s="341"/>
      <c r="H14" s="341"/>
      <c r="I14" s="108"/>
      <c r="J14" s="108"/>
      <c r="K14" s="108"/>
      <c r="L14" s="108"/>
    </row>
    <row r="15" spans="1:12" ht="15.75" customHeight="1" x14ac:dyDescent="0.25">
      <c r="A15" s="355"/>
      <c r="B15" s="355"/>
      <c r="C15" s="355"/>
      <c r="D15" s="355"/>
      <c r="E15" s="355"/>
      <c r="F15" s="355"/>
      <c r="G15" s="355"/>
      <c r="H15" s="355"/>
    </row>
    <row r="16" spans="1:12" ht="15.75" customHeight="1" x14ac:dyDescent="0.25">
      <c r="A16" s="362" t="s">
        <v>215</v>
      </c>
      <c r="B16" s="362"/>
      <c r="C16" s="362"/>
      <c r="D16" s="362"/>
      <c r="E16" s="362"/>
      <c r="F16" s="362"/>
      <c r="G16" s="362"/>
      <c r="H16" s="362"/>
    </row>
    <row r="17" spans="1:9" ht="25.5" customHeight="1" x14ac:dyDescent="0.25">
      <c r="A17" s="362" t="s">
        <v>66</v>
      </c>
      <c r="B17" s="362"/>
      <c r="C17" s="362"/>
      <c r="D17" s="362"/>
      <c r="E17" s="362"/>
      <c r="F17" s="362"/>
      <c r="G17" s="362"/>
      <c r="H17" s="362"/>
    </row>
    <row r="18" spans="1:9" ht="17.25" customHeight="1" x14ac:dyDescent="0.25">
      <c r="A18" s="362" t="s">
        <v>208</v>
      </c>
      <c r="B18" s="362"/>
      <c r="C18" s="362"/>
      <c r="D18" s="362"/>
      <c r="E18" s="362"/>
      <c r="F18" s="362"/>
      <c r="G18" s="362"/>
      <c r="H18" s="362"/>
    </row>
    <row r="19" spans="1:9" ht="17.25" customHeight="1" x14ac:dyDescent="0.25">
      <c r="A19" s="363" t="s">
        <v>219</v>
      </c>
      <c r="B19" s="363"/>
      <c r="C19" s="363"/>
      <c r="D19" s="363"/>
      <c r="E19" s="363"/>
      <c r="F19" s="363"/>
      <c r="G19" s="363"/>
      <c r="H19" s="363"/>
    </row>
    <row r="20" spans="1:9" ht="41.25" customHeight="1" x14ac:dyDescent="0.25">
      <c r="A20" s="362" t="s">
        <v>218</v>
      </c>
      <c r="B20" s="362"/>
      <c r="C20" s="362"/>
      <c r="D20" s="362"/>
      <c r="E20" s="362"/>
      <c r="F20" s="362"/>
      <c r="G20" s="362"/>
      <c r="H20" s="362"/>
    </row>
    <row r="21" spans="1:9" ht="10.5" customHeight="1" x14ac:dyDescent="0.25">
      <c r="A21" s="357"/>
      <c r="B21" s="357"/>
      <c r="C21" s="357"/>
      <c r="D21" s="357"/>
      <c r="E21" s="357"/>
      <c r="F21" s="357"/>
      <c r="G21" s="357"/>
      <c r="H21" s="357"/>
    </row>
    <row r="22" spans="1:9" x14ac:dyDescent="0.25">
      <c r="A22" s="341" t="s">
        <v>56</v>
      </c>
      <c r="B22" s="341"/>
      <c r="C22" s="341"/>
      <c r="D22" s="341"/>
      <c r="E22" s="341"/>
      <c r="F22" s="341"/>
      <c r="G22" s="341"/>
      <c r="H22" s="341"/>
      <c r="I22" s="109"/>
    </row>
    <row r="23" spans="1:9" ht="12" customHeight="1" x14ac:dyDescent="0.25">
      <c r="A23" s="306"/>
      <c r="B23" s="306"/>
      <c r="C23" s="306"/>
      <c r="D23" s="306"/>
      <c r="E23" s="306"/>
      <c r="F23" s="306"/>
      <c r="G23" s="306"/>
      <c r="H23" s="306"/>
      <c r="I23" s="110"/>
    </row>
    <row r="24" spans="1:9" ht="12" customHeight="1" x14ac:dyDescent="0.25">
      <c r="A24" s="369" t="s">
        <v>67</v>
      </c>
      <c r="B24" s="369"/>
      <c r="C24" s="369"/>
      <c r="D24" s="369"/>
      <c r="E24" s="369"/>
      <c r="F24" s="369"/>
      <c r="G24" s="369"/>
      <c r="H24" s="369"/>
      <c r="I24" s="110"/>
    </row>
    <row r="25" spans="1:9" ht="12" customHeight="1" x14ac:dyDescent="0.25">
      <c r="A25" s="369" t="s">
        <v>68</v>
      </c>
      <c r="B25" s="369"/>
      <c r="C25" s="369"/>
      <c r="D25" s="369"/>
      <c r="E25" s="369"/>
      <c r="F25" s="369"/>
      <c r="G25" s="369"/>
      <c r="H25" s="369"/>
      <c r="I25" s="110"/>
    </row>
    <row r="26" spans="1:9" ht="12" customHeight="1" x14ac:dyDescent="0.25">
      <c r="A26" s="369" t="s">
        <v>69</v>
      </c>
      <c r="B26" s="369"/>
      <c r="C26" s="369"/>
      <c r="D26" s="369"/>
      <c r="E26" s="369"/>
      <c r="F26" s="369"/>
      <c r="G26" s="369"/>
      <c r="H26" s="369"/>
      <c r="I26" s="110"/>
    </row>
    <row r="27" spans="1:9" ht="15" customHeight="1" x14ac:dyDescent="0.25">
      <c r="A27" s="369" t="s">
        <v>70</v>
      </c>
      <c r="B27" s="369"/>
      <c r="C27" s="369"/>
      <c r="D27" s="369"/>
      <c r="E27" s="369"/>
      <c r="F27" s="369"/>
      <c r="G27" s="369"/>
      <c r="H27" s="369"/>
      <c r="I27" s="110"/>
    </row>
    <row r="28" spans="1:9" ht="30.75" customHeight="1" x14ac:dyDescent="0.25">
      <c r="A28" s="369" t="s">
        <v>71</v>
      </c>
      <c r="B28" s="369"/>
      <c r="C28" s="369"/>
      <c r="D28" s="369"/>
      <c r="E28" s="369"/>
      <c r="F28" s="369"/>
      <c r="G28" s="369"/>
      <c r="H28" s="369"/>
      <c r="I28" s="110"/>
    </row>
    <row r="29" spans="1:9" ht="15" customHeight="1" x14ac:dyDescent="0.25">
      <c r="A29" s="369" t="s">
        <v>72</v>
      </c>
      <c r="B29" s="369"/>
      <c r="C29" s="369"/>
      <c r="D29" s="369"/>
      <c r="E29" s="369"/>
      <c r="F29" s="369"/>
      <c r="G29" s="369"/>
      <c r="H29" s="369"/>
      <c r="I29" s="110"/>
    </row>
    <row r="30" spans="1:9" ht="25.5" customHeight="1" x14ac:dyDescent="0.25">
      <c r="A30" s="369" t="s">
        <v>73</v>
      </c>
      <c r="B30" s="369"/>
      <c r="C30" s="369"/>
      <c r="D30" s="369"/>
      <c r="E30" s="369"/>
      <c r="F30" s="369"/>
      <c r="G30" s="369"/>
      <c r="H30" s="369"/>
      <c r="I30" s="110"/>
    </row>
    <row r="31" spans="1:9" ht="15.75" customHeight="1" x14ac:dyDescent="0.25">
      <c r="A31" s="369" t="s">
        <v>74</v>
      </c>
      <c r="B31" s="369"/>
      <c r="C31" s="369"/>
      <c r="D31" s="369"/>
      <c r="E31" s="369"/>
      <c r="F31" s="369"/>
      <c r="G31" s="369"/>
      <c r="H31" s="369"/>
      <c r="I31" s="110"/>
    </row>
    <row r="32" spans="1:9" ht="42" customHeight="1" x14ac:dyDescent="0.25">
      <c r="A32" s="369" t="s">
        <v>75</v>
      </c>
      <c r="B32" s="369"/>
      <c r="C32" s="369"/>
      <c r="D32" s="369"/>
      <c r="E32" s="369"/>
      <c r="F32" s="369"/>
      <c r="G32" s="369"/>
      <c r="H32" s="369"/>
      <c r="I32" s="110"/>
    </row>
    <row r="33" spans="1:18" ht="57.75" customHeight="1" x14ac:dyDescent="0.25">
      <c r="A33" s="369" t="s">
        <v>76</v>
      </c>
      <c r="B33" s="369"/>
      <c r="C33" s="369"/>
      <c r="D33" s="369"/>
      <c r="E33" s="369"/>
      <c r="F33" s="369"/>
      <c r="G33" s="369"/>
      <c r="H33" s="369"/>
      <c r="I33" s="110"/>
    </row>
    <row r="34" spans="1:18" ht="15.75" customHeight="1" x14ac:dyDescent="0.25">
      <c r="A34" s="356"/>
      <c r="B34" s="356"/>
      <c r="C34" s="356"/>
      <c r="D34" s="356"/>
      <c r="E34" s="356"/>
      <c r="F34" s="356"/>
      <c r="G34" s="356"/>
      <c r="H34" s="356"/>
      <c r="I34" s="110"/>
    </row>
    <row r="35" spans="1:18" x14ac:dyDescent="0.25">
      <c r="A35" s="341" t="s">
        <v>57</v>
      </c>
      <c r="B35" s="341"/>
      <c r="C35" s="341"/>
      <c r="D35" s="341"/>
      <c r="E35" s="341"/>
      <c r="F35" s="341"/>
      <c r="G35" s="341"/>
      <c r="H35" s="341"/>
    </row>
    <row r="36" spans="1:18" x14ac:dyDescent="0.25">
      <c r="A36" s="355"/>
      <c r="B36" s="355"/>
      <c r="C36" s="355"/>
      <c r="D36" s="355"/>
      <c r="E36" s="355"/>
      <c r="F36" s="355"/>
      <c r="G36" s="355"/>
      <c r="H36" s="355"/>
    </row>
    <row r="37" spans="1:18" ht="21" customHeight="1" x14ac:dyDescent="0.25">
      <c r="A37" s="368" t="s">
        <v>77</v>
      </c>
      <c r="B37" s="368"/>
      <c r="C37" s="368"/>
      <c r="D37" s="368"/>
      <c r="E37" s="368"/>
      <c r="F37" s="368"/>
      <c r="G37" s="368"/>
      <c r="H37" s="368"/>
    </row>
    <row r="38" spans="1:18" ht="15.75" customHeight="1" x14ac:dyDescent="0.25">
      <c r="A38" s="341" t="s">
        <v>58</v>
      </c>
      <c r="B38" s="341"/>
      <c r="C38" s="341"/>
      <c r="D38" s="341"/>
      <c r="E38" s="341"/>
      <c r="F38" s="341"/>
      <c r="G38" s="341"/>
      <c r="H38" s="341"/>
    </row>
    <row r="39" spans="1:18" ht="29.25" customHeight="1" x14ac:dyDescent="0.25">
      <c r="A39" s="368" t="s">
        <v>78</v>
      </c>
      <c r="B39" s="368"/>
      <c r="C39" s="368"/>
      <c r="D39" s="368"/>
      <c r="E39" s="368"/>
      <c r="F39" s="368"/>
      <c r="G39" s="368"/>
      <c r="H39" s="368"/>
    </row>
    <row r="40" spans="1:18" ht="27" customHeight="1" x14ac:dyDescent="0.25">
      <c r="A40" s="368" t="s">
        <v>220</v>
      </c>
      <c r="B40" s="368"/>
      <c r="C40" s="368"/>
      <c r="D40" s="368"/>
      <c r="E40" s="368"/>
      <c r="F40" s="368"/>
      <c r="G40" s="368"/>
      <c r="H40" s="368"/>
    </row>
    <row r="41" spans="1:18" ht="38.25" customHeight="1" x14ac:dyDescent="0.25">
      <c r="A41" s="368" t="s">
        <v>79</v>
      </c>
      <c r="B41" s="368"/>
      <c r="C41" s="368"/>
      <c r="D41" s="368"/>
      <c r="E41" s="368"/>
      <c r="F41" s="368"/>
      <c r="G41" s="368"/>
      <c r="H41" s="368"/>
    </row>
    <row r="42" spans="1:18" ht="30.75" customHeight="1" x14ac:dyDescent="0.25">
      <c r="A42" s="368" t="s">
        <v>80</v>
      </c>
      <c r="B42" s="368"/>
      <c r="C42" s="368"/>
      <c r="D42" s="368"/>
      <c r="E42" s="368"/>
      <c r="F42" s="368"/>
      <c r="G42" s="368"/>
      <c r="H42" s="368"/>
    </row>
    <row r="43" spans="1:18" ht="80.25" customHeight="1" x14ac:dyDescent="0.25">
      <c r="A43" s="368" t="s">
        <v>81</v>
      </c>
      <c r="B43" s="368"/>
      <c r="C43" s="368"/>
      <c r="D43" s="368"/>
      <c r="E43" s="368"/>
      <c r="F43" s="368"/>
      <c r="G43" s="368"/>
      <c r="H43" s="368"/>
    </row>
    <row r="44" spans="1:18" ht="15.75" customHeight="1" x14ac:dyDescent="0.25">
      <c r="A44" s="356"/>
      <c r="B44" s="356"/>
      <c r="C44" s="356"/>
      <c r="D44" s="356"/>
      <c r="E44" s="356"/>
      <c r="F44" s="356"/>
      <c r="G44" s="356"/>
      <c r="H44" s="356"/>
    </row>
    <row r="45" spans="1:18" ht="29.25" customHeight="1" x14ac:dyDescent="0.25">
      <c r="A45" s="341" t="s">
        <v>46</v>
      </c>
      <c r="B45" s="341"/>
      <c r="C45" s="341"/>
      <c r="D45" s="341"/>
      <c r="E45" s="341"/>
      <c r="F45" s="341"/>
      <c r="G45" s="341"/>
      <c r="H45" s="341"/>
    </row>
    <row r="46" spans="1:18" x14ac:dyDescent="0.25">
      <c r="A46" s="349" t="s">
        <v>160</v>
      </c>
      <c r="B46" s="350"/>
      <c r="C46" s="350"/>
      <c r="D46" s="350"/>
      <c r="E46" s="350"/>
      <c r="F46" s="350"/>
      <c r="G46" s="350"/>
      <c r="H46" s="350"/>
      <c r="I46" s="111"/>
      <c r="J46" s="111"/>
      <c r="K46" s="111"/>
      <c r="L46" s="111"/>
      <c r="M46" s="111"/>
      <c r="N46" s="111"/>
      <c r="O46" s="111"/>
      <c r="P46" s="111"/>
      <c r="Q46" s="111"/>
      <c r="R46" s="111"/>
    </row>
    <row r="47" spans="1:18" x14ac:dyDescent="0.25">
      <c r="A47" s="349" t="s">
        <v>82</v>
      </c>
      <c r="B47" s="350"/>
      <c r="C47" s="350"/>
      <c r="D47" s="350"/>
      <c r="E47" s="350"/>
      <c r="F47" s="350"/>
      <c r="G47" s="350"/>
      <c r="H47" s="350"/>
      <c r="I47" s="111"/>
      <c r="J47" s="111"/>
      <c r="K47" s="111"/>
      <c r="L47" s="111"/>
      <c r="M47" s="111"/>
      <c r="N47" s="111"/>
      <c r="O47" s="111"/>
      <c r="P47" s="111"/>
      <c r="Q47" s="111"/>
      <c r="R47" s="111"/>
    </row>
    <row r="48" spans="1:18" x14ac:dyDescent="0.25">
      <c r="A48" s="352"/>
      <c r="B48" s="352"/>
      <c r="C48" s="352"/>
      <c r="D48" s="352"/>
      <c r="E48" s="352"/>
      <c r="F48" s="352"/>
      <c r="G48" s="352"/>
      <c r="H48" s="352"/>
      <c r="I48" s="112"/>
      <c r="J48" s="112"/>
      <c r="K48" s="111"/>
      <c r="L48" s="111"/>
      <c r="M48" s="111"/>
      <c r="N48" s="111"/>
      <c r="O48" s="111"/>
      <c r="P48" s="111"/>
      <c r="Q48" s="111"/>
      <c r="R48" s="111"/>
    </row>
    <row r="49" spans="1:18" ht="15" customHeight="1" x14ac:dyDescent="0.25">
      <c r="A49" s="341" t="s">
        <v>49</v>
      </c>
      <c r="B49" s="341"/>
      <c r="C49" s="341"/>
      <c r="D49" s="341"/>
      <c r="E49" s="341"/>
      <c r="F49" s="341"/>
      <c r="G49" s="341"/>
      <c r="H49" s="341"/>
      <c r="I49" s="113"/>
      <c r="J49" s="113"/>
      <c r="K49" s="113"/>
      <c r="L49" s="113"/>
      <c r="M49" s="113"/>
      <c r="N49" s="113"/>
      <c r="O49" s="113"/>
      <c r="P49" s="113"/>
      <c r="Q49" s="354"/>
      <c r="R49" s="354"/>
    </row>
    <row r="50" spans="1:18" x14ac:dyDescent="0.25">
      <c r="A50" s="306"/>
      <c r="B50" s="306"/>
      <c r="C50" s="306"/>
      <c r="D50" s="306"/>
      <c r="E50" s="306"/>
      <c r="F50" s="306"/>
      <c r="G50" s="306"/>
      <c r="H50" s="306"/>
      <c r="I50" s="114"/>
      <c r="J50" s="114"/>
      <c r="K50" s="114"/>
      <c r="L50" s="114"/>
      <c r="M50" s="114"/>
      <c r="N50" s="114"/>
      <c r="O50" s="114"/>
      <c r="P50" s="114"/>
      <c r="Q50" s="114"/>
      <c r="R50" s="114"/>
    </row>
    <row r="51" spans="1:18" x14ac:dyDescent="0.25">
      <c r="A51" s="349" t="s">
        <v>83</v>
      </c>
      <c r="B51" s="350"/>
      <c r="C51" s="350"/>
      <c r="D51" s="350"/>
      <c r="E51" s="350"/>
      <c r="F51" s="350"/>
      <c r="G51" s="350"/>
      <c r="H51" s="350"/>
      <c r="I51" s="114"/>
      <c r="J51" s="114"/>
      <c r="K51" s="114"/>
      <c r="L51" s="114"/>
      <c r="M51" s="114"/>
      <c r="N51" s="114"/>
      <c r="O51" s="114"/>
      <c r="P51" s="114"/>
      <c r="Q51" s="114"/>
      <c r="R51" s="114"/>
    </row>
    <row r="52" spans="1:18" x14ac:dyDescent="0.25">
      <c r="A52" s="352"/>
      <c r="B52" s="352"/>
      <c r="C52" s="352"/>
      <c r="D52" s="352"/>
      <c r="E52" s="352"/>
      <c r="F52" s="352"/>
      <c r="G52" s="352"/>
      <c r="H52" s="352"/>
      <c r="I52" s="114"/>
      <c r="J52" s="114"/>
      <c r="K52" s="114"/>
      <c r="L52" s="114"/>
      <c r="M52" s="114"/>
      <c r="N52" s="114"/>
      <c r="O52" s="114"/>
      <c r="P52" s="114"/>
      <c r="Q52" s="114"/>
      <c r="R52" s="114"/>
    </row>
    <row r="53" spans="1:18" s="65" customFormat="1" x14ac:dyDescent="0.25">
      <c r="A53" s="341" t="s">
        <v>48</v>
      </c>
      <c r="B53" s="341"/>
      <c r="C53" s="341"/>
      <c r="D53" s="341"/>
      <c r="E53" s="341"/>
      <c r="F53" s="341"/>
      <c r="G53" s="341"/>
      <c r="H53" s="341"/>
      <c r="I53" s="120"/>
      <c r="J53" s="120"/>
      <c r="K53" s="120"/>
      <c r="L53" s="120"/>
      <c r="M53" s="120"/>
      <c r="N53" s="120"/>
      <c r="O53" s="120"/>
      <c r="P53" s="120"/>
      <c r="Q53" s="120"/>
      <c r="R53" s="120"/>
    </row>
    <row r="54" spans="1:18" s="65" customFormat="1" x14ac:dyDescent="0.25">
      <c r="A54" s="348"/>
      <c r="B54" s="348"/>
      <c r="C54" s="348"/>
      <c r="D54" s="348"/>
      <c r="E54" s="348"/>
      <c r="F54" s="348"/>
      <c r="G54" s="348"/>
      <c r="H54" s="348"/>
      <c r="I54" s="120"/>
      <c r="J54" s="120"/>
      <c r="K54" s="120"/>
      <c r="L54" s="120"/>
      <c r="M54" s="120"/>
      <c r="N54" s="120"/>
      <c r="O54" s="120"/>
      <c r="P54" s="120"/>
      <c r="Q54" s="120"/>
      <c r="R54" s="120"/>
    </row>
    <row r="55" spans="1:18" s="65" customFormat="1" ht="15" customHeight="1" x14ac:dyDescent="0.25">
      <c r="A55" s="349" t="s">
        <v>84</v>
      </c>
      <c r="B55" s="350"/>
      <c r="C55" s="350"/>
      <c r="D55" s="350"/>
      <c r="E55" s="350"/>
      <c r="F55" s="350"/>
      <c r="G55" s="350"/>
      <c r="H55" s="350"/>
      <c r="I55" s="120"/>
      <c r="J55" s="120"/>
      <c r="K55" s="120"/>
      <c r="L55" s="120"/>
      <c r="M55" s="120"/>
      <c r="N55" s="120"/>
      <c r="O55" s="120"/>
      <c r="P55" s="120"/>
      <c r="Q55" s="120"/>
      <c r="R55" s="120"/>
    </row>
    <row r="56" spans="1:18" s="65" customFormat="1" x14ac:dyDescent="0.25">
      <c r="A56" s="348"/>
      <c r="B56" s="348"/>
      <c r="C56" s="348"/>
      <c r="D56" s="348"/>
      <c r="E56" s="348"/>
      <c r="F56" s="348"/>
      <c r="G56" s="348"/>
      <c r="H56" s="348"/>
      <c r="I56" s="120"/>
      <c r="J56" s="120"/>
      <c r="K56" s="120"/>
      <c r="L56" s="120"/>
      <c r="M56" s="120"/>
      <c r="N56" s="120"/>
      <c r="O56" s="120"/>
      <c r="P56" s="120"/>
      <c r="Q56" s="120"/>
      <c r="R56" s="120"/>
    </row>
    <row r="57" spans="1:18" s="65" customFormat="1" ht="29.25" customHeight="1" x14ac:dyDescent="0.25">
      <c r="A57" s="353" t="s">
        <v>129</v>
      </c>
      <c r="B57" s="353"/>
      <c r="C57" s="353"/>
      <c r="D57" s="353"/>
      <c r="E57" s="353"/>
      <c r="F57" s="353"/>
      <c r="G57" s="353"/>
      <c r="H57" s="353"/>
      <c r="I57" s="120"/>
      <c r="J57" s="120"/>
      <c r="K57" s="120"/>
      <c r="L57" s="120"/>
      <c r="M57" s="120"/>
      <c r="N57" s="120"/>
      <c r="O57" s="120"/>
      <c r="P57" s="120"/>
      <c r="Q57" s="120"/>
      <c r="R57" s="120"/>
    </row>
    <row r="58" spans="1:18" s="65" customFormat="1" x14ac:dyDescent="0.25">
      <c r="A58" s="348"/>
      <c r="B58" s="348"/>
      <c r="C58" s="348"/>
      <c r="D58" s="348"/>
      <c r="E58" s="348"/>
      <c r="F58" s="348"/>
      <c r="G58" s="348"/>
      <c r="H58" s="348"/>
      <c r="I58" s="120"/>
      <c r="J58" s="120"/>
      <c r="K58" s="120"/>
      <c r="L58" s="120"/>
      <c r="M58" s="120"/>
      <c r="N58" s="120"/>
      <c r="O58" s="120"/>
      <c r="P58" s="120"/>
      <c r="Q58" s="120"/>
      <c r="R58" s="120"/>
    </row>
    <row r="59" spans="1:18" s="65" customFormat="1" x14ac:dyDescent="0.25">
      <c r="A59" s="341" t="s">
        <v>130</v>
      </c>
      <c r="B59" s="341"/>
      <c r="C59" s="341"/>
      <c r="D59" s="341"/>
      <c r="E59" s="341"/>
      <c r="F59" s="341"/>
      <c r="G59" s="341"/>
      <c r="H59" s="341"/>
      <c r="I59" s="120"/>
      <c r="J59" s="120"/>
      <c r="K59" s="120"/>
      <c r="L59" s="120"/>
      <c r="M59" s="120"/>
      <c r="N59" s="120"/>
      <c r="O59" s="120"/>
      <c r="P59" s="120"/>
      <c r="Q59" s="120"/>
      <c r="R59" s="120"/>
    </row>
    <row r="60" spans="1:18" s="65" customFormat="1" x14ac:dyDescent="0.25">
      <c r="A60" s="348"/>
      <c r="B60" s="348"/>
      <c r="C60" s="348"/>
      <c r="D60" s="348"/>
      <c r="E60" s="348"/>
      <c r="F60" s="348"/>
      <c r="G60" s="348"/>
      <c r="H60" s="348"/>
      <c r="I60" s="120"/>
      <c r="J60" s="120"/>
      <c r="K60" s="120"/>
      <c r="L60" s="120"/>
      <c r="M60" s="120"/>
      <c r="N60" s="120"/>
      <c r="O60" s="120"/>
      <c r="P60" s="120"/>
      <c r="Q60" s="120"/>
      <c r="R60" s="120"/>
    </row>
    <row r="61" spans="1:18" s="65" customFormat="1" x14ac:dyDescent="0.25">
      <c r="A61" s="349" t="s">
        <v>59</v>
      </c>
      <c r="B61" s="350"/>
      <c r="C61" s="350"/>
      <c r="D61" s="350"/>
      <c r="E61" s="350"/>
      <c r="F61" s="350"/>
      <c r="G61" s="350"/>
      <c r="H61" s="350"/>
      <c r="Q61" s="120"/>
      <c r="R61" s="120"/>
    </row>
    <row r="62" spans="1:18" s="65" customFormat="1" x14ac:dyDescent="0.25">
      <c r="A62" s="349" t="s">
        <v>117</v>
      </c>
      <c r="B62" s="350"/>
      <c r="C62" s="350"/>
      <c r="D62" s="350"/>
      <c r="E62" s="350"/>
      <c r="F62" s="350"/>
      <c r="G62" s="350"/>
      <c r="H62" s="350"/>
      <c r="Q62" s="120"/>
      <c r="R62" s="120"/>
    </row>
    <row r="63" spans="1:18" s="65" customFormat="1" x14ac:dyDescent="0.25">
      <c r="A63" s="348"/>
      <c r="B63" s="348"/>
      <c r="C63" s="348"/>
      <c r="D63" s="348"/>
      <c r="E63" s="348"/>
      <c r="F63" s="348"/>
      <c r="G63" s="348"/>
      <c r="H63" s="348"/>
      <c r="I63" s="120"/>
      <c r="J63" s="120"/>
      <c r="K63" s="120"/>
      <c r="L63" s="120"/>
      <c r="M63" s="120"/>
      <c r="N63" s="120"/>
      <c r="O63" s="120"/>
      <c r="P63" s="120"/>
      <c r="Q63" s="120"/>
      <c r="R63" s="120"/>
    </row>
    <row r="64" spans="1:18" s="65" customFormat="1" ht="30.75" customHeight="1" x14ac:dyDescent="0.25">
      <c r="A64" s="341" t="s">
        <v>133</v>
      </c>
      <c r="B64" s="341"/>
      <c r="C64" s="341"/>
      <c r="D64" s="341"/>
      <c r="E64" s="341"/>
      <c r="F64" s="341"/>
      <c r="G64" s="341"/>
      <c r="H64" s="341"/>
      <c r="I64" s="120"/>
      <c r="J64" s="120"/>
      <c r="K64" s="120"/>
      <c r="L64" s="120"/>
      <c r="M64" s="120"/>
      <c r="N64" s="120"/>
      <c r="O64" s="120"/>
      <c r="P64" s="120"/>
      <c r="Q64" s="120"/>
      <c r="R64" s="120"/>
    </row>
    <row r="65" spans="1:18" s="65" customFormat="1" ht="12" customHeight="1" x14ac:dyDescent="0.25">
      <c r="A65" s="348"/>
      <c r="B65" s="348"/>
      <c r="C65" s="348"/>
      <c r="D65" s="348"/>
      <c r="E65" s="348"/>
      <c r="F65" s="348"/>
      <c r="G65" s="348"/>
      <c r="H65" s="348"/>
      <c r="I65" s="120"/>
      <c r="J65" s="120"/>
      <c r="K65" s="120"/>
      <c r="L65" s="120"/>
      <c r="M65" s="120"/>
      <c r="N65" s="120"/>
      <c r="O65" s="120"/>
      <c r="P65" s="120"/>
      <c r="Q65" s="120"/>
      <c r="R65" s="120"/>
    </row>
    <row r="66" spans="1:18" s="65" customFormat="1" ht="15" customHeight="1" x14ac:dyDescent="0.25">
      <c r="A66" s="349" t="s">
        <v>85</v>
      </c>
      <c r="B66" s="350"/>
      <c r="C66" s="350"/>
      <c r="D66" s="350"/>
      <c r="E66" s="350"/>
      <c r="F66" s="350"/>
      <c r="G66" s="350"/>
      <c r="H66" s="350"/>
      <c r="I66" s="120"/>
      <c r="J66" s="120"/>
      <c r="K66" s="120"/>
      <c r="L66" s="120"/>
      <c r="M66" s="120"/>
      <c r="N66" s="120"/>
      <c r="O66" s="120"/>
      <c r="P66" s="120"/>
      <c r="Q66" s="120"/>
      <c r="R66" s="120"/>
    </row>
    <row r="67" spans="1:18" ht="15" customHeight="1" x14ac:dyDescent="0.25">
      <c r="A67" s="352"/>
      <c r="B67" s="352"/>
      <c r="C67" s="352"/>
      <c r="D67" s="352"/>
      <c r="E67" s="352"/>
      <c r="F67" s="352"/>
      <c r="G67" s="352"/>
      <c r="H67" s="352"/>
      <c r="I67" s="114"/>
      <c r="J67" s="114"/>
      <c r="K67" s="114"/>
      <c r="L67" s="114"/>
      <c r="M67" s="114"/>
      <c r="N67" s="114"/>
      <c r="O67" s="114"/>
      <c r="P67" s="114"/>
      <c r="Q67" s="114"/>
      <c r="R67" s="114"/>
    </row>
    <row r="68" spans="1:18" ht="17.25" customHeight="1" x14ac:dyDescent="0.25">
      <c r="A68" s="341" t="s">
        <v>60</v>
      </c>
      <c r="B68" s="341"/>
      <c r="C68" s="341"/>
      <c r="D68" s="341"/>
      <c r="E68" s="341"/>
      <c r="F68" s="341"/>
      <c r="G68" s="341"/>
      <c r="H68" s="341"/>
      <c r="I68" s="114"/>
      <c r="J68" s="114"/>
      <c r="K68" s="114"/>
      <c r="L68" s="114"/>
      <c r="M68" s="114"/>
      <c r="N68" s="114"/>
      <c r="O68" s="114"/>
      <c r="P68" s="114"/>
      <c r="Q68" s="114"/>
      <c r="R68" s="114"/>
    </row>
    <row r="69" spans="1:18" ht="12" customHeight="1" x14ac:dyDescent="0.25">
      <c r="A69" s="351"/>
      <c r="B69" s="351"/>
      <c r="C69" s="351"/>
      <c r="D69" s="351"/>
      <c r="E69" s="351"/>
      <c r="F69" s="351"/>
      <c r="G69" s="351"/>
      <c r="H69" s="351"/>
      <c r="I69" s="114"/>
      <c r="J69" s="114"/>
      <c r="K69" s="114"/>
      <c r="L69" s="114"/>
      <c r="M69" s="114"/>
      <c r="N69" s="114"/>
      <c r="O69" s="114"/>
      <c r="P69" s="114"/>
      <c r="Q69" s="114"/>
      <c r="R69" s="114"/>
    </row>
    <row r="70" spans="1:18" ht="15.75" customHeight="1" x14ac:dyDescent="0.25">
      <c r="A70" s="347" t="s">
        <v>86</v>
      </c>
      <c r="B70" s="344"/>
      <c r="C70" s="344"/>
      <c r="D70" s="344"/>
      <c r="E70" s="344"/>
      <c r="F70" s="344"/>
      <c r="G70" s="344"/>
      <c r="H70" s="344"/>
      <c r="I70" s="114"/>
      <c r="J70" s="114"/>
      <c r="K70" s="115"/>
      <c r="L70" s="115"/>
      <c r="M70" s="115"/>
      <c r="N70" s="115"/>
      <c r="O70" s="115"/>
      <c r="P70" s="115"/>
      <c r="Q70" s="115"/>
      <c r="R70" s="115"/>
    </row>
    <row r="71" spans="1:18" ht="42.75" customHeight="1" x14ac:dyDescent="0.25">
      <c r="A71" s="344" t="s">
        <v>87</v>
      </c>
      <c r="B71" s="344"/>
      <c r="C71" s="344"/>
      <c r="D71" s="344"/>
      <c r="E71" s="344"/>
      <c r="F71" s="344"/>
      <c r="G71" s="344"/>
      <c r="H71" s="344"/>
      <c r="I71" s="111"/>
      <c r="J71" s="111"/>
      <c r="K71" s="116"/>
      <c r="L71" s="116"/>
      <c r="M71" s="116"/>
      <c r="N71" s="116"/>
      <c r="O71" s="116"/>
      <c r="P71" s="116"/>
      <c r="Q71" s="116"/>
      <c r="R71" s="116"/>
    </row>
    <row r="72" spans="1:18" ht="30.75" customHeight="1" x14ac:dyDescent="0.25">
      <c r="A72" s="344" t="s">
        <v>88</v>
      </c>
      <c r="B72" s="344"/>
      <c r="C72" s="344"/>
      <c r="D72" s="344"/>
      <c r="E72" s="344"/>
      <c r="F72" s="344"/>
      <c r="G72" s="344"/>
      <c r="H72" s="344"/>
      <c r="I72" s="111"/>
      <c r="J72" s="111"/>
      <c r="K72" s="116"/>
      <c r="L72" s="116"/>
      <c r="M72" s="116"/>
      <c r="N72" s="116"/>
      <c r="O72" s="116"/>
      <c r="P72" s="116"/>
      <c r="Q72" s="116"/>
      <c r="R72" s="116"/>
    </row>
    <row r="73" spans="1:18" ht="30" customHeight="1" x14ac:dyDescent="0.25">
      <c r="A73" s="344" t="s">
        <v>89</v>
      </c>
      <c r="B73" s="344"/>
      <c r="C73" s="344"/>
      <c r="D73" s="344"/>
      <c r="E73" s="344"/>
      <c r="F73" s="344"/>
      <c r="G73" s="344"/>
      <c r="H73" s="344"/>
      <c r="I73" s="111"/>
      <c r="J73" s="111"/>
      <c r="K73" s="116"/>
      <c r="L73" s="116"/>
      <c r="M73" s="116"/>
      <c r="N73" s="116"/>
      <c r="O73" s="116"/>
      <c r="P73" s="116"/>
      <c r="Q73" s="116"/>
      <c r="R73" s="116"/>
    </row>
    <row r="74" spans="1:18" ht="27.75" customHeight="1" x14ac:dyDescent="0.25">
      <c r="A74" s="344" t="s">
        <v>161</v>
      </c>
      <c r="B74" s="344"/>
      <c r="C74" s="344"/>
      <c r="D74" s="344"/>
      <c r="E74" s="344"/>
      <c r="F74" s="344"/>
      <c r="G74" s="344"/>
      <c r="H74" s="344"/>
      <c r="I74" s="111"/>
      <c r="J74" s="111"/>
      <c r="K74" s="116"/>
      <c r="L74" s="116"/>
      <c r="M74" s="116"/>
      <c r="N74" s="116"/>
      <c r="O74" s="116"/>
      <c r="P74" s="116"/>
      <c r="Q74" s="116"/>
      <c r="R74" s="116"/>
    </row>
    <row r="75" spans="1:18" ht="13.5" customHeight="1" x14ac:dyDescent="0.25">
      <c r="A75" s="345"/>
      <c r="B75" s="345"/>
      <c r="C75" s="345"/>
      <c r="D75" s="345"/>
      <c r="E75" s="345"/>
      <c r="F75" s="345"/>
      <c r="G75" s="345"/>
      <c r="H75" s="345"/>
      <c r="I75" s="112"/>
      <c r="J75" s="112"/>
      <c r="K75" s="116"/>
      <c r="L75" s="116"/>
      <c r="M75" s="116"/>
      <c r="N75" s="116"/>
      <c r="O75" s="116"/>
      <c r="P75" s="116"/>
      <c r="Q75" s="116"/>
      <c r="R75" s="116"/>
    </row>
    <row r="76" spans="1:18" ht="13.5" customHeight="1" x14ac:dyDescent="0.25">
      <c r="A76" s="341" t="s">
        <v>35</v>
      </c>
      <c r="B76" s="341"/>
      <c r="C76" s="341"/>
      <c r="D76" s="341"/>
      <c r="E76" s="341"/>
      <c r="F76" s="341"/>
      <c r="G76" s="341"/>
      <c r="H76" s="341"/>
      <c r="I76" s="112"/>
      <c r="J76" s="112"/>
      <c r="K76" s="116"/>
      <c r="L76" s="116"/>
      <c r="M76" s="116"/>
      <c r="N76" s="116"/>
      <c r="O76" s="116"/>
      <c r="P76" s="116"/>
      <c r="Q76" s="116"/>
      <c r="R76" s="116"/>
    </row>
    <row r="77" spans="1:18" ht="28.5" customHeight="1" x14ac:dyDescent="0.25">
      <c r="A77" s="344" t="s">
        <v>90</v>
      </c>
      <c r="B77" s="344"/>
      <c r="C77" s="344"/>
      <c r="D77" s="344"/>
      <c r="E77" s="344"/>
      <c r="F77" s="344"/>
      <c r="G77" s="344"/>
      <c r="H77" s="344"/>
      <c r="I77" s="111"/>
      <c r="J77" s="111"/>
      <c r="K77" s="116"/>
      <c r="L77" s="116"/>
      <c r="M77" s="116"/>
      <c r="N77" s="116"/>
      <c r="O77" s="116"/>
      <c r="P77" s="116"/>
      <c r="Q77" s="116"/>
      <c r="R77" s="116"/>
    </row>
    <row r="78" spans="1:18" ht="57.75" customHeight="1" x14ac:dyDescent="0.25">
      <c r="A78" s="344" t="s">
        <v>91</v>
      </c>
      <c r="B78" s="344"/>
      <c r="C78" s="344"/>
      <c r="D78" s="344"/>
      <c r="E78" s="344"/>
      <c r="F78" s="344"/>
      <c r="G78" s="344"/>
      <c r="H78" s="344"/>
      <c r="I78" s="111"/>
      <c r="J78" s="111"/>
      <c r="K78" s="116"/>
      <c r="L78" s="116"/>
      <c r="M78" s="116"/>
      <c r="N78" s="116"/>
      <c r="O78" s="116"/>
      <c r="P78" s="116"/>
      <c r="Q78" s="116"/>
      <c r="R78" s="116"/>
    </row>
    <row r="79" spans="1:18" ht="17.25" customHeight="1" x14ac:dyDescent="0.25">
      <c r="A79" s="346"/>
      <c r="B79" s="346"/>
      <c r="C79" s="346"/>
      <c r="D79" s="346"/>
      <c r="E79" s="346"/>
      <c r="F79" s="346"/>
      <c r="G79" s="346"/>
      <c r="H79" s="346"/>
      <c r="I79" s="112"/>
      <c r="J79" s="112"/>
      <c r="K79" s="116"/>
      <c r="L79" s="116"/>
      <c r="M79" s="116"/>
      <c r="N79" s="116"/>
      <c r="O79" s="116"/>
      <c r="P79" s="116"/>
      <c r="Q79" s="116"/>
      <c r="R79" s="116"/>
    </row>
    <row r="80" spans="1:18" x14ac:dyDescent="0.25">
      <c r="A80" s="341" t="s">
        <v>53</v>
      </c>
      <c r="B80" s="341"/>
      <c r="C80" s="341"/>
      <c r="D80" s="341"/>
      <c r="E80" s="341"/>
      <c r="F80" s="341"/>
      <c r="G80" s="341"/>
      <c r="H80" s="341"/>
      <c r="I80" s="113"/>
      <c r="J80" s="113"/>
    </row>
    <row r="81" spans="1:18" ht="13.5" customHeight="1" x14ac:dyDescent="0.25">
      <c r="A81" s="306"/>
      <c r="B81" s="306"/>
      <c r="C81" s="306"/>
      <c r="D81" s="306"/>
      <c r="E81" s="306"/>
      <c r="F81" s="306"/>
      <c r="G81" s="306"/>
      <c r="H81" s="306"/>
      <c r="I81" s="114"/>
      <c r="J81" s="114"/>
    </row>
    <row r="82" spans="1:18" ht="15.75" customHeight="1" x14ac:dyDescent="0.25">
      <c r="A82" s="342" t="s">
        <v>162</v>
      </c>
      <c r="B82" s="343"/>
      <c r="C82" s="343"/>
      <c r="D82" s="343"/>
      <c r="E82" s="343"/>
      <c r="F82" s="343"/>
      <c r="G82" s="343"/>
      <c r="H82" s="343"/>
      <c r="I82" s="116"/>
      <c r="J82" s="116"/>
      <c r="K82" s="116"/>
      <c r="L82" s="116"/>
      <c r="M82" s="116"/>
      <c r="N82" s="116"/>
      <c r="O82" s="116"/>
      <c r="P82" s="116"/>
      <c r="Q82" s="116"/>
      <c r="R82" s="116"/>
    </row>
    <row r="83" spans="1:18" x14ac:dyDescent="0.25">
      <c r="A83" s="65"/>
      <c r="B83" s="65"/>
      <c r="C83" s="65"/>
      <c r="D83" s="65"/>
      <c r="E83" s="65"/>
      <c r="F83" s="65"/>
      <c r="G83" s="65"/>
      <c r="H83" s="65"/>
    </row>
    <row r="84" spans="1:18" x14ac:dyDescent="0.25">
      <c r="A84" s="341" t="s">
        <v>189</v>
      </c>
      <c r="B84" s="341"/>
      <c r="C84" s="341"/>
      <c r="D84" s="341"/>
      <c r="E84" s="341"/>
      <c r="F84" s="341"/>
      <c r="G84" s="341"/>
      <c r="H84" s="341"/>
    </row>
    <row r="86" spans="1:18" ht="17.25" customHeight="1" x14ac:dyDescent="0.25">
      <c r="A86" s="370" t="s">
        <v>211</v>
      </c>
      <c r="B86" s="370"/>
      <c r="C86" s="370"/>
      <c r="D86" s="370"/>
      <c r="E86" s="370"/>
      <c r="F86" s="370"/>
      <c r="G86" s="370"/>
      <c r="H86" s="370"/>
      <c r="I86" s="117"/>
      <c r="J86" s="117"/>
      <c r="K86" s="117"/>
      <c r="L86" s="117"/>
      <c r="M86" s="117"/>
      <c r="N86" s="117"/>
      <c r="O86" s="117"/>
      <c r="P86" s="117"/>
    </row>
    <row r="87" spans="1:18" ht="15.75" customHeight="1" x14ac:dyDescent="0.25">
      <c r="A87" s="370" t="s">
        <v>212</v>
      </c>
      <c r="B87" s="370"/>
      <c r="C87" s="370"/>
      <c r="D87" s="370"/>
      <c r="E87" s="370"/>
      <c r="F87" s="370"/>
      <c r="G87" s="370"/>
      <c r="H87" s="370"/>
      <c r="I87" s="117"/>
      <c r="J87" s="117"/>
      <c r="K87" s="117"/>
      <c r="L87" s="117"/>
      <c r="M87" s="117"/>
      <c r="N87" s="117"/>
      <c r="O87" s="117"/>
      <c r="P87" s="117"/>
    </row>
    <row r="88" spans="1:18" ht="20.25" customHeight="1" x14ac:dyDescent="0.25">
      <c r="A88" s="370" t="s">
        <v>214</v>
      </c>
      <c r="B88" s="370"/>
      <c r="C88" s="370"/>
      <c r="D88" s="370"/>
      <c r="E88" s="370"/>
      <c r="F88" s="370"/>
      <c r="G88" s="370"/>
      <c r="H88" s="370"/>
      <c r="I88" s="118"/>
      <c r="J88" s="118"/>
      <c r="K88" s="118"/>
      <c r="L88" s="118"/>
      <c r="M88" s="118"/>
      <c r="N88" s="118"/>
      <c r="O88" s="118"/>
      <c r="P88" s="118"/>
    </row>
    <row r="89" spans="1:18" ht="51.75" customHeight="1" x14ac:dyDescent="0.25">
      <c r="I89" s="119"/>
      <c r="J89" s="119"/>
      <c r="K89" s="119"/>
      <c r="L89" s="119"/>
      <c r="M89" s="119"/>
      <c r="N89" s="119"/>
      <c r="O89" s="119"/>
      <c r="P89" s="119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"/>
  <sheetViews>
    <sheetView topLeftCell="A4" zoomScaleNormal="100" workbookViewId="0">
      <selection activeCell="D8" sqref="D8"/>
    </sheetView>
  </sheetViews>
  <sheetFormatPr defaultRowHeight="15" x14ac:dyDescent="0.25"/>
  <cols>
    <col min="1" max="1" width="4.140625" customWidth="1"/>
    <col min="2" max="2" width="21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3" t="s">
        <v>45</v>
      </c>
    </row>
    <row r="3" spans="1:12" x14ac:dyDescent="0.25">
      <c r="A3" s="8" t="s">
        <v>3</v>
      </c>
      <c r="B3" s="9"/>
      <c r="C3" s="9"/>
      <c r="D3" s="9"/>
      <c r="E3" s="10"/>
      <c r="F3" s="10"/>
      <c r="G3" s="10"/>
      <c r="H3" s="8"/>
      <c r="I3" s="8"/>
      <c r="J3" s="8"/>
      <c r="K3" s="8"/>
      <c r="L3" s="8"/>
    </row>
    <row r="5" spans="1:12" x14ac:dyDescent="0.25">
      <c r="B5" s="238" t="s">
        <v>94</v>
      </c>
      <c r="C5" s="238" t="s">
        <v>95</v>
      </c>
      <c r="D5" s="238" t="s">
        <v>96</v>
      </c>
      <c r="E5" s="238" t="s">
        <v>4</v>
      </c>
      <c r="F5" s="238"/>
      <c r="G5" s="238"/>
      <c r="H5" s="238"/>
      <c r="I5" s="238"/>
      <c r="J5" s="239" t="s">
        <v>153</v>
      </c>
      <c r="K5" s="238" t="s">
        <v>102</v>
      </c>
      <c r="L5" s="238" t="s">
        <v>138</v>
      </c>
    </row>
    <row r="6" spans="1:12" x14ac:dyDescent="0.25">
      <c r="B6" s="238"/>
      <c r="C6" s="238"/>
      <c r="D6" s="238"/>
      <c r="E6" s="240" t="s">
        <v>97</v>
      </c>
      <c r="F6" s="241" t="s">
        <v>5</v>
      </c>
      <c r="G6" s="241"/>
      <c r="H6" s="241" t="s">
        <v>6</v>
      </c>
      <c r="I6" s="241"/>
      <c r="J6" s="239"/>
      <c r="K6" s="238"/>
      <c r="L6" s="238"/>
    </row>
    <row r="7" spans="1:12" ht="24.75" customHeight="1" x14ac:dyDescent="0.25">
      <c r="B7" s="238"/>
      <c r="C7" s="238"/>
      <c r="D7" s="238"/>
      <c r="E7" s="240"/>
      <c r="F7" s="15" t="s">
        <v>98</v>
      </c>
      <c r="G7" s="15" t="s">
        <v>99</v>
      </c>
      <c r="H7" s="15" t="s">
        <v>100</v>
      </c>
      <c r="I7" s="15" t="s">
        <v>101</v>
      </c>
      <c r="J7" s="239"/>
      <c r="K7" s="238"/>
      <c r="L7" s="238"/>
    </row>
    <row r="8" spans="1:12" ht="208.5" customHeight="1" x14ac:dyDescent="0.25">
      <c r="B8" s="229" t="s">
        <v>240</v>
      </c>
      <c r="C8" s="229">
        <v>1167</v>
      </c>
      <c r="D8" s="13" t="s">
        <v>242</v>
      </c>
      <c r="E8" s="13" t="s">
        <v>243</v>
      </c>
      <c r="F8" s="13">
        <v>3</v>
      </c>
      <c r="G8" s="13" t="s">
        <v>244</v>
      </c>
      <c r="H8" s="13">
        <v>0</v>
      </c>
      <c r="I8" s="13" t="s">
        <v>245</v>
      </c>
      <c r="J8" s="135" t="s">
        <v>246</v>
      </c>
      <c r="K8" s="13" t="s">
        <v>247</v>
      </c>
      <c r="L8" s="13" t="s">
        <v>248</v>
      </c>
    </row>
    <row r="9" spans="1:12" ht="56.25" customHeight="1" x14ac:dyDescent="0.25">
      <c r="B9" s="230"/>
      <c r="C9" s="230"/>
      <c r="D9" s="243" t="s">
        <v>276</v>
      </c>
      <c r="E9" s="14" t="s">
        <v>277</v>
      </c>
      <c r="F9" s="145">
        <v>0</v>
      </c>
      <c r="G9" s="156" t="s">
        <v>278</v>
      </c>
      <c r="H9" s="159" t="s">
        <v>279</v>
      </c>
      <c r="I9" s="160" t="s">
        <v>280</v>
      </c>
      <c r="J9" s="246" t="s">
        <v>281</v>
      </c>
      <c r="K9" s="229" t="s">
        <v>247</v>
      </c>
      <c r="L9" s="242" t="s">
        <v>248</v>
      </c>
    </row>
    <row r="10" spans="1:12" ht="56.25" customHeight="1" x14ac:dyDescent="0.25">
      <c r="B10" s="230"/>
      <c r="C10" s="230"/>
      <c r="D10" s="244"/>
      <c r="E10" s="14" t="s">
        <v>282</v>
      </c>
      <c r="F10" s="145">
        <v>0</v>
      </c>
      <c r="G10" s="156" t="s">
        <v>278</v>
      </c>
      <c r="H10" s="159" t="s">
        <v>283</v>
      </c>
      <c r="I10" s="160" t="s">
        <v>280</v>
      </c>
      <c r="J10" s="247"/>
      <c r="K10" s="230"/>
      <c r="L10" s="242"/>
    </row>
    <row r="11" spans="1:12" ht="56.25" customHeight="1" x14ac:dyDescent="0.25">
      <c r="B11" s="230"/>
      <c r="C11" s="230"/>
      <c r="D11" s="244"/>
      <c r="E11" s="14" t="s">
        <v>284</v>
      </c>
      <c r="F11" s="145">
        <v>0</v>
      </c>
      <c r="G11" s="156" t="s">
        <v>278</v>
      </c>
      <c r="H11" s="159" t="s">
        <v>285</v>
      </c>
      <c r="I11" s="160" t="s">
        <v>280</v>
      </c>
      <c r="J11" s="247"/>
      <c r="K11" s="230"/>
      <c r="L11" s="242"/>
    </row>
    <row r="12" spans="1:12" ht="56.25" customHeight="1" x14ac:dyDescent="0.25">
      <c r="B12" s="231"/>
      <c r="C12" s="231"/>
      <c r="D12" s="245"/>
      <c r="E12" s="14" t="s">
        <v>286</v>
      </c>
      <c r="F12" s="145">
        <v>0</v>
      </c>
      <c r="G12" s="156" t="s">
        <v>278</v>
      </c>
      <c r="H12" s="159">
        <v>2</v>
      </c>
      <c r="I12" s="160" t="s">
        <v>280</v>
      </c>
      <c r="J12" s="248"/>
      <c r="K12" s="231"/>
      <c r="L12" s="242"/>
    </row>
    <row r="14" spans="1:12" x14ac:dyDescent="0.25">
      <c r="C14" s="78" t="s">
        <v>231</v>
      </c>
    </row>
  </sheetData>
  <mergeCells count="16">
    <mergeCell ref="L9:L12"/>
    <mergeCell ref="B8:B12"/>
    <mergeCell ref="C8:C12"/>
    <mergeCell ref="D9:D12"/>
    <mergeCell ref="J9:J12"/>
    <mergeCell ref="K9:K12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O55"/>
  <sheetViews>
    <sheetView topLeftCell="A3" workbookViewId="0">
      <selection activeCell="M13" sqref="M13"/>
    </sheetView>
  </sheetViews>
  <sheetFormatPr defaultRowHeight="13.5" x14ac:dyDescent="0.25"/>
  <cols>
    <col min="1" max="1" width="9.140625" style="78"/>
    <col min="2" max="2" width="7.85546875" style="78" customWidth="1"/>
    <col min="3" max="3" width="17.7109375" style="78" customWidth="1"/>
    <col min="4" max="4" width="12.7109375" style="78" customWidth="1"/>
    <col min="5" max="5" width="14.140625" style="78" customWidth="1"/>
    <col min="6" max="6" width="11.28515625" style="78" customWidth="1"/>
    <col min="7" max="7" width="12.140625" style="78" customWidth="1"/>
    <col min="8" max="8" width="15.5703125" style="78" customWidth="1"/>
    <col min="9" max="9" width="49.140625" style="78" customWidth="1"/>
    <col min="10" max="14" width="15.85546875" style="78" customWidth="1"/>
    <col min="15" max="16384" width="9.140625" style="78"/>
  </cols>
  <sheetData>
    <row r="1" spans="1:14" x14ac:dyDescent="0.25">
      <c r="A1" s="123" t="s">
        <v>135</v>
      </c>
    </row>
    <row r="3" spans="1:14" ht="15" x14ac:dyDescent="0.25">
      <c r="A3" s="124" t="s">
        <v>221</v>
      </c>
      <c r="B3" s="125"/>
      <c r="C3" s="124"/>
      <c r="D3" s="124"/>
      <c r="E3" s="124"/>
      <c r="F3" s="126"/>
      <c r="G3" s="126"/>
      <c r="H3" s="126"/>
      <c r="I3" s="124"/>
    </row>
    <row r="6" spans="1:14" ht="15" x14ac:dyDescent="0.25">
      <c r="A6" s="123" t="s">
        <v>222</v>
      </c>
      <c r="C6" s="34"/>
      <c r="D6" s="34"/>
      <c r="E6" s="34"/>
      <c r="F6" s="34"/>
      <c r="G6" s="34"/>
      <c r="H6" s="34"/>
      <c r="I6" s="34"/>
    </row>
    <row r="8" spans="1:14" s="127" customFormat="1" ht="13.5" customHeight="1" x14ac:dyDescent="0.25">
      <c r="A8" s="257" t="s">
        <v>190</v>
      </c>
      <c r="B8" s="257" t="s">
        <v>191</v>
      </c>
      <c r="C8" s="257"/>
      <c r="D8" s="257" t="s">
        <v>288</v>
      </c>
      <c r="E8" s="257"/>
      <c r="F8" s="257"/>
      <c r="G8" s="257"/>
      <c r="H8" s="257" t="s">
        <v>200</v>
      </c>
      <c r="I8" s="257" t="s">
        <v>289</v>
      </c>
      <c r="J8" s="257" t="s">
        <v>42</v>
      </c>
      <c r="K8" s="257"/>
      <c r="L8" s="257"/>
      <c r="M8" s="257"/>
      <c r="N8" s="257"/>
    </row>
    <row r="9" spans="1:14" s="127" customFormat="1" ht="93.75" customHeight="1" x14ac:dyDescent="0.25">
      <c r="A9" s="257"/>
      <c r="B9" s="162" t="s">
        <v>192</v>
      </c>
      <c r="C9" s="162" t="s">
        <v>193</v>
      </c>
      <c r="D9" s="162" t="s">
        <v>194</v>
      </c>
      <c r="E9" s="162" t="s">
        <v>193</v>
      </c>
      <c r="F9" s="162" t="s">
        <v>195</v>
      </c>
      <c r="G9" s="162" t="s">
        <v>290</v>
      </c>
      <c r="H9" s="257"/>
      <c r="I9" s="257"/>
      <c r="J9" s="162" t="s">
        <v>196</v>
      </c>
      <c r="K9" s="162" t="s">
        <v>253</v>
      </c>
      <c r="L9" s="162" t="s">
        <v>17</v>
      </c>
      <c r="M9" s="162" t="s">
        <v>114</v>
      </c>
      <c r="N9" s="162" t="s">
        <v>137</v>
      </c>
    </row>
    <row r="10" spans="1:14" s="127" customFormat="1" ht="0.75" customHeight="1" x14ac:dyDescent="0.25">
      <c r="A10" s="258" t="s">
        <v>197</v>
      </c>
      <c r="B10" s="258"/>
      <c r="C10" s="258"/>
      <c r="D10" s="258"/>
      <c r="E10" s="258"/>
      <c r="F10" s="258"/>
      <c r="G10" s="258"/>
      <c r="H10" s="258"/>
      <c r="I10" s="258"/>
      <c r="J10" s="163">
        <v>0</v>
      </c>
      <c r="K10" s="163">
        <v>0</v>
      </c>
      <c r="L10" s="163">
        <v>0</v>
      </c>
      <c r="M10" s="163">
        <v>0</v>
      </c>
    </row>
    <row r="11" spans="1:14" s="127" customFormat="1" ht="23.25" customHeight="1" x14ac:dyDescent="0.25">
      <c r="A11" s="161" t="s">
        <v>287</v>
      </c>
      <c r="B11" s="128"/>
      <c r="C11" s="179"/>
      <c r="D11" s="179"/>
      <c r="E11" s="179"/>
      <c r="F11" s="179"/>
      <c r="G11" s="179"/>
      <c r="H11" s="179"/>
      <c r="I11" s="179"/>
      <c r="J11" s="187">
        <f>+J12+J20+J31+J40</f>
        <v>129118.58431825</v>
      </c>
      <c r="K11" s="187">
        <f t="shared" ref="K11:N11" si="0">+K12+K20+K31+K40</f>
        <v>36423476.100000001</v>
      </c>
      <c r="L11" s="187">
        <f t="shared" si="0"/>
        <v>53569091.960000001</v>
      </c>
      <c r="M11" s="187">
        <f t="shared" si="0"/>
        <v>63217092.777999997</v>
      </c>
      <c r="N11" s="187">
        <f t="shared" si="0"/>
        <v>139702381.47973949</v>
      </c>
    </row>
    <row r="12" spans="1:14" s="127" customFormat="1" ht="27.75" customHeight="1" x14ac:dyDescent="0.25">
      <c r="A12" s="164"/>
      <c r="B12" s="176">
        <v>1167</v>
      </c>
      <c r="C12" s="161" t="s">
        <v>238</v>
      </c>
      <c r="D12" s="128"/>
      <c r="E12" s="128"/>
      <c r="F12" s="128"/>
      <c r="G12" s="128"/>
      <c r="H12" s="128"/>
      <c r="I12" s="180"/>
      <c r="J12" s="178">
        <v>0</v>
      </c>
      <c r="K12" s="165">
        <f>+K13</f>
        <v>3871700</v>
      </c>
      <c r="L12" s="165">
        <f>+L13</f>
        <v>3808043.46</v>
      </c>
      <c r="M12" s="165">
        <f>+M13</f>
        <v>13341026.25</v>
      </c>
      <c r="N12" s="165">
        <f>+N13</f>
        <v>4429498.8600000031</v>
      </c>
    </row>
    <row r="13" spans="1:14" s="127" customFormat="1" ht="39" customHeight="1" x14ac:dyDescent="0.25">
      <c r="A13" s="252"/>
      <c r="B13" s="253"/>
      <c r="C13" s="253"/>
      <c r="D13" s="174">
        <v>42013</v>
      </c>
      <c r="E13" s="254" t="s">
        <v>239</v>
      </c>
      <c r="F13" s="255"/>
      <c r="G13" s="255"/>
      <c r="H13" s="255"/>
      <c r="I13" s="256"/>
      <c r="J13" s="165">
        <v>0</v>
      </c>
      <c r="K13" s="165">
        <f>+'Հ3 Մաս 2'!H10</f>
        <v>3871700</v>
      </c>
      <c r="L13" s="165">
        <f>+'Հ3 Մաս 2'!I10</f>
        <v>3808043.46</v>
      </c>
      <c r="M13" s="165">
        <f>+'Հ3 Մաս 2'!J10</f>
        <v>13341026.25</v>
      </c>
      <c r="N13" s="165">
        <f>+'Հ3 Մաս 2'!K10</f>
        <v>4429498.8600000031</v>
      </c>
    </row>
    <row r="14" spans="1:14" s="127" customFormat="1" ht="36.75" customHeight="1" x14ac:dyDescent="0.25">
      <c r="A14" s="166"/>
      <c r="B14" s="167"/>
      <c r="C14" s="167"/>
      <c r="D14" s="168"/>
      <c r="E14" s="168"/>
      <c r="F14" s="254" t="s">
        <v>259</v>
      </c>
      <c r="G14" s="255"/>
      <c r="H14" s="255"/>
      <c r="I14" s="255"/>
      <c r="J14" s="255"/>
      <c r="K14" s="255"/>
      <c r="L14" s="255"/>
      <c r="M14" s="255"/>
      <c r="N14" s="256"/>
    </row>
    <row r="15" spans="1:14" s="127" customFormat="1" ht="21" customHeight="1" x14ac:dyDescent="0.25">
      <c r="A15" s="166"/>
      <c r="B15" s="167"/>
      <c r="C15" s="167"/>
      <c r="D15" s="168"/>
      <c r="E15" s="168"/>
      <c r="F15" s="168"/>
      <c r="G15" s="249" t="s">
        <v>267</v>
      </c>
      <c r="H15" s="250"/>
      <c r="I15" s="250"/>
      <c r="J15" s="250"/>
      <c r="K15" s="250"/>
      <c r="L15" s="250"/>
      <c r="M15" s="250"/>
      <c r="N15" s="251"/>
    </row>
    <row r="16" spans="1:14" s="127" customFormat="1" ht="21" customHeight="1" x14ac:dyDescent="0.25">
      <c r="A16" s="166"/>
      <c r="B16" s="167"/>
      <c r="C16" s="167"/>
      <c r="D16" s="168"/>
      <c r="E16" s="168"/>
      <c r="F16" s="168"/>
      <c r="G16" s="168"/>
      <c r="H16" s="183" t="s">
        <v>291</v>
      </c>
      <c r="I16" s="181"/>
      <c r="J16" s="181"/>
      <c r="K16" s="181"/>
      <c r="L16" s="181"/>
      <c r="M16" s="181"/>
      <c r="N16" s="182"/>
    </row>
    <row r="17" spans="1:15" s="127" customFormat="1" ht="30.75" customHeight="1" x14ac:dyDescent="0.25">
      <c r="A17" s="164"/>
      <c r="B17" s="169"/>
      <c r="C17" s="169"/>
      <c r="D17" s="169"/>
      <c r="E17" s="169"/>
      <c r="F17" s="169"/>
      <c r="G17" s="169"/>
      <c r="H17" s="169"/>
      <c r="I17" s="170" t="s">
        <v>243</v>
      </c>
      <c r="J17" s="171">
        <v>0</v>
      </c>
      <c r="K17" s="171">
        <v>3</v>
      </c>
      <c r="L17" s="171">
        <v>3</v>
      </c>
      <c r="M17" s="171">
        <v>3</v>
      </c>
      <c r="N17" s="171">
        <v>3</v>
      </c>
    </row>
    <row r="18" spans="1:15" s="127" customFormat="1" ht="34.5" customHeight="1" x14ac:dyDescent="0.25">
      <c r="A18" s="164"/>
      <c r="B18" s="169"/>
      <c r="C18" s="169"/>
      <c r="D18" s="169"/>
      <c r="E18" s="169"/>
      <c r="F18" s="169"/>
      <c r="G18" s="169"/>
      <c r="H18" s="169"/>
      <c r="I18" s="172" t="s">
        <v>250</v>
      </c>
      <c r="J18" s="173">
        <v>1</v>
      </c>
      <c r="K18" s="173">
        <v>1</v>
      </c>
      <c r="L18" s="173">
        <v>1</v>
      </c>
      <c r="M18" s="173">
        <v>1</v>
      </c>
      <c r="N18" s="173">
        <v>1</v>
      </c>
      <c r="O18" s="130"/>
    </row>
    <row r="19" spans="1:15" s="127" customFormat="1" ht="17.25" customHeight="1" x14ac:dyDescent="0.25"/>
    <row r="20" spans="1:15" s="127" customFormat="1" ht="23.25" customHeight="1" x14ac:dyDescent="0.25">
      <c r="A20" s="164"/>
      <c r="B20" s="173">
        <v>1167</v>
      </c>
      <c r="C20" s="175" t="s">
        <v>238</v>
      </c>
      <c r="D20" s="128"/>
      <c r="E20" s="177"/>
      <c r="F20" s="128"/>
      <c r="G20" s="128"/>
      <c r="H20" s="128"/>
      <c r="I20" s="128"/>
      <c r="J20" s="184">
        <f>+J21</f>
        <v>64559.297518249994</v>
      </c>
      <c r="K20" s="184">
        <f>+K21</f>
        <v>31400151.899999999</v>
      </c>
      <c r="L20" s="184">
        <f>+L21</f>
        <v>47769468.75</v>
      </c>
      <c r="M20" s="184">
        <f>+M21</f>
        <v>49037137.5</v>
      </c>
      <c r="N20" s="184">
        <f>+N21</f>
        <v>134738316.89579499</v>
      </c>
    </row>
    <row r="21" spans="1:15" s="127" customFormat="1" ht="40.5" customHeight="1" x14ac:dyDescent="0.25">
      <c r="A21" s="252"/>
      <c r="B21" s="253"/>
      <c r="C21" s="253"/>
      <c r="D21" s="174">
        <v>42008</v>
      </c>
      <c r="E21" s="254" t="s">
        <v>292</v>
      </c>
      <c r="F21" s="255"/>
      <c r="G21" s="255"/>
      <c r="H21" s="255"/>
      <c r="I21" s="256"/>
      <c r="J21" s="165">
        <f>+'Հ3 Մաս 2'!G11</f>
        <v>64559.297518249994</v>
      </c>
      <c r="K21" s="165">
        <f>+'Հ3 Մաս 2'!H11</f>
        <v>31400151.899999999</v>
      </c>
      <c r="L21" s="165">
        <f>+'Հ3 Մաս 2'!I11</f>
        <v>47769468.75</v>
      </c>
      <c r="M21" s="165">
        <f>+'Հ3 Մաս 2'!J11</f>
        <v>49037137.5</v>
      </c>
      <c r="N21" s="165">
        <f>+'Հ3 Մաս 2'!K11</f>
        <v>134738316.89579499</v>
      </c>
    </row>
    <row r="22" spans="1:15" s="127" customFormat="1" ht="23.25" customHeight="1" x14ac:dyDescent="0.25">
      <c r="A22" s="164"/>
      <c r="B22" s="169"/>
      <c r="C22" s="169"/>
      <c r="D22" s="169"/>
      <c r="E22" s="169"/>
      <c r="F22" s="259" t="s">
        <v>271</v>
      </c>
      <c r="G22" s="259"/>
      <c r="H22" s="259"/>
      <c r="I22" s="259"/>
      <c r="J22" s="259"/>
      <c r="K22" s="259"/>
      <c r="L22" s="259"/>
      <c r="M22" s="259"/>
      <c r="N22" s="259"/>
    </row>
    <row r="23" spans="1:15" s="127" customFormat="1" ht="23.25" customHeight="1" x14ac:dyDescent="0.25">
      <c r="A23" s="164"/>
      <c r="B23" s="169"/>
      <c r="C23" s="169"/>
      <c r="D23" s="169"/>
      <c r="E23" s="169"/>
      <c r="F23" s="169"/>
      <c r="G23" s="259" t="s">
        <v>267</v>
      </c>
      <c r="H23" s="259"/>
      <c r="I23" s="259"/>
      <c r="J23" s="259"/>
      <c r="K23" s="259"/>
      <c r="L23" s="259"/>
      <c r="M23" s="259"/>
      <c r="N23" s="259"/>
    </row>
    <row r="24" spans="1:15" s="127" customFormat="1" ht="23.25" customHeight="1" x14ac:dyDescent="0.25">
      <c r="A24" s="164"/>
      <c r="B24" s="169"/>
      <c r="C24" s="169"/>
      <c r="D24" s="169"/>
      <c r="E24" s="169"/>
      <c r="F24" s="169"/>
      <c r="G24" s="169"/>
      <c r="H24" s="260" t="s">
        <v>291</v>
      </c>
      <c r="I24" s="260"/>
      <c r="J24" s="260"/>
      <c r="K24" s="260"/>
      <c r="L24" s="260"/>
      <c r="M24" s="260"/>
      <c r="N24" s="260"/>
    </row>
    <row r="25" spans="1:15" s="127" customFormat="1" ht="18.75" customHeight="1" x14ac:dyDescent="0.25">
      <c r="A25" s="164"/>
      <c r="B25" s="169"/>
      <c r="C25" s="169"/>
      <c r="D25" s="169"/>
      <c r="E25" s="169"/>
      <c r="F25" s="169"/>
      <c r="G25" s="169"/>
      <c r="H25" s="169"/>
      <c r="I25" s="188" t="s">
        <v>250</v>
      </c>
      <c r="J25" s="186">
        <v>1</v>
      </c>
      <c r="K25" s="186">
        <v>4</v>
      </c>
      <c r="L25" s="186">
        <v>4</v>
      </c>
      <c r="M25" s="186">
        <v>4</v>
      </c>
      <c r="N25" s="186">
        <v>4</v>
      </c>
    </row>
    <row r="26" spans="1:15" s="127" customFormat="1" ht="18.75" customHeight="1" x14ac:dyDescent="0.25">
      <c r="A26" s="164"/>
      <c r="B26" s="169"/>
      <c r="C26" s="169"/>
      <c r="D26" s="169"/>
      <c r="E26" s="169"/>
      <c r="F26" s="169"/>
      <c r="G26" s="169"/>
      <c r="H26" s="169"/>
      <c r="I26" s="188" t="s">
        <v>293</v>
      </c>
      <c r="J26" s="76">
        <v>0</v>
      </c>
      <c r="K26" s="76">
        <v>11</v>
      </c>
      <c r="L26" s="76">
        <v>11</v>
      </c>
      <c r="M26" s="76">
        <v>11</v>
      </c>
      <c r="N26" s="76">
        <v>11</v>
      </c>
    </row>
    <row r="27" spans="1:15" s="127" customFormat="1" ht="18.75" customHeight="1" x14ac:dyDescent="0.25">
      <c r="A27" s="164"/>
      <c r="B27" s="169"/>
      <c r="C27" s="169"/>
      <c r="D27" s="169"/>
      <c r="E27" s="169"/>
      <c r="F27" s="169"/>
      <c r="G27" s="169"/>
      <c r="H27" s="169"/>
      <c r="I27" s="188" t="s">
        <v>294</v>
      </c>
      <c r="J27" s="76">
        <v>0</v>
      </c>
      <c r="K27" s="76">
        <v>96.7</v>
      </c>
      <c r="L27" s="76">
        <v>96.7</v>
      </c>
      <c r="M27" s="76">
        <v>96.7</v>
      </c>
      <c r="N27" s="76">
        <v>96.7</v>
      </c>
    </row>
    <row r="28" spans="1:15" s="127" customFormat="1" ht="18.75" customHeight="1" x14ac:dyDescent="0.25">
      <c r="A28" s="164"/>
      <c r="B28" s="169"/>
      <c r="C28" s="169"/>
      <c r="D28" s="169"/>
      <c r="E28" s="169"/>
      <c r="F28" s="169"/>
      <c r="G28" s="169"/>
      <c r="H28" s="169"/>
      <c r="I28" s="185" t="s">
        <v>295</v>
      </c>
      <c r="J28" s="76">
        <v>0</v>
      </c>
      <c r="K28" s="76">
        <v>7.01</v>
      </c>
      <c r="L28" s="76">
        <v>7.01</v>
      </c>
      <c r="M28" s="76">
        <v>7.01</v>
      </c>
      <c r="N28" s="76">
        <v>7.01</v>
      </c>
    </row>
    <row r="29" spans="1:15" s="127" customFormat="1" ht="18.75" customHeight="1" x14ac:dyDescent="0.25">
      <c r="A29" s="164"/>
      <c r="B29" s="169"/>
      <c r="C29" s="169"/>
      <c r="D29" s="169"/>
      <c r="E29" s="169"/>
      <c r="F29" s="169"/>
      <c r="G29" s="169"/>
      <c r="H29" s="169"/>
      <c r="I29" s="185" t="s">
        <v>296</v>
      </c>
      <c r="J29" s="76">
        <v>0</v>
      </c>
      <c r="K29" s="76">
        <v>2</v>
      </c>
      <c r="L29" s="76">
        <v>2</v>
      </c>
      <c r="M29" s="76">
        <v>2</v>
      </c>
      <c r="N29" s="76">
        <v>2</v>
      </c>
    </row>
    <row r="30" spans="1:15" s="127" customFormat="1" ht="19.5" customHeight="1" x14ac:dyDescent="0.25"/>
    <row r="31" spans="1:15" s="127" customFormat="1" ht="26.25" customHeight="1" x14ac:dyDescent="0.25">
      <c r="A31" s="164"/>
      <c r="B31" s="173">
        <v>1167</v>
      </c>
      <c r="C31" s="175" t="s">
        <v>238</v>
      </c>
      <c r="D31" s="128"/>
      <c r="E31" s="128"/>
      <c r="F31" s="128"/>
      <c r="G31" s="128"/>
      <c r="H31" s="128"/>
      <c r="I31" s="128"/>
      <c r="J31" s="165">
        <f>+J32</f>
        <v>64559.286800000002</v>
      </c>
      <c r="K31" s="165">
        <f>+K32</f>
        <v>138607.5</v>
      </c>
      <c r="L31" s="165">
        <f>+L32</f>
        <v>224057.87500000003</v>
      </c>
      <c r="M31" s="165">
        <f>+M32</f>
        <v>154593.75</v>
      </c>
      <c r="N31" s="165">
        <f>+N32</f>
        <v>534565.72394449986</v>
      </c>
    </row>
    <row r="32" spans="1:15" s="127" customFormat="1" ht="38.25" customHeight="1" x14ac:dyDescent="0.25">
      <c r="A32" s="252"/>
      <c r="B32" s="253"/>
      <c r="C32" s="253"/>
      <c r="D32" s="174">
        <v>11006</v>
      </c>
      <c r="E32" s="254" t="s">
        <v>269</v>
      </c>
      <c r="F32" s="255"/>
      <c r="G32" s="255"/>
      <c r="H32" s="255"/>
      <c r="I32" s="256"/>
      <c r="J32" s="165">
        <f>+'Հ3 Մաս 2'!G12</f>
        <v>64559.286800000002</v>
      </c>
      <c r="K32" s="165">
        <f>+'Հ3 Մաս 2'!H12</f>
        <v>138607.5</v>
      </c>
      <c r="L32" s="165">
        <f>+'Հ3 Մաս 2'!I12</f>
        <v>224057.87500000003</v>
      </c>
      <c r="M32" s="165">
        <f>+'Հ3 Մաս 2'!J12</f>
        <v>154593.75</v>
      </c>
      <c r="N32" s="165">
        <f>+'Հ3 Մաս 2'!K12</f>
        <v>534565.72394449986</v>
      </c>
    </row>
    <row r="33" spans="1:14" s="127" customFormat="1" ht="26.25" customHeight="1" x14ac:dyDescent="0.25">
      <c r="A33" s="164"/>
      <c r="B33" s="169"/>
      <c r="C33" s="169"/>
      <c r="D33" s="169"/>
      <c r="E33" s="169"/>
      <c r="F33" s="259" t="s">
        <v>297</v>
      </c>
      <c r="G33" s="259"/>
      <c r="H33" s="259"/>
      <c r="I33" s="259"/>
      <c r="J33" s="259"/>
      <c r="K33" s="259"/>
      <c r="L33" s="259"/>
      <c r="M33" s="259"/>
      <c r="N33" s="259"/>
    </row>
    <row r="34" spans="1:14" s="127" customFormat="1" ht="26.25" customHeight="1" x14ac:dyDescent="0.25">
      <c r="A34" s="164"/>
      <c r="B34" s="169"/>
      <c r="C34" s="169"/>
      <c r="D34" s="169"/>
      <c r="E34" s="169"/>
      <c r="F34" s="169"/>
      <c r="G34" s="259" t="s">
        <v>298</v>
      </c>
      <c r="H34" s="259"/>
      <c r="I34" s="259"/>
      <c r="J34" s="259"/>
      <c r="K34" s="259"/>
      <c r="L34" s="259"/>
      <c r="M34" s="259"/>
      <c r="N34" s="259"/>
    </row>
    <row r="35" spans="1:14" s="127" customFormat="1" ht="26.25" customHeight="1" x14ac:dyDescent="0.25">
      <c r="A35" s="164"/>
      <c r="B35" s="169"/>
      <c r="C35" s="169"/>
      <c r="D35" s="169"/>
      <c r="E35" s="169"/>
      <c r="F35" s="169"/>
      <c r="G35" s="169"/>
      <c r="H35" s="260" t="s">
        <v>291</v>
      </c>
      <c r="I35" s="260"/>
      <c r="J35" s="260"/>
      <c r="K35" s="260"/>
      <c r="L35" s="260"/>
      <c r="M35" s="260"/>
      <c r="N35" s="260"/>
    </row>
    <row r="36" spans="1:14" s="127" customFormat="1" ht="26.25" customHeight="1" x14ac:dyDescent="0.25">
      <c r="A36" s="164"/>
      <c r="B36" s="169"/>
      <c r="C36" s="169"/>
      <c r="D36" s="169"/>
      <c r="E36" s="169"/>
      <c r="F36" s="169"/>
      <c r="G36" s="169"/>
      <c r="H36" s="169"/>
      <c r="I36" s="185" t="s">
        <v>299</v>
      </c>
      <c r="J36" s="171">
        <v>1</v>
      </c>
      <c r="K36" s="171">
        <v>2</v>
      </c>
      <c r="L36" s="171">
        <v>2</v>
      </c>
      <c r="M36" s="171">
        <v>2</v>
      </c>
      <c r="N36" s="171">
        <v>2</v>
      </c>
    </row>
    <row r="37" spans="1:14" s="127" customFormat="1" ht="26.25" customHeight="1" x14ac:dyDescent="0.25">
      <c r="A37" s="164"/>
      <c r="B37" s="169"/>
      <c r="C37" s="169"/>
      <c r="D37" s="169"/>
      <c r="E37" s="169"/>
      <c r="F37" s="169"/>
      <c r="G37" s="169"/>
      <c r="H37" s="169"/>
      <c r="I37" s="185" t="s">
        <v>300</v>
      </c>
      <c r="J37" s="173">
        <v>1</v>
      </c>
      <c r="K37" s="173">
        <v>1</v>
      </c>
      <c r="L37" s="173">
        <v>1</v>
      </c>
      <c r="M37" s="173">
        <v>1</v>
      </c>
      <c r="N37" s="173">
        <v>1</v>
      </c>
    </row>
    <row r="38" spans="1:14" s="127" customFormat="1" ht="26.25" hidden="1" customHeight="1" x14ac:dyDescent="0.25">
      <c r="A38" s="164"/>
      <c r="B38" s="169"/>
      <c r="C38" s="169"/>
      <c r="D38" s="169"/>
      <c r="E38" s="169"/>
      <c r="F38" s="169"/>
      <c r="G38" s="169"/>
      <c r="H38" s="169"/>
      <c r="I38" s="172" t="s">
        <v>301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</row>
    <row r="39" spans="1:14" s="127" customFormat="1" x14ac:dyDescent="0.25"/>
    <row r="40" spans="1:14" s="127" customFormat="1" ht="23.25" customHeight="1" x14ac:dyDescent="0.25">
      <c r="A40" s="164"/>
      <c r="B40" s="173">
        <v>1167</v>
      </c>
      <c r="C40" s="175" t="s">
        <v>238</v>
      </c>
      <c r="D40" s="128"/>
      <c r="E40" s="177"/>
      <c r="F40" s="128"/>
      <c r="G40" s="128"/>
      <c r="H40" s="128"/>
      <c r="I40" s="128"/>
      <c r="J40" s="184">
        <f>+J41</f>
        <v>0</v>
      </c>
      <c r="K40" s="184">
        <f>+K41</f>
        <v>1013016.7</v>
      </c>
      <c r="L40" s="184">
        <f>+L41</f>
        <v>1767521.875</v>
      </c>
      <c r="M40" s="184">
        <f>+M41</f>
        <v>684335.27800000017</v>
      </c>
      <c r="N40" s="184">
        <f>+N41</f>
        <v>0</v>
      </c>
    </row>
    <row r="41" spans="1:14" s="127" customFormat="1" ht="40.5" customHeight="1" x14ac:dyDescent="0.25">
      <c r="A41" s="252"/>
      <c r="B41" s="253"/>
      <c r="C41" s="253"/>
      <c r="D41" s="174">
        <v>32006</v>
      </c>
      <c r="E41" s="254" t="s">
        <v>270</v>
      </c>
      <c r="F41" s="255"/>
      <c r="G41" s="255"/>
      <c r="H41" s="255"/>
      <c r="I41" s="256"/>
      <c r="J41" s="165">
        <f>+'Հ3 Մաս 2'!G13</f>
        <v>0</v>
      </c>
      <c r="K41" s="165">
        <f>+'Հ3 Մաս 2'!H13</f>
        <v>1013016.7</v>
      </c>
      <c r="L41" s="165">
        <f>+'Հ3 Մաս 2'!I13</f>
        <v>1767521.875</v>
      </c>
      <c r="M41" s="165">
        <f>+'Հ3 Մաս 2'!J13</f>
        <v>684335.27800000017</v>
      </c>
      <c r="N41" s="165">
        <f>+'Հ3 Մաս 2'!K13</f>
        <v>0</v>
      </c>
    </row>
    <row r="42" spans="1:14" s="127" customFormat="1" ht="23.25" customHeight="1" x14ac:dyDescent="0.25">
      <c r="A42" s="164"/>
      <c r="B42" s="169"/>
      <c r="C42" s="169"/>
      <c r="D42" s="169"/>
      <c r="E42" s="169"/>
      <c r="F42" s="259" t="s">
        <v>302</v>
      </c>
      <c r="G42" s="259"/>
      <c r="H42" s="259"/>
      <c r="I42" s="259"/>
      <c r="J42" s="259"/>
      <c r="K42" s="259"/>
      <c r="L42" s="259"/>
      <c r="M42" s="259"/>
      <c r="N42" s="259"/>
    </row>
    <row r="43" spans="1:14" s="127" customFormat="1" ht="23.25" customHeight="1" x14ac:dyDescent="0.25">
      <c r="A43" s="164"/>
      <c r="B43" s="169"/>
      <c r="C43" s="169"/>
      <c r="D43" s="169"/>
      <c r="E43" s="169"/>
      <c r="F43" s="169"/>
      <c r="G43" s="259" t="s">
        <v>303</v>
      </c>
      <c r="H43" s="259"/>
      <c r="I43" s="259"/>
      <c r="J43" s="259"/>
      <c r="K43" s="259"/>
      <c r="L43" s="259"/>
      <c r="M43" s="259"/>
      <c r="N43" s="259"/>
    </row>
    <row r="44" spans="1:14" s="127" customFormat="1" ht="23.25" customHeight="1" x14ac:dyDescent="0.25">
      <c r="A44" s="164"/>
      <c r="B44" s="169"/>
      <c r="C44" s="169"/>
      <c r="D44" s="169"/>
      <c r="E44" s="169"/>
      <c r="F44" s="169"/>
      <c r="G44" s="169"/>
      <c r="H44" s="260" t="s">
        <v>291</v>
      </c>
      <c r="I44" s="260"/>
      <c r="J44" s="260"/>
      <c r="K44" s="260"/>
      <c r="L44" s="260"/>
      <c r="M44" s="260"/>
      <c r="N44" s="260"/>
    </row>
    <row r="45" spans="1:14" s="127" customFormat="1" ht="18.75" customHeight="1" x14ac:dyDescent="0.25">
      <c r="A45" s="164"/>
      <c r="B45" s="169"/>
      <c r="C45" s="169"/>
      <c r="D45" s="169"/>
      <c r="E45" s="169"/>
      <c r="F45" s="169"/>
      <c r="G45" s="169"/>
      <c r="H45" s="169"/>
      <c r="I45" s="185" t="s">
        <v>299</v>
      </c>
      <c r="J45" s="186">
        <v>0</v>
      </c>
      <c r="K45" s="186">
        <v>1</v>
      </c>
      <c r="L45" s="186">
        <v>1</v>
      </c>
      <c r="M45" s="186">
        <v>1</v>
      </c>
      <c r="N45" s="186">
        <v>1</v>
      </c>
    </row>
    <row r="46" spans="1:14" s="127" customFormat="1" ht="18.75" customHeight="1" x14ac:dyDescent="0.25">
      <c r="A46" s="164"/>
      <c r="B46" s="169"/>
      <c r="C46" s="169"/>
      <c r="D46" s="169"/>
      <c r="E46" s="169"/>
      <c r="F46" s="169"/>
      <c r="G46" s="169"/>
      <c r="H46" s="169"/>
      <c r="I46" s="185" t="s">
        <v>304</v>
      </c>
      <c r="J46" s="76">
        <v>0</v>
      </c>
      <c r="K46" s="76">
        <v>1</v>
      </c>
      <c r="L46" s="76">
        <v>1</v>
      </c>
      <c r="M46" s="76">
        <v>1</v>
      </c>
      <c r="N46" s="76">
        <v>1</v>
      </c>
    </row>
    <row r="47" spans="1:14" s="127" customFormat="1" ht="18.75" customHeight="1" x14ac:dyDescent="0.25">
      <c r="A47" s="164"/>
      <c r="B47" s="169"/>
      <c r="C47" s="169"/>
      <c r="D47" s="169"/>
      <c r="E47" s="169"/>
      <c r="F47" s="169"/>
      <c r="G47" s="169"/>
      <c r="H47" s="169"/>
      <c r="I47" s="185" t="s">
        <v>293</v>
      </c>
      <c r="J47" s="76">
        <v>0</v>
      </c>
      <c r="K47" s="76">
        <v>11</v>
      </c>
      <c r="L47" s="76">
        <v>11</v>
      </c>
      <c r="M47" s="76">
        <v>11</v>
      </c>
      <c r="N47" s="76">
        <v>11</v>
      </c>
    </row>
    <row r="48" spans="1:14" s="127" customFormat="1" ht="18.75" customHeight="1" x14ac:dyDescent="0.25">
      <c r="A48" s="164"/>
      <c r="B48" s="169"/>
      <c r="C48" s="169"/>
      <c r="D48" s="169"/>
      <c r="E48" s="169"/>
      <c r="F48" s="169"/>
      <c r="G48" s="169"/>
      <c r="H48" s="169"/>
      <c r="I48" s="185" t="s">
        <v>294</v>
      </c>
      <c r="J48" s="76">
        <v>0</v>
      </c>
      <c r="K48" s="76">
        <v>96.7</v>
      </c>
      <c r="L48" s="76">
        <v>96.7</v>
      </c>
      <c r="M48" s="76">
        <v>96.7</v>
      </c>
      <c r="N48" s="76">
        <v>96.7</v>
      </c>
    </row>
    <row r="49" spans="1:14" s="127" customFormat="1" ht="18.75" customHeight="1" x14ac:dyDescent="0.25">
      <c r="A49" s="164"/>
      <c r="B49" s="169"/>
      <c r="C49" s="169"/>
      <c r="D49" s="169"/>
      <c r="E49" s="169"/>
      <c r="F49" s="169"/>
      <c r="G49" s="169"/>
      <c r="H49" s="169"/>
      <c r="I49" s="185" t="s">
        <v>295</v>
      </c>
      <c r="J49" s="76">
        <v>0</v>
      </c>
      <c r="K49" s="76">
        <v>7.01</v>
      </c>
      <c r="L49" s="76">
        <v>7.01</v>
      </c>
      <c r="M49" s="76">
        <v>7.01</v>
      </c>
      <c r="N49" s="76">
        <v>7.01</v>
      </c>
    </row>
    <row r="50" spans="1:14" s="127" customFormat="1" ht="19.5" customHeight="1" x14ac:dyDescent="0.25"/>
    <row r="51" spans="1:14" s="127" customFormat="1" x14ac:dyDescent="0.25"/>
    <row r="52" spans="1:14" ht="16.5" customHeight="1" x14ac:dyDescent="0.25"/>
    <row r="53" spans="1:14" x14ac:dyDescent="0.25">
      <c r="A53" s="129" t="s">
        <v>136</v>
      </c>
      <c r="B53" s="129"/>
      <c r="C53" s="129"/>
    </row>
    <row r="55" spans="1:14" x14ac:dyDescent="0.25">
      <c r="B55" s="78" t="s">
        <v>232</v>
      </c>
    </row>
  </sheetData>
  <mergeCells count="26">
    <mergeCell ref="F42:N42"/>
    <mergeCell ref="G43:N43"/>
    <mergeCell ref="H44:N44"/>
    <mergeCell ref="F33:N33"/>
    <mergeCell ref="G34:N34"/>
    <mergeCell ref="H35:N35"/>
    <mergeCell ref="A41:C41"/>
    <mergeCell ref="E41:I41"/>
    <mergeCell ref="F22:N22"/>
    <mergeCell ref="G23:N23"/>
    <mergeCell ref="H24:N24"/>
    <mergeCell ref="A32:C32"/>
    <mergeCell ref="E32:I32"/>
    <mergeCell ref="G15:N15"/>
    <mergeCell ref="A21:C21"/>
    <mergeCell ref="E21:I21"/>
    <mergeCell ref="A13:C13"/>
    <mergeCell ref="J8:N8"/>
    <mergeCell ref="E13:I13"/>
    <mergeCell ref="F14:N14"/>
    <mergeCell ref="A10:I10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M50"/>
  <sheetViews>
    <sheetView topLeftCell="A17" workbookViewId="0">
      <selection activeCell="L7" sqref="L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5" width="7.28515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3" t="s">
        <v>46</v>
      </c>
    </row>
    <row r="2" spans="1:12" x14ac:dyDescent="0.25">
      <c r="L2" s="72" t="s">
        <v>223</v>
      </c>
    </row>
    <row r="3" spans="1:12" ht="29.25" customHeight="1" x14ac:dyDescent="0.25">
      <c r="B3" s="261" t="s">
        <v>103</v>
      </c>
      <c r="C3" s="261"/>
      <c r="D3" s="261"/>
      <c r="E3" s="261" t="s">
        <v>8</v>
      </c>
      <c r="F3" s="261"/>
      <c r="G3" s="262" t="s">
        <v>127</v>
      </c>
      <c r="H3" s="262" t="s">
        <v>226</v>
      </c>
      <c r="I3" s="262" t="s">
        <v>164</v>
      </c>
      <c r="J3" s="63"/>
      <c r="K3" s="262" t="s">
        <v>139</v>
      </c>
      <c r="L3" s="262" t="s">
        <v>140</v>
      </c>
    </row>
    <row r="4" spans="1:12" ht="126" customHeight="1" x14ac:dyDescent="0.25">
      <c r="B4" s="63" t="s">
        <v>9</v>
      </c>
      <c r="C4" s="63" t="s">
        <v>10</v>
      </c>
      <c r="D4" s="63" t="s">
        <v>11</v>
      </c>
      <c r="E4" s="5" t="s">
        <v>2</v>
      </c>
      <c r="F4" s="5" t="s">
        <v>25</v>
      </c>
      <c r="G4" s="263"/>
      <c r="H4" s="263"/>
      <c r="I4" s="263"/>
      <c r="J4" s="79" t="s">
        <v>163</v>
      </c>
      <c r="K4" s="263"/>
      <c r="L4" s="263"/>
    </row>
    <row r="5" spans="1:12" ht="25.5" customHeight="1" x14ac:dyDescent="0.25">
      <c r="B5" s="63">
        <v>1</v>
      </c>
      <c r="C5" s="63">
        <v>2</v>
      </c>
      <c r="D5" s="63">
        <v>3</v>
      </c>
      <c r="E5" s="63">
        <v>4</v>
      </c>
      <c r="F5" s="63">
        <v>5</v>
      </c>
      <c r="G5" s="63">
        <v>6</v>
      </c>
      <c r="H5" s="63">
        <v>7</v>
      </c>
      <c r="I5" s="63">
        <v>8</v>
      </c>
      <c r="J5" s="63">
        <v>11</v>
      </c>
      <c r="K5" s="63">
        <v>12</v>
      </c>
      <c r="L5" s="63">
        <v>13</v>
      </c>
    </row>
    <row r="6" spans="1:12" x14ac:dyDescent="0.25">
      <c r="B6" s="25"/>
      <c r="C6" s="25"/>
      <c r="D6" s="25"/>
      <c r="E6" s="5"/>
      <c r="F6" s="5"/>
      <c r="G6" s="63" t="s">
        <v>18</v>
      </c>
      <c r="H6" s="194">
        <f>+H7+H14+H23+H31</f>
        <v>129118.58431825</v>
      </c>
      <c r="I6" s="194">
        <f t="shared" ref="I6:L6" si="0">+I7+I14+I23+I31</f>
        <v>36423476.100000001</v>
      </c>
      <c r="J6" s="194">
        <f t="shared" si="0"/>
        <v>53569091.960000001</v>
      </c>
      <c r="K6" s="194">
        <f t="shared" si="0"/>
        <v>63217092.777999997</v>
      </c>
      <c r="L6" s="194">
        <f t="shared" si="0"/>
        <v>139702381.47973949</v>
      </c>
    </row>
    <row r="7" spans="1:12" x14ac:dyDescent="0.25">
      <c r="B7" s="136">
        <v>15</v>
      </c>
      <c r="C7" s="136" t="s">
        <v>251</v>
      </c>
      <c r="D7" s="136" t="s">
        <v>252</v>
      </c>
      <c r="E7" s="16">
        <v>1167</v>
      </c>
      <c r="F7" s="16">
        <v>42013</v>
      </c>
      <c r="G7" s="31" t="s">
        <v>238</v>
      </c>
      <c r="H7" s="193">
        <f>+H13</f>
        <v>0</v>
      </c>
      <c r="I7" s="193">
        <f t="shared" ref="I7:L7" si="1">+I13</f>
        <v>3871700</v>
      </c>
      <c r="J7" s="193">
        <f t="shared" si="1"/>
        <v>3808043.46</v>
      </c>
      <c r="K7" s="193">
        <f t="shared" si="1"/>
        <v>13341026.25</v>
      </c>
      <c r="L7" s="193">
        <f t="shared" si="1"/>
        <v>4429498.8600000031</v>
      </c>
    </row>
    <row r="8" spans="1:12" x14ac:dyDescent="0.25">
      <c r="B8" s="17"/>
      <c r="C8" s="17"/>
      <c r="D8" s="17"/>
      <c r="E8" s="16"/>
      <c r="F8" s="16"/>
      <c r="G8" s="30" t="s">
        <v>125</v>
      </c>
      <c r="H8" s="16"/>
      <c r="I8" s="16"/>
      <c r="J8" s="16"/>
      <c r="K8" s="16"/>
      <c r="L8" s="16"/>
    </row>
    <row r="9" spans="1:12" ht="63.75" x14ac:dyDescent="0.25">
      <c r="B9" s="17"/>
      <c r="C9" s="17"/>
      <c r="D9" s="17"/>
      <c r="E9" s="16"/>
      <c r="F9" s="16"/>
      <c r="G9" s="31" t="s">
        <v>239</v>
      </c>
      <c r="H9" s="16"/>
      <c r="I9" s="16"/>
      <c r="J9" s="16"/>
      <c r="K9" s="16"/>
      <c r="L9" s="16"/>
    </row>
    <row r="10" spans="1:12" x14ac:dyDescent="0.25">
      <c r="B10" s="17"/>
      <c r="C10" s="17"/>
      <c r="D10" s="17"/>
      <c r="E10" s="16"/>
      <c r="F10" s="16"/>
      <c r="G10" s="30" t="s">
        <v>128</v>
      </c>
      <c r="H10" s="16"/>
      <c r="I10" s="16"/>
      <c r="J10" s="16"/>
      <c r="K10" s="16"/>
      <c r="L10" s="16"/>
    </row>
    <row r="11" spans="1:12" x14ac:dyDescent="0.25">
      <c r="B11" s="17"/>
      <c r="C11" s="17"/>
      <c r="D11" s="17"/>
      <c r="E11" s="16"/>
      <c r="F11" s="16"/>
      <c r="G11" s="31" t="s">
        <v>249</v>
      </c>
      <c r="H11" s="16"/>
      <c r="I11" s="16"/>
      <c r="J11" s="16"/>
      <c r="K11" s="16"/>
      <c r="L11" s="16"/>
    </row>
    <row r="12" spans="1:12" ht="30" customHeight="1" x14ac:dyDescent="0.25">
      <c r="B12" s="17"/>
      <c r="C12" s="17"/>
      <c r="D12" s="17"/>
      <c r="E12" s="16"/>
      <c r="F12" s="16"/>
      <c r="G12" s="137" t="s">
        <v>126</v>
      </c>
      <c r="H12" s="16"/>
      <c r="I12" s="16"/>
      <c r="J12" s="16"/>
      <c r="K12" s="16"/>
      <c r="L12" s="16"/>
    </row>
    <row r="13" spans="1:12" x14ac:dyDescent="0.25">
      <c r="B13" s="17"/>
      <c r="C13" s="17"/>
      <c r="D13" s="17"/>
      <c r="E13" s="16"/>
      <c r="F13" s="16"/>
      <c r="G13" s="16" t="s">
        <v>254</v>
      </c>
      <c r="H13" s="139">
        <v>0</v>
      </c>
      <c r="I13" s="139">
        <f>+'Հ3 Մաս 4'!K13</f>
        <v>3871700</v>
      </c>
      <c r="J13" s="139">
        <f>+'Հ3 Մաս 4'!L13</f>
        <v>3808043.46</v>
      </c>
      <c r="K13" s="139">
        <f>+'Հ3 Մաս 4'!M13</f>
        <v>13341026.25</v>
      </c>
      <c r="L13" s="139">
        <f>+'Հ3 Մաս 4'!N13</f>
        <v>4429498.8600000031</v>
      </c>
    </row>
    <row r="14" spans="1:12" x14ac:dyDescent="0.25">
      <c r="B14" s="22">
        <v>15</v>
      </c>
      <c r="C14" s="136" t="s">
        <v>251</v>
      </c>
      <c r="D14" s="136" t="s">
        <v>252</v>
      </c>
      <c r="E14" s="14">
        <v>1167</v>
      </c>
      <c r="F14" s="14">
        <v>42008</v>
      </c>
      <c r="G14" s="31" t="s">
        <v>238</v>
      </c>
      <c r="H14" s="139">
        <f>+H20</f>
        <v>64559.297518249994</v>
      </c>
      <c r="I14" s="139">
        <f>+I20</f>
        <v>31400151.899999999</v>
      </c>
      <c r="J14" s="139">
        <f>+J20</f>
        <v>47769468.75</v>
      </c>
      <c r="K14" s="139">
        <f>+K20</f>
        <v>49037137.5</v>
      </c>
      <c r="L14" s="139">
        <f>+L20</f>
        <v>134738316.89579499</v>
      </c>
    </row>
    <row r="15" spans="1:12" x14ac:dyDescent="0.25">
      <c r="B15" s="17"/>
      <c r="C15" s="17"/>
      <c r="D15" s="17"/>
      <c r="E15" s="16"/>
      <c r="F15" s="16"/>
      <c r="G15" s="30" t="s">
        <v>125</v>
      </c>
      <c r="H15" s="139"/>
      <c r="I15" s="139"/>
      <c r="J15" s="139"/>
      <c r="K15" s="139"/>
      <c r="L15" s="139"/>
    </row>
    <row r="16" spans="1:12" ht="76.5" x14ac:dyDescent="0.25">
      <c r="B16" s="17"/>
      <c r="C16" s="17"/>
      <c r="D16" s="17"/>
      <c r="E16" s="16"/>
      <c r="F16" s="16"/>
      <c r="G16" s="31" t="s">
        <v>268</v>
      </c>
      <c r="H16" s="139"/>
      <c r="I16" s="139"/>
      <c r="J16" s="139"/>
      <c r="K16" s="139"/>
      <c r="L16" s="139"/>
    </row>
    <row r="17" spans="2:12" x14ac:dyDescent="0.25">
      <c r="B17" s="17"/>
      <c r="C17" s="17"/>
      <c r="D17" s="17"/>
      <c r="E17" s="16"/>
      <c r="F17" s="16"/>
      <c r="G17" s="30" t="s">
        <v>128</v>
      </c>
      <c r="H17" s="139"/>
      <c r="I17" s="139"/>
      <c r="J17" s="139"/>
      <c r="K17" s="139"/>
      <c r="L17" s="139"/>
    </row>
    <row r="18" spans="2:12" x14ac:dyDescent="0.25">
      <c r="B18" s="17"/>
      <c r="C18" s="17"/>
      <c r="D18" s="17"/>
      <c r="E18" s="16"/>
      <c r="F18" s="16"/>
      <c r="G18" s="189" t="s">
        <v>249</v>
      </c>
      <c r="H18" s="139"/>
      <c r="I18" s="139"/>
      <c r="J18" s="139"/>
      <c r="K18" s="139"/>
      <c r="L18" s="139"/>
    </row>
    <row r="19" spans="2:12" ht="30" customHeight="1" x14ac:dyDescent="0.25">
      <c r="B19" s="17"/>
      <c r="C19" s="17"/>
      <c r="D19" s="17"/>
      <c r="E19" s="16"/>
      <c r="F19" s="16"/>
      <c r="G19" s="30" t="s">
        <v>305</v>
      </c>
      <c r="H19" s="139"/>
      <c r="I19" s="139"/>
      <c r="J19" s="139"/>
      <c r="K19" s="139"/>
      <c r="L19" s="139"/>
    </row>
    <row r="20" spans="2:12" ht="25.5" x14ac:dyDescent="0.25">
      <c r="B20" s="17"/>
      <c r="C20" s="17"/>
      <c r="D20" s="17"/>
      <c r="E20" s="16"/>
      <c r="F20" s="16"/>
      <c r="G20" s="30" t="s">
        <v>306</v>
      </c>
      <c r="H20" s="139">
        <f>+'Հ3 Մաս 2'!G11</f>
        <v>64559.297518249994</v>
      </c>
      <c r="I20" s="139">
        <f>+'Հ3 Մաս 2'!H11</f>
        <v>31400151.899999999</v>
      </c>
      <c r="J20" s="139">
        <f>+'Հ3 Մաս 2'!I11</f>
        <v>47769468.75</v>
      </c>
      <c r="K20" s="139">
        <f>+'Հ3 Մաս 2'!J11</f>
        <v>49037137.5</v>
      </c>
      <c r="L20" s="139">
        <f>+'Հ3 Մաս 2'!K11</f>
        <v>134738316.89579499</v>
      </c>
    </row>
    <row r="21" spans="2:12" hidden="1" x14ac:dyDescent="0.25">
      <c r="B21" s="17"/>
      <c r="C21" s="17"/>
      <c r="D21" s="17"/>
      <c r="E21" s="16"/>
      <c r="F21" s="16"/>
      <c r="G21" s="30" t="s">
        <v>307</v>
      </c>
      <c r="H21" s="139"/>
      <c r="I21" s="139"/>
      <c r="J21" s="139"/>
      <c r="K21" s="139"/>
      <c r="L21" s="139"/>
    </row>
    <row r="22" spans="2:12" hidden="1" x14ac:dyDescent="0.25">
      <c r="B22" s="17"/>
      <c r="C22" s="17"/>
      <c r="D22" s="17"/>
      <c r="E22" s="16"/>
      <c r="F22" s="16"/>
      <c r="G22" s="16" t="s">
        <v>308</v>
      </c>
      <c r="H22" s="139"/>
      <c r="I22" s="139"/>
      <c r="J22" s="139"/>
      <c r="K22" s="139"/>
      <c r="L22" s="139"/>
    </row>
    <row r="23" spans="2:12" x14ac:dyDescent="0.25">
      <c r="B23" s="136" t="s">
        <v>252</v>
      </c>
      <c r="C23" s="136" t="s">
        <v>309</v>
      </c>
      <c r="D23" s="136" t="s">
        <v>310</v>
      </c>
      <c r="E23" s="14">
        <v>1167</v>
      </c>
      <c r="F23" s="14">
        <v>11006</v>
      </c>
      <c r="G23" s="31" t="s">
        <v>238</v>
      </c>
      <c r="H23" s="139">
        <f>SUM(H29)</f>
        <v>64559.286800000002</v>
      </c>
      <c r="I23" s="139">
        <f t="shared" ref="I23:L23" si="2">SUM(I29)</f>
        <v>138607.5</v>
      </c>
      <c r="J23" s="139">
        <f t="shared" si="2"/>
        <v>224057.87500000003</v>
      </c>
      <c r="K23" s="139">
        <f t="shared" si="2"/>
        <v>154593.75</v>
      </c>
      <c r="L23" s="139">
        <f t="shared" si="2"/>
        <v>534565.72394449986</v>
      </c>
    </row>
    <row r="24" spans="2:12" x14ac:dyDescent="0.25">
      <c r="B24" s="136"/>
      <c r="C24" s="136"/>
      <c r="D24" s="136"/>
      <c r="E24" s="14"/>
      <c r="F24" s="14"/>
      <c r="G24" s="30" t="s">
        <v>125</v>
      </c>
      <c r="H24" s="139"/>
      <c r="I24" s="139"/>
      <c r="J24" s="139"/>
      <c r="K24" s="139"/>
      <c r="L24" s="139"/>
    </row>
    <row r="25" spans="2:12" ht="63.75" x14ac:dyDescent="0.25">
      <c r="B25" s="136"/>
      <c r="C25" s="136"/>
      <c r="D25" s="136"/>
      <c r="E25" s="14"/>
      <c r="F25" s="14"/>
      <c r="G25" s="31" t="s">
        <v>269</v>
      </c>
      <c r="H25" s="139"/>
      <c r="I25" s="139"/>
      <c r="J25" s="139"/>
      <c r="K25" s="139"/>
      <c r="L25" s="139"/>
    </row>
    <row r="26" spans="2:12" x14ac:dyDescent="0.25">
      <c r="B26" s="136"/>
      <c r="C26" s="136"/>
      <c r="D26" s="136"/>
      <c r="E26" s="14"/>
      <c r="F26" s="14"/>
      <c r="G26" s="30" t="s">
        <v>128</v>
      </c>
      <c r="H26" s="139"/>
      <c r="I26" s="139"/>
      <c r="J26" s="139"/>
      <c r="K26" s="139"/>
      <c r="L26" s="139"/>
    </row>
    <row r="27" spans="2:12" x14ac:dyDescent="0.25">
      <c r="B27" s="17"/>
      <c r="C27" s="17"/>
      <c r="D27" s="17"/>
      <c r="E27" s="16"/>
      <c r="F27" s="16"/>
      <c r="G27" s="189" t="s">
        <v>249</v>
      </c>
      <c r="H27" s="139"/>
      <c r="I27" s="139"/>
      <c r="J27" s="139"/>
      <c r="K27" s="139"/>
      <c r="L27" s="139"/>
    </row>
    <row r="28" spans="2:12" ht="27" customHeight="1" x14ac:dyDescent="0.25">
      <c r="B28" s="17"/>
      <c r="C28" s="17"/>
      <c r="D28" s="17"/>
      <c r="E28" s="16"/>
      <c r="F28" s="16"/>
      <c r="G28" s="30" t="s">
        <v>305</v>
      </c>
      <c r="H28" s="139"/>
      <c r="I28" s="139"/>
      <c r="J28" s="139"/>
      <c r="K28" s="139"/>
      <c r="L28" s="139"/>
    </row>
    <row r="29" spans="2:12" ht="25.5" x14ac:dyDescent="0.25">
      <c r="B29" s="17"/>
      <c r="C29" s="17"/>
      <c r="D29" s="17"/>
      <c r="E29" s="16"/>
      <c r="F29" s="16"/>
      <c r="G29" s="30" t="s">
        <v>311</v>
      </c>
      <c r="H29" s="139">
        <f>+'Հ3 Մաս 2'!G12</f>
        <v>64559.286800000002</v>
      </c>
      <c r="I29" s="139">
        <f>+'Հ3 Մաս 2'!H12</f>
        <v>138607.5</v>
      </c>
      <c r="J29" s="139">
        <f>+'Հ3 Մաս 2'!I12</f>
        <v>224057.87500000003</v>
      </c>
      <c r="K29" s="139">
        <f>+'Հ3 Մաս 2'!J12</f>
        <v>154593.75</v>
      </c>
      <c r="L29" s="139">
        <f>+'Հ3 Մաս 2'!K12</f>
        <v>534565.72394449986</v>
      </c>
    </row>
    <row r="30" spans="2:12" hidden="1" x14ac:dyDescent="0.25">
      <c r="B30" s="17"/>
      <c r="C30" s="17"/>
      <c r="D30" s="17"/>
      <c r="E30" s="16"/>
      <c r="F30" s="16"/>
      <c r="G30" s="30" t="s">
        <v>307</v>
      </c>
      <c r="H30" s="139"/>
      <c r="I30" s="139"/>
      <c r="J30" s="139"/>
      <c r="K30" s="139"/>
      <c r="L30" s="139"/>
    </row>
    <row r="31" spans="2:12" x14ac:dyDescent="0.25">
      <c r="B31" s="136" t="s">
        <v>252</v>
      </c>
      <c r="C31" s="136" t="s">
        <v>309</v>
      </c>
      <c r="D31" s="136" t="s">
        <v>310</v>
      </c>
      <c r="E31" s="14">
        <v>1167</v>
      </c>
      <c r="F31" s="14">
        <v>32006</v>
      </c>
      <c r="G31" s="31" t="s">
        <v>238</v>
      </c>
      <c r="H31" s="139">
        <f>+H37</f>
        <v>0</v>
      </c>
      <c r="I31" s="139">
        <f t="shared" ref="I31:L31" si="3">+I37</f>
        <v>1013016.7000000001</v>
      </c>
      <c r="J31" s="139">
        <f>+J37</f>
        <v>1767521.875</v>
      </c>
      <c r="K31" s="139">
        <f t="shared" si="3"/>
        <v>684335.27799999993</v>
      </c>
      <c r="L31" s="139">
        <f t="shared" si="3"/>
        <v>0</v>
      </c>
    </row>
    <row r="32" spans="2:12" x14ac:dyDescent="0.25">
      <c r="B32" s="136"/>
      <c r="C32" s="136"/>
      <c r="D32" s="136"/>
      <c r="E32" s="14"/>
      <c r="F32" s="14"/>
      <c r="G32" s="30" t="s">
        <v>125</v>
      </c>
      <c r="H32" s="139"/>
      <c r="I32" s="139"/>
      <c r="J32" s="139"/>
      <c r="K32" s="139"/>
      <c r="L32" s="139"/>
    </row>
    <row r="33" spans="2:12" ht="63.75" x14ac:dyDescent="0.25">
      <c r="B33" s="136"/>
      <c r="C33" s="136"/>
      <c r="D33" s="136"/>
      <c r="E33" s="14"/>
      <c r="F33" s="14"/>
      <c r="G33" s="31" t="s">
        <v>270</v>
      </c>
      <c r="H33" s="139"/>
      <c r="I33" s="139"/>
      <c r="J33" s="139"/>
      <c r="K33" s="139"/>
      <c r="L33" s="139"/>
    </row>
    <row r="34" spans="2:12" x14ac:dyDescent="0.25">
      <c r="B34" s="136"/>
      <c r="C34" s="136"/>
      <c r="D34" s="136"/>
      <c r="E34" s="14"/>
      <c r="F34" s="14"/>
      <c r="G34" s="30" t="s">
        <v>128</v>
      </c>
      <c r="H34" s="139"/>
      <c r="I34" s="139"/>
      <c r="J34" s="139"/>
      <c r="K34" s="139"/>
      <c r="L34" s="139"/>
    </row>
    <row r="35" spans="2:12" x14ac:dyDescent="0.25">
      <c r="B35" s="17"/>
      <c r="C35" s="17"/>
      <c r="D35" s="17"/>
      <c r="E35" s="16"/>
      <c r="F35" s="16"/>
      <c r="G35" s="31" t="s">
        <v>249</v>
      </c>
      <c r="H35" s="139"/>
      <c r="I35" s="139"/>
      <c r="J35" s="139"/>
      <c r="K35" s="139"/>
      <c r="L35" s="139"/>
    </row>
    <row r="36" spans="2:12" ht="27" customHeight="1" x14ac:dyDescent="0.25">
      <c r="B36" s="17"/>
      <c r="C36" s="17"/>
      <c r="D36" s="17"/>
      <c r="E36" s="16"/>
      <c r="F36" s="16"/>
      <c r="G36" s="30" t="s">
        <v>305</v>
      </c>
      <c r="H36" s="139"/>
      <c r="I36" s="139"/>
      <c r="J36" s="139"/>
      <c r="K36" s="139"/>
      <c r="L36" s="139"/>
    </row>
    <row r="37" spans="2:12" x14ac:dyDescent="0.25">
      <c r="B37" s="17"/>
      <c r="C37" s="17"/>
      <c r="D37" s="17"/>
      <c r="E37" s="16"/>
      <c r="F37" s="16"/>
      <c r="G37" s="190" t="s">
        <v>312</v>
      </c>
      <c r="H37" s="191">
        <f>SUM(H38:H39)</f>
        <v>0</v>
      </c>
      <c r="I37" s="191">
        <f>+I38+I39</f>
        <v>1013016.7000000001</v>
      </c>
      <c r="J37" s="191">
        <f>SUM(J38:J39)</f>
        <v>1767521.875</v>
      </c>
      <c r="K37" s="191">
        <f>SUM(K38:K39)</f>
        <v>684335.27799999993</v>
      </c>
      <c r="L37" s="191">
        <f>SUM(L38:L39)</f>
        <v>0</v>
      </c>
    </row>
    <row r="38" spans="2:12" ht="25.5" x14ac:dyDescent="0.25">
      <c r="B38" s="17"/>
      <c r="C38" s="17"/>
      <c r="D38" s="17"/>
      <c r="E38" s="16"/>
      <c r="F38" s="16"/>
      <c r="G38" s="30" t="s">
        <v>313</v>
      </c>
      <c r="H38" s="139">
        <v>0</v>
      </c>
      <c r="I38" s="139">
        <v>204095.4</v>
      </c>
      <c r="J38" s="139">
        <v>353504.375</v>
      </c>
      <c r="K38" s="139">
        <v>136867.05559999999</v>
      </c>
      <c r="L38" s="139">
        <v>0</v>
      </c>
    </row>
    <row r="39" spans="2:12" ht="25.5" x14ac:dyDescent="0.25">
      <c r="B39" s="17"/>
      <c r="C39" s="17"/>
      <c r="D39" s="17"/>
      <c r="E39" s="16"/>
      <c r="F39" s="16"/>
      <c r="G39" s="30" t="s">
        <v>314</v>
      </c>
      <c r="H39" s="139">
        <v>0</v>
      </c>
      <c r="I39" s="139">
        <v>808921.3</v>
      </c>
      <c r="J39" s="139">
        <v>1414017.5</v>
      </c>
      <c r="K39" s="139">
        <v>547468.22239999997</v>
      </c>
      <c r="L39" s="139">
        <v>0</v>
      </c>
    </row>
    <row r="40" spans="2:12" x14ac:dyDescent="0.25">
      <c r="B40" s="26" t="s">
        <v>44</v>
      </c>
      <c r="C40" s="26" t="s">
        <v>44</v>
      </c>
      <c r="D40" s="26" t="s">
        <v>44</v>
      </c>
      <c r="E40" s="26" t="s">
        <v>44</v>
      </c>
      <c r="F40" s="26" t="s">
        <v>44</v>
      </c>
      <c r="G40" s="192" t="s">
        <v>315</v>
      </c>
      <c r="H40" s="143">
        <f>SUM(H14,H23,H31)</f>
        <v>129118.58431825</v>
      </c>
      <c r="I40" s="143">
        <f t="shared" ref="I40:L40" si="4">SUM(I14,I23,I31)</f>
        <v>32551776.099999998</v>
      </c>
      <c r="J40" s="143">
        <f t="shared" si="4"/>
        <v>49761048.5</v>
      </c>
      <c r="K40" s="143">
        <f t="shared" si="4"/>
        <v>49876066.527999997</v>
      </c>
      <c r="L40" s="143">
        <f t="shared" si="4"/>
        <v>135272882.61973947</v>
      </c>
    </row>
    <row r="42" spans="2:12" x14ac:dyDescent="0.25">
      <c r="D42" s="78" t="s">
        <v>233</v>
      </c>
      <c r="E42" s="71"/>
      <c r="G42" s="80"/>
    </row>
    <row r="49" spans="11:13" x14ac:dyDescent="0.25">
      <c r="K49" s="144"/>
      <c r="M49" s="144"/>
    </row>
    <row r="50" spans="11:13" x14ac:dyDescent="0.25">
      <c r="K50" s="144"/>
      <c r="M50" s="144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5"/>
  <sheetViews>
    <sheetView workbookViewId="0">
      <selection activeCell="S6" sqref="S6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9" bestFit="1" customWidth="1"/>
    <col min="6" max="7" width="10" customWidth="1"/>
    <col min="8" max="8" width="11.28515625" bestFit="1" customWidth="1"/>
    <col min="9" max="9" width="10.42578125" bestFit="1" customWidth="1"/>
    <col min="10" max="10" width="11.28515625" bestFit="1" customWidth="1"/>
    <col min="11" max="11" width="11.42578125" bestFit="1" customWidth="1"/>
    <col min="12" max="12" width="11.28515625" bestFit="1" customWidth="1"/>
    <col min="13" max="13" width="11" bestFit="1" customWidth="1"/>
    <col min="14" max="14" width="13.28515625" customWidth="1"/>
    <col min="15" max="15" width="11.42578125" bestFit="1" customWidth="1"/>
    <col min="16" max="17" width="11.5703125" bestFit="1" customWidth="1"/>
    <col min="18" max="18" width="13.7109375" bestFit="1" customWidth="1"/>
    <col min="19" max="19" width="11.140625" bestFit="1" customWidth="1"/>
  </cols>
  <sheetData>
    <row r="1" spans="1:19" x14ac:dyDescent="0.25">
      <c r="A1" s="3" t="s">
        <v>154</v>
      </c>
    </row>
    <row r="2" spans="1:19" ht="14.25" customHeight="1" x14ac:dyDescent="0.25">
      <c r="R2" t="s">
        <v>184</v>
      </c>
    </row>
    <row r="3" spans="1:19" ht="25.5" customHeight="1" x14ac:dyDescent="0.25">
      <c r="B3" s="261" t="s">
        <v>8</v>
      </c>
      <c r="C3" s="261"/>
      <c r="D3" s="261" t="s">
        <v>51</v>
      </c>
      <c r="E3" s="261" t="s">
        <v>227</v>
      </c>
      <c r="F3" s="261"/>
      <c r="G3" s="261"/>
      <c r="H3" s="261" t="s">
        <v>225</v>
      </c>
      <c r="I3" s="261"/>
      <c r="J3" s="261"/>
      <c r="K3" s="261" t="s">
        <v>224</v>
      </c>
      <c r="L3" s="261"/>
      <c r="M3" s="261"/>
      <c r="N3" s="261" t="s">
        <v>114</v>
      </c>
      <c r="O3" s="261"/>
      <c r="P3" s="261"/>
      <c r="Q3" s="261" t="s">
        <v>137</v>
      </c>
      <c r="R3" s="261"/>
      <c r="S3" s="261"/>
    </row>
    <row r="4" spans="1:19" ht="126" customHeight="1" x14ac:dyDescent="0.25">
      <c r="B4" s="5" t="s">
        <v>2</v>
      </c>
      <c r="C4" s="5" t="s">
        <v>25</v>
      </c>
      <c r="D4" s="261"/>
      <c r="E4" s="6" t="s">
        <v>12</v>
      </c>
      <c r="F4" s="140" t="s">
        <v>255</v>
      </c>
      <c r="G4" s="140" t="s">
        <v>256</v>
      </c>
      <c r="H4" s="6" t="s">
        <v>12</v>
      </c>
      <c r="I4" s="140" t="s">
        <v>255</v>
      </c>
      <c r="J4" s="140" t="s">
        <v>256</v>
      </c>
      <c r="K4" s="6" t="s">
        <v>12</v>
      </c>
      <c r="L4" s="140" t="s">
        <v>255</v>
      </c>
      <c r="M4" s="140" t="s">
        <v>256</v>
      </c>
      <c r="N4" s="6" t="s">
        <v>12</v>
      </c>
      <c r="O4" s="140" t="s">
        <v>255</v>
      </c>
      <c r="P4" s="140" t="s">
        <v>256</v>
      </c>
      <c r="Q4" s="6" t="s">
        <v>12</v>
      </c>
      <c r="R4" s="140" t="s">
        <v>255</v>
      </c>
      <c r="S4" s="140" t="s">
        <v>256</v>
      </c>
    </row>
    <row r="5" spans="1:19" ht="171.75" customHeight="1" x14ac:dyDescent="0.25">
      <c r="B5" s="14">
        <v>1167</v>
      </c>
      <c r="C5" s="14">
        <v>42013</v>
      </c>
      <c r="D5" s="14" t="s">
        <v>257</v>
      </c>
      <c r="E5" s="141">
        <f>F5+G5</f>
        <v>0</v>
      </c>
      <c r="F5" s="142">
        <v>0</v>
      </c>
      <c r="G5" s="142">
        <v>0</v>
      </c>
      <c r="H5" s="141">
        <f>I5+J5</f>
        <v>3871700</v>
      </c>
      <c r="I5" s="142">
        <v>2581133.3333333335</v>
      </c>
      <c r="J5" s="142">
        <v>1290566.6666666667</v>
      </c>
      <c r="K5" s="141">
        <f>L5+M5</f>
        <v>3808043.46</v>
      </c>
      <c r="L5" s="142">
        <f>+'Հ3 Մաս 2'!I10/3*2</f>
        <v>2538695.64</v>
      </c>
      <c r="M5" s="142">
        <f>+'Հ3 Մաս 2'!I10/3</f>
        <v>1269347.82</v>
      </c>
      <c r="N5" s="141">
        <f>O5+P5</f>
        <v>13341026.25</v>
      </c>
      <c r="O5" s="142">
        <f>+'Հ3 Մաս 2'!J10/3*2</f>
        <v>8894017.5</v>
      </c>
      <c r="P5" s="142">
        <f>+'Հ3 Մաս 2'!J10/3</f>
        <v>4447008.75</v>
      </c>
      <c r="Q5" s="141">
        <f>R5+S5</f>
        <v>4429498.8600000031</v>
      </c>
      <c r="R5" s="142">
        <f>+'Հ3 Մաս 2'!K10/3*2</f>
        <v>2952999.2400000021</v>
      </c>
      <c r="S5" s="142">
        <f>+'Հ3 Մաս 2'!K10/3</f>
        <v>1476499.620000001</v>
      </c>
    </row>
    <row r="6" spans="1:19" ht="15" customHeight="1" x14ac:dyDescent="0.25">
      <c r="B6" s="264" t="s">
        <v>50</v>
      </c>
      <c r="C6" s="265"/>
      <c r="D6" s="266"/>
      <c r="E6" s="141">
        <f t="shared" ref="E6" si="0">F6+G6</f>
        <v>0</v>
      </c>
      <c r="F6" s="143">
        <f>SUM(F5:F5)</f>
        <v>0</v>
      </c>
      <c r="G6" s="143">
        <f>SUM(G5:G5)</f>
        <v>0</v>
      </c>
      <c r="H6" s="141">
        <f t="shared" ref="H6" si="1">I6+J6</f>
        <v>3871700</v>
      </c>
      <c r="I6" s="143">
        <f>SUM(I5:I5)</f>
        <v>2581133.3333333335</v>
      </c>
      <c r="J6" s="143">
        <f>SUM(J5:J5)</f>
        <v>1290566.6666666667</v>
      </c>
      <c r="K6" s="141">
        <f t="shared" ref="K6" si="2">L6+M6</f>
        <v>3808043.46</v>
      </c>
      <c r="L6" s="143">
        <f>SUM(L5:L5)</f>
        <v>2538695.64</v>
      </c>
      <c r="M6" s="143">
        <f>SUM(M5:M5)</f>
        <v>1269347.82</v>
      </c>
      <c r="N6" s="141">
        <f t="shared" ref="N6" si="3">O6+P6</f>
        <v>13341026.25</v>
      </c>
      <c r="O6" s="143">
        <f>SUM(O5:O5)</f>
        <v>8894017.5</v>
      </c>
      <c r="P6" s="143">
        <f>SUM(P5:P5)</f>
        <v>4447008.75</v>
      </c>
      <c r="Q6" s="141">
        <f t="shared" ref="Q6" si="4">R6+S6</f>
        <v>4429498.8600000031</v>
      </c>
      <c r="R6" s="143">
        <f>SUM(R5:R5)</f>
        <v>2952999.2400000021</v>
      </c>
      <c r="S6" s="143">
        <f>SUM(S5:S5)</f>
        <v>1476499.620000001</v>
      </c>
    </row>
    <row r="8" spans="1:19" x14ac:dyDescent="0.25">
      <c r="B8" s="2"/>
    </row>
    <row r="9" spans="1:19" s="1" customFormat="1" x14ac:dyDescent="0.25">
      <c r="B9" s="73" t="s">
        <v>234</v>
      </c>
    </row>
    <row r="10" spans="1:19" ht="27.75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L10" s="223"/>
    </row>
    <row r="12" spans="1:19" x14ac:dyDescent="0.25">
      <c r="I12" s="144"/>
    </row>
    <row r="13" spans="1:19" x14ac:dyDescent="0.25">
      <c r="I13" s="144"/>
    </row>
    <row r="14" spans="1:19" x14ac:dyDescent="0.25">
      <c r="K14" s="144"/>
      <c r="L14" s="144"/>
      <c r="M14" s="144"/>
    </row>
    <row r="15" spans="1:19" x14ac:dyDescent="0.25">
      <c r="K15" s="144"/>
      <c r="L15" s="144"/>
      <c r="M15" s="144"/>
    </row>
  </sheetData>
  <mergeCells count="8">
    <mergeCell ref="B6:D6"/>
    <mergeCell ref="K3:M3"/>
    <mergeCell ref="N3:P3"/>
    <mergeCell ref="Q3:S3"/>
    <mergeCell ref="B3:C3"/>
    <mergeCell ref="D3:D4"/>
    <mergeCell ref="E3:G3"/>
    <mergeCell ref="H3:J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372A5-7DF6-4649-A725-DDDCACD53DEB}">
  <dimension ref="A1:V12"/>
  <sheetViews>
    <sheetView topLeftCell="B1" workbookViewId="0">
      <selection activeCell="M5" sqref="M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10.42578125" bestFit="1" customWidth="1"/>
    <col min="6" max="6" width="9.85546875" bestFit="1" customWidth="1"/>
    <col min="7" max="7" width="10.140625" bestFit="1" customWidth="1"/>
    <col min="8" max="8" width="11.5703125" bestFit="1" customWidth="1"/>
    <col min="9" max="9" width="11.7109375" bestFit="1" customWidth="1"/>
    <col min="10" max="10" width="12.140625" bestFit="1" customWidth="1"/>
    <col min="11" max="11" width="12.28515625" bestFit="1" customWidth="1"/>
    <col min="12" max="12" width="11.85546875" bestFit="1" customWidth="1"/>
    <col min="13" max="13" width="11.7109375" bestFit="1" customWidth="1"/>
    <col min="14" max="14" width="12.5703125" style="195" bestFit="1" customWidth="1"/>
    <col min="15" max="15" width="11.85546875" style="195" bestFit="1" customWidth="1"/>
    <col min="16" max="16" width="12" style="195" bestFit="1" customWidth="1"/>
    <col min="17" max="17" width="12.5703125" style="195" customWidth="1"/>
    <col min="18" max="18" width="13.7109375" style="195" customWidth="1"/>
    <col min="19" max="19" width="15.140625" style="195" bestFit="1" customWidth="1"/>
  </cols>
  <sheetData>
    <row r="1" spans="1:22" x14ac:dyDescent="0.25">
      <c r="A1" s="3" t="s">
        <v>154</v>
      </c>
    </row>
    <row r="2" spans="1:22" ht="14.25" customHeight="1" x14ac:dyDescent="0.25">
      <c r="S2" s="199" t="s">
        <v>184</v>
      </c>
    </row>
    <row r="3" spans="1:22" ht="25.5" customHeight="1" x14ac:dyDescent="0.25">
      <c r="B3" s="261" t="s">
        <v>8</v>
      </c>
      <c r="C3" s="261"/>
      <c r="D3" s="261" t="s">
        <v>51</v>
      </c>
      <c r="E3" s="261" t="s">
        <v>227</v>
      </c>
      <c r="F3" s="261"/>
      <c r="G3" s="261"/>
      <c r="H3" s="261" t="s">
        <v>225</v>
      </c>
      <c r="I3" s="261"/>
      <c r="J3" s="261"/>
      <c r="K3" s="261" t="s">
        <v>224</v>
      </c>
      <c r="L3" s="261"/>
      <c r="M3" s="261"/>
      <c r="N3" s="261" t="s">
        <v>114</v>
      </c>
      <c r="O3" s="261"/>
      <c r="P3" s="261"/>
      <c r="Q3" s="261" t="s">
        <v>137</v>
      </c>
      <c r="R3" s="261"/>
      <c r="S3" s="261"/>
    </row>
    <row r="4" spans="1:22" ht="126" customHeight="1" x14ac:dyDescent="0.25">
      <c r="B4" s="5" t="s">
        <v>2</v>
      </c>
      <c r="C4" s="5" t="s">
        <v>25</v>
      </c>
      <c r="D4" s="261"/>
      <c r="E4" s="6" t="s">
        <v>12</v>
      </c>
      <c r="F4" s="140" t="s">
        <v>319</v>
      </c>
      <c r="G4" s="140" t="s">
        <v>320</v>
      </c>
      <c r="H4" s="6" t="s">
        <v>12</v>
      </c>
      <c r="I4" s="140" t="s">
        <v>319</v>
      </c>
      <c r="J4" s="140" t="s">
        <v>320</v>
      </c>
      <c r="K4" s="6" t="s">
        <v>12</v>
      </c>
      <c r="L4" s="140" t="s">
        <v>319</v>
      </c>
      <c r="M4" s="140" t="s">
        <v>320</v>
      </c>
      <c r="N4" s="196" t="s">
        <v>12</v>
      </c>
      <c r="O4" s="197" t="s">
        <v>319</v>
      </c>
      <c r="P4" s="197" t="s">
        <v>320</v>
      </c>
      <c r="Q4" s="196" t="s">
        <v>12</v>
      </c>
      <c r="R4" s="197" t="s">
        <v>319</v>
      </c>
      <c r="S4" s="197" t="s">
        <v>320</v>
      </c>
    </row>
    <row r="5" spans="1:22" ht="153" x14ac:dyDescent="0.25">
      <c r="B5" s="267">
        <v>1167</v>
      </c>
      <c r="C5" s="14">
        <v>42008</v>
      </c>
      <c r="D5" s="14" t="s">
        <v>316</v>
      </c>
      <c r="E5" s="141">
        <f>F5+G5</f>
        <v>64559.297518249994</v>
      </c>
      <c r="F5" s="142">
        <v>22595.754131387497</v>
      </c>
      <c r="G5" s="142">
        <v>41963.543386862497</v>
      </c>
      <c r="H5" s="141">
        <f>I5+J5</f>
        <v>31400151.899999999</v>
      </c>
      <c r="I5" s="142">
        <f>+'Հ3 Մաս 2'!H11*0.35</f>
        <v>10990053.164999999</v>
      </c>
      <c r="J5" s="142">
        <f>+'Հ3 Մաս 2'!H11*0.65</f>
        <v>20410098.734999999</v>
      </c>
      <c r="K5" s="141">
        <f>L5+M5</f>
        <v>47769468.75</v>
      </c>
      <c r="L5" s="142">
        <v>16719314.062499998</v>
      </c>
      <c r="M5" s="142">
        <v>31050154.6875</v>
      </c>
      <c r="N5" s="141">
        <f>O5+P5</f>
        <v>49037137.5</v>
      </c>
      <c r="O5" s="142">
        <v>17162998.125</v>
      </c>
      <c r="P5" s="142">
        <v>31874139.375</v>
      </c>
      <c r="Q5" s="141">
        <f>R5+S5</f>
        <v>134738316.89579499</v>
      </c>
      <c r="R5" s="142">
        <f>+'Հ3 Մաս 2'!K11*0.35</f>
        <v>47158410.913528241</v>
      </c>
      <c r="S5" s="142">
        <f>+'Հ3 Մաս 2'!K11*0.65</f>
        <v>87579905.982266739</v>
      </c>
      <c r="U5" s="144"/>
      <c r="V5" s="144"/>
    </row>
    <row r="6" spans="1:22" ht="114.75" x14ac:dyDescent="0.25">
      <c r="B6" s="268"/>
      <c r="C6" s="14">
        <v>11006</v>
      </c>
      <c r="D6" s="14" t="s">
        <v>317</v>
      </c>
      <c r="E6" s="141">
        <f t="shared" ref="E6:E7" si="0">F6+G6</f>
        <v>64559.286800000002</v>
      </c>
      <c r="F6" s="142">
        <v>22595.750379999998</v>
      </c>
      <c r="G6" s="142">
        <v>41963.536420000004</v>
      </c>
      <c r="H6" s="141">
        <f t="shared" ref="H6:H7" si="1">I6+J6</f>
        <v>138607.5</v>
      </c>
      <c r="I6" s="142">
        <v>48512.625</v>
      </c>
      <c r="J6" s="142">
        <v>90094.875</v>
      </c>
      <c r="K6" s="141">
        <f t="shared" ref="K6:K7" si="2">L6+M6</f>
        <v>224057.87500000003</v>
      </c>
      <c r="L6" s="142">
        <v>78420.256250000006</v>
      </c>
      <c r="M6" s="142">
        <v>145637.61875000002</v>
      </c>
      <c r="N6" s="141">
        <f t="shared" ref="N6:N7" si="3">O6+P6</f>
        <v>154593.75</v>
      </c>
      <c r="O6" s="142">
        <v>54107.8125</v>
      </c>
      <c r="P6" s="142">
        <v>100485.9375</v>
      </c>
      <c r="Q6" s="141">
        <f t="shared" ref="Q6:Q7" si="4">R6+S6</f>
        <v>534565.72394449986</v>
      </c>
      <c r="R6" s="142">
        <v>187098.00338057493</v>
      </c>
      <c r="S6" s="142">
        <v>347467.72056392493</v>
      </c>
    </row>
    <row r="7" spans="1:22" ht="140.25" x14ac:dyDescent="0.25">
      <c r="B7" s="269"/>
      <c r="C7" s="14">
        <v>32006</v>
      </c>
      <c r="D7" s="14" t="s">
        <v>318</v>
      </c>
      <c r="E7" s="141">
        <f t="shared" si="0"/>
        <v>0</v>
      </c>
      <c r="F7" s="142">
        <v>0</v>
      </c>
      <c r="G7" s="142">
        <v>0</v>
      </c>
      <c r="H7" s="141">
        <f t="shared" si="1"/>
        <v>1013016.7</v>
      </c>
      <c r="I7" s="142">
        <f>+'Հ3 Մաս 2'!H13*0.35</f>
        <v>354555.84499999997</v>
      </c>
      <c r="J7" s="142">
        <f>+'Հ3 Մաս 2'!H13*0.65</f>
        <v>658460.85499999998</v>
      </c>
      <c r="K7" s="141">
        <f t="shared" si="2"/>
        <v>1767521.875</v>
      </c>
      <c r="L7" s="142">
        <v>618632.65624999988</v>
      </c>
      <c r="M7" s="142">
        <v>1148889.21875</v>
      </c>
      <c r="N7" s="141">
        <f t="shared" si="3"/>
        <v>684335.27800000017</v>
      </c>
      <c r="O7" s="142">
        <f>+'Հ3 Մաս 2'!J13*0.35</f>
        <v>239517.34730000005</v>
      </c>
      <c r="P7" s="142">
        <f>+'Հ3 Մաս 2'!J13*0.65</f>
        <v>444817.93070000014</v>
      </c>
      <c r="Q7" s="141">
        <f t="shared" si="4"/>
        <v>0</v>
      </c>
      <c r="R7" s="142">
        <v>0</v>
      </c>
      <c r="S7" s="142">
        <v>0</v>
      </c>
    </row>
    <row r="8" spans="1:22" ht="15" customHeight="1" x14ac:dyDescent="0.25">
      <c r="B8" s="264" t="s">
        <v>50</v>
      </c>
      <c r="C8" s="265"/>
      <c r="D8" s="266"/>
      <c r="E8" s="143">
        <f>SUM(E5:E7)</f>
        <v>129118.58431825</v>
      </c>
      <c r="F8" s="143">
        <f t="shared" ref="F8:S8" si="5">SUM(F5:F7)</f>
        <v>45191.504511387495</v>
      </c>
      <c r="G8" s="143">
        <f t="shared" si="5"/>
        <v>83927.079806862501</v>
      </c>
      <c r="H8" s="143">
        <f t="shared" si="5"/>
        <v>32551776.099999998</v>
      </c>
      <c r="I8" s="143">
        <f t="shared" si="5"/>
        <v>11393121.635</v>
      </c>
      <c r="J8" s="143">
        <f t="shared" si="5"/>
        <v>21158654.465</v>
      </c>
      <c r="K8" s="143">
        <f t="shared" si="5"/>
        <v>49761048.5</v>
      </c>
      <c r="L8" s="143">
        <f t="shared" si="5"/>
        <v>17416366.974999998</v>
      </c>
      <c r="M8" s="143">
        <f t="shared" si="5"/>
        <v>32344681.524999999</v>
      </c>
      <c r="N8" s="143">
        <f t="shared" si="5"/>
        <v>49876066.527999997</v>
      </c>
      <c r="O8" s="143">
        <f t="shared" si="5"/>
        <v>17456623.2848</v>
      </c>
      <c r="P8" s="143">
        <f t="shared" si="5"/>
        <v>32419443.2432</v>
      </c>
      <c r="Q8" s="143">
        <f t="shared" si="5"/>
        <v>135272882.61973947</v>
      </c>
      <c r="R8" s="143">
        <f>SUM(R5:R7)</f>
        <v>47345508.916908816</v>
      </c>
      <c r="S8" s="143">
        <f t="shared" si="5"/>
        <v>87927373.702830657</v>
      </c>
    </row>
    <row r="10" spans="1:22" x14ac:dyDescent="0.25">
      <c r="B10" s="2"/>
    </row>
    <row r="11" spans="1:22" s="1" customFormat="1" x14ac:dyDescent="0.25">
      <c r="B11" s="73" t="s">
        <v>234</v>
      </c>
      <c r="N11" s="198"/>
      <c r="O11" s="198"/>
      <c r="P11" s="198"/>
      <c r="Q11" s="198"/>
      <c r="R11" s="198"/>
      <c r="S11" s="198"/>
    </row>
    <row r="12" spans="1:22" ht="27.75" customHeight="1" x14ac:dyDescent="0.25">
      <c r="B12" s="2"/>
      <c r="C12" s="2"/>
      <c r="D12" s="2"/>
      <c r="E12" s="2"/>
      <c r="F12" s="2"/>
      <c r="G12" s="2"/>
      <c r="H12" s="2"/>
      <c r="I12" s="2"/>
      <c r="J12" s="2"/>
    </row>
  </sheetData>
  <mergeCells count="9">
    <mergeCell ref="K3:M3"/>
    <mergeCell ref="N3:P3"/>
    <mergeCell ref="Q3:S3"/>
    <mergeCell ref="B5:B7"/>
    <mergeCell ref="B8:D8"/>
    <mergeCell ref="B3:C3"/>
    <mergeCell ref="D3:D4"/>
    <mergeCell ref="E3:G3"/>
    <mergeCell ref="H3:J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71" t="s">
        <v>48</v>
      </c>
      <c r="B1" s="271"/>
      <c r="C1" s="271"/>
      <c r="D1" s="271"/>
      <c r="E1" s="271"/>
      <c r="F1" s="271"/>
      <c r="G1" s="271"/>
      <c r="H1" s="271"/>
    </row>
    <row r="3" spans="1:8" x14ac:dyDescent="0.25">
      <c r="B3" s="272" t="s">
        <v>15</v>
      </c>
      <c r="C3" s="272" t="s">
        <v>141</v>
      </c>
      <c r="D3" s="272" t="s">
        <v>142</v>
      </c>
      <c r="E3" s="272" t="s">
        <v>47</v>
      </c>
      <c r="F3" s="272"/>
      <c r="G3" s="272"/>
    </row>
    <row r="4" spans="1:8" ht="47.25" customHeight="1" x14ac:dyDescent="0.25">
      <c r="B4" s="272"/>
      <c r="C4" s="272"/>
      <c r="D4" s="272"/>
      <c r="E4" s="18" t="s">
        <v>17</v>
      </c>
      <c r="F4" s="18" t="s">
        <v>114</v>
      </c>
      <c r="G4" s="18" t="s">
        <v>137</v>
      </c>
    </row>
    <row r="5" spans="1:8" x14ac:dyDescent="0.25">
      <c r="B5" s="23" t="s">
        <v>18</v>
      </c>
      <c r="C5" s="19">
        <f>C6+C9</f>
        <v>0</v>
      </c>
      <c r="D5" s="19">
        <f t="shared" ref="D5:G5" si="0">D6+D9</f>
        <v>0</v>
      </c>
      <c r="E5" s="19">
        <f t="shared" si="0"/>
        <v>0</v>
      </c>
      <c r="F5" s="19">
        <f t="shared" si="0"/>
        <v>0</v>
      </c>
      <c r="G5" s="19">
        <f t="shared" si="0"/>
        <v>0</v>
      </c>
    </row>
    <row r="6" spans="1:8" ht="25.5" x14ac:dyDescent="0.25">
      <c r="B6" s="21" t="s">
        <v>19</v>
      </c>
      <c r="C6" s="19">
        <f>SUM(C7:C8)</f>
        <v>0</v>
      </c>
      <c r="D6" s="19">
        <f t="shared" ref="D6:G6" si="1">SUM(D7:D8)</f>
        <v>0</v>
      </c>
      <c r="E6" s="19">
        <f t="shared" si="1"/>
        <v>0</v>
      </c>
      <c r="F6" s="19">
        <f t="shared" si="1"/>
        <v>0</v>
      </c>
      <c r="G6" s="19">
        <f t="shared" si="1"/>
        <v>0</v>
      </c>
    </row>
    <row r="7" spans="1:8" x14ac:dyDescent="0.25">
      <c r="B7" s="17"/>
      <c r="C7" s="20"/>
      <c r="D7" s="20"/>
      <c r="E7" s="20"/>
      <c r="F7" s="20"/>
      <c r="G7" s="20"/>
    </row>
    <row r="8" spans="1:8" x14ac:dyDescent="0.25">
      <c r="B8" s="17"/>
      <c r="C8" s="20"/>
      <c r="D8" s="20"/>
      <c r="E8" s="20"/>
      <c r="F8" s="20"/>
      <c r="G8" s="20"/>
    </row>
    <row r="9" spans="1:8" x14ac:dyDescent="0.25">
      <c r="B9" s="21" t="s">
        <v>104</v>
      </c>
      <c r="C9" s="19">
        <f>SUM(C10:C11)</f>
        <v>0</v>
      </c>
      <c r="D9" s="19">
        <f t="shared" ref="D9:G9" si="2">SUM(D10:D11)</f>
        <v>0</v>
      </c>
      <c r="E9" s="19">
        <f t="shared" si="2"/>
        <v>0</v>
      </c>
      <c r="F9" s="19">
        <f t="shared" si="2"/>
        <v>0</v>
      </c>
      <c r="G9" s="19">
        <f t="shared" si="2"/>
        <v>0</v>
      </c>
    </row>
    <row r="10" spans="1:8" x14ac:dyDescent="0.25">
      <c r="B10" s="22"/>
      <c r="C10" s="20"/>
      <c r="D10" s="20"/>
      <c r="E10" s="20"/>
      <c r="F10" s="20"/>
      <c r="G10" s="20"/>
    </row>
    <row r="11" spans="1:8" x14ac:dyDescent="0.25">
      <c r="B11" s="20"/>
      <c r="C11" s="20"/>
      <c r="D11" s="20"/>
      <c r="E11" s="20"/>
      <c r="F11" s="20"/>
      <c r="G11" s="20"/>
    </row>
    <row r="12" spans="1:8" x14ac:dyDescent="0.25">
      <c r="B12" s="270"/>
      <c r="C12" s="270"/>
      <c r="D12" s="270"/>
      <c r="E12" s="270"/>
      <c r="F12" s="270"/>
      <c r="G12" s="270"/>
    </row>
    <row r="13" spans="1:8" x14ac:dyDescent="0.25">
      <c r="A13" s="24"/>
      <c r="C13" s="11"/>
      <c r="D13" s="11"/>
      <c r="E13" s="11"/>
      <c r="F13" s="11"/>
      <c r="G13" s="11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D9DCD-8721-4CD4-BD34-6E012DBC7E59}">
  <sheetPr>
    <tabColor theme="0" tint="-0.14999847407452621"/>
  </sheetPr>
  <dimension ref="A1:AY23"/>
  <sheetViews>
    <sheetView topLeftCell="A5" zoomScaleNormal="100" workbookViewId="0">
      <selection activeCell="Y10" sqref="Y10:Y11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35.42578125" customWidth="1"/>
    <col min="5" max="5" width="21" customWidth="1"/>
    <col min="6" max="6" width="23" customWidth="1"/>
    <col min="7" max="7" width="11.140625" customWidth="1"/>
    <col min="8" max="8" width="8.85546875" customWidth="1"/>
    <col min="9" max="9" width="10.28515625" customWidth="1"/>
    <col min="10" max="16" width="9.140625" customWidth="1"/>
    <col min="17" max="17" width="13.140625" bestFit="1" customWidth="1"/>
    <col min="18" max="18" width="9.140625" customWidth="1"/>
    <col min="19" max="20" width="14.5703125" bestFit="1" customWidth="1"/>
    <col min="21" max="21" width="13.140625" bestFit="1" customWidth="1"/>
    <col min="22" max="22" width="14.5703125" bestFit="1" customWidth="1"/>
    <col min="23" max="24" width="9.140625" customWidth="1"/>
    <col min="25" max="25" width="8.8554687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  <col min="35" max="35" width="9.5703125" bestFit="1" customWidth="1"/>
    <col min="51" max="51" width="49.42578125" customWidth="1"/>
  </cols>
  <sheetData>
    <row r="1" spans="1:51" s="56" customFormat="1" ht="22.5" customHeight="1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51" s="56" customFormat="1" ht="30.75" customHeight="1" x14ac:dyDescent="0.25">
      <c r="A3" s="64" t="s">
        <v>131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</row>
    <row r="4" spans="1:51" x14ac:dyDescent="0.25">
      <c r="A4" s="65"/>
      <c r="B4" s="67"/>
      <c r="C4" s="67"/>
      <c r="D4" s="67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AE4" s="56"/>
      <c r="AF4" s="56"/>
      <c r="AG4" s="56"/>
    </row>
    <row r="5" spans="1:51" ht="15.75" thickBot="1" x14ac:dyDescent="0.3">
      <c r="A5" s="65"/>
      <c r="B5" s="65"/>
      <c r="C5" s="65"/>
      <c r="D5" s="67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AE5" s="56"/>
      <c r="AF5" s="56"/>
      <c r="AG5" s="56"/>
      <c r="AW5" s="275" t="s">
        <v>329</v>
      </c>
      <c r="AX5" s="275"/>
      <c r="AY5" s="275"/>
    </row>
    <row r="6" spans="1:51" ht="40.5" customHeight="1" x14ac:dyDescent="0.25">
      <c r="A6" s="65"/>
      <c r="B6" s="276" t="s">
        <v>8</v>
      </c>
      <c r="C6" s="277"/>
      <c r="D6" s="277" t="s">
        <v>51</v>
      </c>
      <c r="E6" s="277" t="s">
        <v>43</v>
      </c>
      <c r="F6" s="277" t="s">
        <v>132</v>
      </c>
      <c r="G6" s="277" t="s">
        <v>322</v>
      </c>
      <c r="H6" s="277"/>
      <c r="I6" s="277"/>
      <c r="J6" s="277" t="s">
        <v>143</v>
      </c>
      <c r="K6" s="277"/>
      <c r="L6" s="277"/>
      <c r="M6" s="277" t="s">
        <v>144</v>
      </c>
      <c r="N6" s="277"/>
      <c r="O6" s="277"/>
      <c r="P6" s="279" t="s">
        <v>145</v>
      </c>
      <c r="Q6" s="279"/>
      <c r="R6" s="279"/>
      <c r="S6" s="279" t="s">
        <v>22</v>
      </c>
      <c r="T6" s="279"/>
      <c r="U6" s="279"/>
      <c r="V6" s="279" t="s">
        <v>16</v>
      </c>
      <c r="W6" s="279"/>
      <c r="X6" s="279"/>
      <c r="Y6" s="279"/>
      <c r="Z6" s="279"/>
      <c r="AA6" s="279"/>
      <c r="AB6" s="279"/>
      <c r="AC6" s="279"/>
      <c r="AD6" s="280"/>
      <c r="AE6" s="281" t="s">
        <v>262</v>
      </c>
      <c r="AF6" s="282"/>
      <c r="AG6" s="282"/>
      <c r="AH6" s="282" t="s">
        <v>148</v>
      </c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4"/>
      <c r="AW6" s="285" t="s">
        <v>28</v>
      </c>
      <c r="AX6" s="287" t="s">
        <v>29</v>
      </c>
      <c r="AY6" s="289" t="s">
        <v>330</v>
      </c>
    </row>
    <row r="7" spans="1:51" ht="25.5" customHeight="1" x14ac:dyDescent="0.25">
      <c r="A7" s="65"/>
      <c r="B7" s="278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61"/>
      <c r="Q7" s="261"/>
      <c r="R7" s="261"/>
      <c r="S7" s="261"/>
      <c r="T7" s="261"/>
      <c r="U7" s="261"/>
      <c r="V7" s="261" t="s">
        <v>17</v>
      </c>
      <c r="W7" s="261"/>
      <c r="X7" s="261"/>
      <c r="Y7" s="261" t="s">
        <v>114</v>
      </c>
      <c r="Z7" s="261"/>
      <c r="AA7" s="261"/>
      <c r="AB7" s="261" t="s">
        <v>137</v>
      </c>
      <c r="AC7" s="261"/>
      <c r="AD7" s="305"/>
      <c r="AE7" s="283"/>
      <c r="AF7" s="273"/>
      <c r="AG7" s="273"/>
      <c r="AH7" s="273" t="s">
        <v>30</v>
      </c>
      <c r="AI7" s="273"/>
      <c r="AJ7" s="273"/>
      <c r="AK7" s="273" t="s">
        <v>31</v>
      </c>
      <c r="AL7" s="273"/>
      <c r="AM7" s="273"/>
      <c r="AN7" s="273" t="s">
        <v>32</v>
      </c>
      <c r="AO7" s="273"/>
      <c r="AP7" s="273"/>
      <c r="AQ7" s="273" t="s">
        <v>33</v>
      </c>
      <c r="AR7" s="273"/>
      <c r="AS7" s="273"/>
      <c r="AT7" s="273" t="s">
        <v>34</v>
      </c>
      <c r="AU7" s="273"/>
      <c r="AV7" s="274"/>
      <c r="AW7" s="286"/>
      <c r="AX7" s="288"/>
      <c r="AY7" s="290"/>
    </row>
    <row r="8" spans="1:51" ht="126" customHeight="1" x14ac:dyDescent="0.25">
      <c r="A8" s="65"/>
      <c r="B8" s="68" t="s">
        <v>2</v>
      </c>
      <c r="C8" s="69" t="s">
        <v>25</v>
      </c>
      <c r="D8" s="239"/>
      <c r="E8" s="239"/>
      <c r="F8" s="239"/>
      <c r="G8" s="70" t="s">
        <v>12</v>
      </c>
      <c r="H8" s="70" t="s">
        <v>20</v>
      </c>
      <c r="I8" s="70" t="s">
        <v>21</v>
      </c>
      <c r="J8" s="70" t="s">
        <v>12</v>
      </c>
      <c r="K8" s="70" t="s">
        <v>20</v>
      </c>
      <c r="L8" s="70" t="s">
        <v>21</v>
      </c>
      <c r="M8" s="70" t="s">
        <v>12</v>
      </c>
      <c r="N8" s="70" t="s">
        <v>20</v>
      </c>
      <c r="O8" s="70" t="s">
        <v>21</v>
      </c>
      <c r="P8" s="29" t="s">
        <v>12</v>
      </c>
      <c r="Q8" s="29" t="s">
        <v>20</v>
      </c>
      <c r="R8" s="29" t="s">
        <v>21</v>
      </c>
      <c r="S8" s="29" t="s">
        <v>12</v>
      </c>
      <c r="T8" s="29" t="s">
        <v>20</v>
      </c>
      <c r="U8" s="29" t="s">
        <v>21</v>
      </c>
      <c r="V8" s="6" t="s">
        <v>12</v>
      </c>
      <c r="W8" s="6" t="s">
        <v>20</v>
      </c>
      <c r="X8" s="6" t="s">
        <v>21</v>
      </c>
      <c r="Y8" s="29" t="s">
        <v>12</v>
      </c>
      <c r="Z8" s="6" t="s">
        <v>20</v>
      </c>
      <c r="AA8" s="6" t="s">
        <v>21</v>
      </c>
      <c r="AB8" s="29" t="s">
        <v>12</v>
      </c>
      <c r="AC8" s="29" t="s">
        <v>20</v>
      </c>
      <c r="AD8" s="55" t="s">
        <v>21</v>
      </c>
      <c r="AE8" s="42" t="s">
        <v>12</v>
      </c>
      <c r="AF8" s="41" t="s">
        <v>20</v>
      </c>
      <c r="AG8" s="41" t="s">
        <v>21</v>
      </c>
      <c r="AH8" s="41" t="s">
        <v>12</v>
      </c>
      <c r="AI8" s="41" t="s">
        <v>20</v>
      </c>
      <c r="AJ8" s="41" t="s">
        <v>21</v>
      </c>
      <c r="AK8" s="41" t="s">
        <v>12</v>
      </c>
      <c r="AL8" s="41" t="s">
        <v>20</v>
      </c>
      <c r="AM8" s="41" t="s">
        <v>21</v>
      </c>
      <c r="AN8" s="41" t="s">
        <v>12</v>
      </c>
      <c r="AO8" s="41" t="s">
        <v>20</v>
      </c>
      <c r="AP8" s="41" t="s">
        <v>21</v>
      </c>
      <c r="AQ8" s="41" t="s">
        <v>12</v>
      </c>
      <c r="AR8" s="41" t="s">
        <v>20</v>
      </c>
      <c r="AS8" s="41" t="s">
        <v>21</v>
      </c>
      <c r="AT8" s="41" t="s">
        <v>12</v>
      </c>
      <c r="AU8" s="41" t="s">
        <v>20</v>
      </c>
      <c r="AV8" s="43" t="s">
        <v>21</v>
      </c>
      <c r="AW8" s="286"/>
      <c r="AX8" s="288"/>
      <c r="AY8" s="290"/>
    </row>
    <row r="9" spans="1:51" ht="98.25" customHeight="1" x14ac:dyDescent="0.25">
      <c r="B9" s="293">
        <v>1167</v>
      </c>
      <c r="C9" s="14">
        <v>11006</v>
      </c>
      <c r="D9" s="16" t="s">
        <v>317</v>
      </c>
      <c r="E9" s="22" t="s">
        <v>323</v>
      </c>
      <c r="F9" s="14" t="s">
        <v>324</v>
      </c>
      <c r="G9" s="146">
        <f>H9+I9</f>
        <v>4626.3900000000003</v>
      </c>
      <c r="H9" s="145">
        <v>3855.31</v>
      </c>
      <c r="I9" s="145">
        <v>771.08</v>
      </c>
      <c r="J9" s="146">
        <f>K9+L9</f>
        <v>1529.40716</v>
      </c>
      <c r="K9" s="145">
        <v>1218.3698099999999</v>
      </c>
      <c r="L9" s="145">
        <v>311.03735</v>
      </c>
      <c r="M9" s="146">
        <f>N9+O9</f>
        <v>150.32926</v>
      </c>
      <c r="N9" s="145">
        <v>119.68832999999999</v>
      </c>
      <c r="O9" s="145">
        <v>30.640930000000001</v>
      </c>
      <c r="P9" s="146">
        <f>Q9+R9</f>
        <v>329.61760719126772</v>
      </c>
      <c r="Q9" s="145">
        <v>263.69408575301418</v>
      </c>
      <c r="R9" s="145">
        <v>65.923521438253545</v>
      </c>
      <c r="S9" s="146">
        <f>T9+U9</f>
        <v>2617.0359728087324</v>
      </c>
      <c r="T9" s="145">
        <f>SUM(H9-K9-N9-Q9)</f>
        <v>2253.5577742469859</v>
      </c>
      <c r="U9" s="145">
        <f t="shared" ref="U9" si="0">SUM(I9-L9-O9-R9)</f>
        <v>363.47819856174647</v>
      </c>
      <c r="V9" s="146">
        <f>W9+X9</f>
        <v>543.5</v>
      </c>
      <c r="W9" s="145">
        <v>434.8</v>
      </c>
      <c r="X9" s="145">
        <f>SUM(W9*0.25)</f>
        <v>108.7</v>
      </c>
      <c r="Y9" s="146">
        <f>Z9+AA9</f>
        <v>375</v>
      </c>
      <c r="Z9" s="145">
        <v>300</v>
      </c>
      <c r="AA9" s="145">
        <f>SUM(Z9*0.25)</f>
        <v>75</v>
      </c>
      <c r="AB9" s="146">
        <f>AC9+AD9</f>
        <v>1698.5359728087324</v>
      </c>
      <c r="AC9" s="145">
        <f t="shared" ref="AC9:AD11" si="1">SUM(T9-W9-Z9)</f>
        <v>1518.7577742469859</v>
      </c>
      <c r="AD9" s="145">
        <f t="shared" si="1"/>
        <v>179.77819856174648</v>
      </c>
      <c r="AE9" s="200">
        <f>AF9+AG9</f>
        <v>416.08620812499998</v>
      </c>
      <c r="AF9" s="145">
        <v>332.8689665</v>
      </c>
      <c r="AG9" s="145">
        <v>83.217241625</v>
      </c>
      <c r="AH9" s="146">
        <f>AI9+AJ9</f>
        <v>87.5</v>
      </c>
      <c r="AI9" s="145">
        <v>70</v>
      </c>
      <c r="AJ9" s="145">
        <f>SUM(AI9*0.25)</f>
        <v>17.5</v>
      </c>
      <c r="AK9" s="146">
        <f>AL9+AM9</f>
        <v>87.5</v>
      </c>
      <c r="AL9" s="145">
        <f>SUM(AI9)</f>
        <v>70</v>
      </c>
      <c r="AM9" s="145">
        <f>SUM(AL9*0.25)</f>
        <v>17.5</v>
      </c>
      <c r="AN9" s="146">
        <f>AO9+AP9</f>
        <v>158.3125</v>
      </c>
      <c r="AO9" s="145">
        <f>70+56.65</f>
        <v>126.65</v>
      </c>
      <c r="AP9" s="145">
        <f>SUM(AO9*0.25)</f>
        <v>31.662500000000001</v>
      </c>
      <c r="AQ9" s="146">
        <f>AR9+AS9</f>
        <v>210.1875</v>
      </c>
      <c r="AR9" s="145">
        <v>168.15</v>
      </c>
      <c r="AS9" s="145">
        <f>SUM(AR9*0.25)</f>
        <v>42.037500000000001</v>
      </c>
      <c r="AT9" s="146">
        <f>AU9+AV9</f>
        <v>543.5</v>
      </c>
      <c r="AU9" s="145">
        <f t="shared" ref="AU9:AV11" si="2">SUM(AI9+AL9+AO9+AR9)</f>
        <v>434.79999999999995</v>
      </c>
      <c r="AV9" s="145">
        <f t="shared" si="2"/>
        <v>108.69999999999999</v>
      </c>
      <c r="AW9" s="201" t="s">
        <v>325</v>
      </c>
      <c r="AX9" s="202" t="s">
        <v>326</v>
      </c>
      <c r="AY9" s="296" t="s">
        <v>331</v>
      </c>
    </row>
    <row r="10" spans="1:51" ht="58.5" customHeight="1" x14ac:dyDescent="0.25">
      <c r="B10" s="294"/>
      <c r="C10" s="267">
        <v>32006</v>
      </c>
      <c r="D10" s="299" t="s">
        <v>318</v>
      </c>
      <c r="E10" s="22" t="s">
        <v>323</v>
      </c>
      <c r="F10" s="14" t="s">
        <v>327</v>
      </c>
      <c r="G10" s="146">
        <f>H10+I10</f>
        <v>1680.9576</v>
      </c>
      <c r="H10" s="145">
        <v>1400.798</v>
      </c>
      <c r="I10" s="145">
        <v>280.15960000000001</v>
      </c>
      <c r="J10" s="146">
        <f>K10+L10</f>
        <v>0</v>
      </c>
      <c r="K10" s="145">
        <v>0</v>
      </c>
      <c r="L10" s="145">
        <v>0</v>
      </c>
      <c r="M10" s="146">
        <f t="shared" ref="M10:M17" si="3">N10+O10</f>
        <v>0</v>
      </c>
      <c r="N10" s="145">
        <v>0</v>
      </c>
      <c r="O10" s="145">
        <v>0</v>
      </c>
      <c r="P10" s="146">
        <f>+Q10+R10</f>
        <v>485.352072483413</v>
      </c>
      <c r="Q10" s="145">
        <v>485.352072483413</v>
      </c>
      <c r="R10" s="145">
        <v>0</v>
      </c>
      <c r="S10" s="146">
        <f>T10+U10</f>
        <v>1195.605527516587</v>
      </c>
      <c r="T10" s="145">
        <f>SUM(H10-K10-N10-Q10)</f>
        <v>915.44592751658706</v>
      </c>
      <c r="U10" s="145">
        <f>SUM(I10-L10-O10-R10)</f>
        <v>280.15960000000001</v>
      </c>
      <c r="V10" s="146">
        <f>W10+X10</f>
        <v>857.5</v>
      </c>
      <c r="W10" s="145">
        <v>857.5</v>
      </c>
      <c r="X10" s="145">
        <v>0</v>
      </c>
      <c r="Y10" s="146">
        <f t="shared" ref="Y10:Y17" si="4">Z10+AA10</f>
        <v>338.10552751658707</v>
      </c>
      <c r="Z10" s="145">
        <f>+T10-W10</f>
        <v>57.945927516587062</v>
      </c>
      <c r="AA10" s="145">
        <v>280.15960000000001</v>
      </c>
      <c r="AB10" s="146">
        <f t="shared" ref="AB10:AB17" si="5">AC10+AD10</f>
        <v>0</v>
      </c>
      <c r="AC10" s="145">
        <f t="shared" si="1"/>
        <v>0</v>
      </c>
      <c r="AD10" s="145">
        <f t="shared" si="1"/>
        <v>0</v>
      </c>
      <c r="AE10" s="200">
        <f t="shared" ref="AE10:AE17" si="6">AF10+AG10</f>
        <v>551.25</v>
      </c>
      <c r="AF10" s="145">
        <v>441</v>
      </c>
      <c r="AG10" s="145">
        <v>110.25</v>
      </c>
      <c r="AH10" s="146">
        <f t="shared" ref="AH10:AH17" si="7">AI10+AJ10</f>
        <v>0</v>
      </c>
      <c r="AI10" s="145">
        <v>0</v>
      </c>
      <c r="AJ10" s="145">
        <v>0</v>
      </c>
      <c r="AK10" s="146">
        <f t="shared" ref="AK10:AK17" si="8">AL10+AM10</f>
        <v>0</v>
      </c>
      <c r="AL10" s="145">
        <v>0</v>
      </c>
      <c r="AM10" s="145">
        <v>0</v>
      </c>
      <c r="AN10" s="146">
        <f t="shared" ref="AN10:AN17" si="9">AO10+AP10</f>
        <v>857.5</v>
      </c>
      <c r="AO10" s="145">
        <f>SUM(W10)</f>
        <v>857.5</v>
      </c>
      <c r="AP10" s="145">
        <v>0</v>
      </c>
      <c r="AQ10" s="146">
        <f t="shared" ref="AQ10:AQ17" si="10">AR10+AS10</f>
        <v>0</v>
      </c>
      <c r="AR10" s="145">
        <v>0</v>
      </c>
      <c r="AS10" s="145">
        <v>0</v>
      </c>
      <c r="AT10" s="146">
        <f t="shared" ref="AT10:AT17" si="11">AU10+AV10</f>
        <v>857.5</v>
      </c>
      <c r="AU10" s="145">
        <f t="shared" si="2"/>
        <v>857.5</v>
      </c>
      <c r="AV10" s="145">
        <f t="shared" si="2"/>
        <v>0</v>
      </c>
      <c r="AW10" s="301" t="s">
        <v>325</v>
      </c>
      <c r="AX10" s="303" t="s">
        <v>326</v>
      </c>
      <c r="AY10" s="297"/>
    </row>
    <row r="11" spans="1:51" ht="60.75" customHeight="1" x14ac:dyDescent="0.25">
      <c r="B11" s="295"/>
      <c r="C11" s="269"/>
      <c r="D11" s="300"/>
      <c r="E11" s="22" t="s">
        <v>323</v>
      </c>
      <c r="F11" s="14" t="s">
        <v>328</v>
      </c>
      <c r="G11" s="146">
        <f>H11+I11</f>
        <v>6723.8303999999998</v>
      </c>
      <c r="H11" s="145">
        <v>5603.192</v>
      </c>
      <c r="I11" s="145">
        <v>1120.6384</v>
      </c>
      <c r="J11" s="146">
        <f>K11+L11</f>
        <v>0</v>
      </c>
      <c r="K11" s="145">
        <v>0</v>
      </c>
      <c r="L11" s="145">
        <v>0</v>
      </c>
      <c r="M11" s="146">
        <f t="shared" si="3"/>
        <v>0</v>
      </c>
      <c r="N11" s="145">
        <v>0</v>
      </c>
      <c r="O11" s="145">
        <v>0</v>
      </c>
      <c r="P11" s="146">
        <f>+Q11+R11</f>
        <v>1923.667213621555</v>
      </c>
      <c r="Q11" s="145">
        <v>1923.667213621555</v>
      </c>
      <c r="R11" s="145">
        <v>0</v>
      </c>
      <c r="S11" s="146">
        <f>T11+U11</f>
        <v>4800.1631863784451</v>
      </c>
      <c r="T11" s="145">
        <f>SUM(H11-K11-N11-Q11)</f>
        <v>3679.5247863784452</v>
      </c>
      <c r="U11" s="145">
        <f>SUM(I11-L11-O11-R11)</f>
        <v>1120.6384</v>
      </c>
      <c r="V11" s="146">
        <f>W11+X11</f>
        <v>3430</v>
      </c>
      <c r="W11" s="145">
        <v>3430</v>
      </c>
      <c r="X11" s="145">
        <v>0</v>
      </c>
      <c r="Y11" s="146">
        <f t="shared" si="4"/>
        <v>1370.1631863784453</v>
      </c>
      <c r="Z11" s="145">
        <f>+T11-W11</f>
        <v>249.52478637844524</v>
      </c>
      <c r="AA11" s="145">
        <f>+U11-X11</f>
        <v>1120.6384</v>
      </c>
      <c r="AB11" s="146">
        <f t="shared" si="5"/>
        <v>0</v>
      </c>
      <c r="AC11" s="145">
        <v>0</v>
      </c>
      <c r="AD11" s="145">
        <f t="shared" si="1"/>
        <v>0</v>
      </c>
      <c r="AE11" s="200">
        <f t="shared" si="6"/>
        <v>2276.4672</v>
      </c>
      <c r="AF11" s="145">
        <v>1764</v>
      </c>
      <c r="AG11" s="145">
        <v>512.46720000000005</v>
      </c>
      <c r="AH11" s="146">
        <f t="shared" si="7"/>
        <v>0</v>
      </c>
      <c r="AI11" s="145">
        <v>0</v>
      </c>
      <c r="AJ11" s="145">
        <v>0</v>
      </c>
      <c r="AK11" s="146">
        <f t="shared" si="8"/>
        <v>0</v>
      </c>
      <c r="AL11" s="145">
        <v>0</v>
      </c>
      <c r="AM11" s="145">
        <v>0</v>
      </c>
      <c r="AN11" s="146">
        <f t="shared" si="9"/>
        <v>3430</v>
      </c>
      <c r="AO11" s="145">
        <f>SUM(W11)</f>
        <v>3430</v>
      </c>
      <c r="AP11" s="145">
        <v>0</v>
      </c>
      <c r="AQ11" s="146">
        <f t="shared" si="10"/>
        <v>0</v>
      </c>
      <c r="AR11" s="145">
        <v>0</v>
      </c>
      <c r="AS11" s="145">
        <v>0</v>
      </c>
      <c r="AT11" s="146">
        <f t="shared" si="11"/>
        <v>3430</v>
      </c>
      <c r="AU11" s="145">
        <f t="shared" si="2"/>
        <v>3430</v>
      </c>
      <c r="AV11" s="145">
        <f t="shared" si="2"/>
        <v>0</v>
      </c>
      <c r="AW11" s="302"/>
      <c r="AX11" s="304"/>
      <c r="AY11" s="298"/>
    </row>
    <row r="12" spans="1:51" hidden="1" x14ac:dyDescent="0.25">
      <c r="B12" s="52"/>
      <c r="C12" s="16"/>
      <c r="D12" s="16"/>
      <c r="E12" s="17"/>
      <c r="F12" s="16"/>
      <c r="G12" s="146">
        <f t="shared" ref="G12:G17" si="12">H12+I12</f>
        <v>0</v>
      </c>
      <c r="H12" s="145"/>
      <c r="I12" s="145"/>
      <c r="J12" s="146">
        <f t="shared" ref="J12:J17" si="13">K12+L12</f>
        <v>0</v>
      </c>
      <c r="K12" s="145"/>
      <c r="L12" s="145"/>
      <c r="M12" s="146">
        <f t="shared" si="3"/>
        <v>0</v>
      </c>
      <c r="N12" s="145"/>
      <c r="O12" s="145"/>
      <c r="P12" s="146">
        <f t="shared" ref="P12:P17" si="14">Q12+R12</f>
        <v>0</v>
      </c>
      <c r="Q12" s="145"/>
      <c r="R12" s="145"/>
      <c r="S12" s="146">
        <f t="shared" ref="S12:S17" si="15">T12+U12</f>
        <v>0</v>
      </c>
      <c r="T12" s="145"/>
      <c r="U12" s="145"/>
      <c r="V12" s="146">
        <f t="shared" ref="V12:V17" si="16">W12+X12</f>
        <v>0</v>
      </c>
      <c r="W12" s="145"/>
      <c r="X12" s="145"/>
      <c r="Y12" s="146">
        <f t="shared" si="4"/>
        <v>0</v>
      </c>
      <c r="Z12" s="145"/>
      <c r="AA12" s="145"/>
      <c r="AB12" s="146">
        <f t="shared" si="5"/>
        <v>0</v>
      </c>
      <c r="AC12" s="145"/>
      <c r="AD12" s="203"/>
      <c r="AE12" s="200">
        <f t="shared" si="6"/>
        <v>0</v>
      </c>
      <c r="AF12" s="145"/>
      <c r="AG12" s="145"/>
      <c r="AH12" s="146">
        <f t="shared" si="7"/>
        <v>0</v>
      </c>
      <c r="AI12" s="145"/>
      <c r="AJ12" s="145"/>
      <c r="AK12" s="146">
        <f t="shared" si="8"/>
        <v>0</v>
      </c>
      <c r="AL12" s="145"/>
      <c r="AM12" s="145"/>
      <c r="AN12" s="146">
        <f t="shared" si="9"/>
        <v>0</v>
      </c>
      <c r="AO12" s="145"/>
      <c r="AP12" s="145"/>
      <c r="AQ12" s="146">
        <f t="shared" si="10"/>
        <v>0</v>
      </c>
      <c r="AR12" s="145"/>
      <c r="AS12" s="145"/>
      <c r="AT12" s="146">
        <f t="shared" si="11"/>
        <v>0</v>
      </c>
      <c r="AU12" s="145"/>
      <c r="AV12" s="203"/>
      <c r="AW12" s="50"/>
      <c r="AX12" s="22"/>
      <c r="AY12" s="45"/>
    </row>
    <row r="13" spans="1:51" hidden="1" x14ac:dyDescent="0.25">
      <c r="B13" s="52"/>
      <c r="C13" s="16"/>
      <c r="D13" s="16"/>
      <c r="E13" s="17"/>
      <c r="F13" s="16"/>
      <c r="G13" s="146">
        <f t="shared" si="12"/>
        <v>0</v>
      </c>
      <c r="H13" s="145"/>
      <c r="I13" s="145"/>
      <c r="J13" s="146">
        <f t="shared" si="13"/>
        <v>0</v>
      </c>
      <c r="K13" s="145"/>
      <c r="L13" s="145"/>
      <c r="M13" s="146">
        <f t="shared" si="3"/>
        <v>0</v>
      </c>
      <c r="N13" s="145"/>
      <c r="O13" s="145"/>
      <c r="P13" s="146">
        <f t="shared" si="14"/>
        <v>0</v>
      </c>
      <c r="Q13" s="145"/>
      <c r="R13" s="145"/>
      <c r="S13" s="146">
        <f t="shared" si="15"/>
        <v>0</v>
      </c>
      <c r="T13" s="145"/>
      <c r="U13" s="145"/>
      <c r="V13" s="146">
        <f t="shared" si="16"/>
        <v>0</v>
      </c>
      <c r="W13" s="145"/>
      <c r="X13" s="145"/>
      <c r="Y13" s="146">
        <f t="shared" si="4"/>
        <v>0</v>
      </c>
      <c r="Z13" s="145"/>
      <c r="AA13" s="145"/>
      <c r="AB13" s="146">
        <f t="shared" si="5"/>
        <v>0</v>
      </c>
      <c r="AC13" s="145"/>
      <c r="AD13" s="203"/>
      <c r="AE13" s="200">
        <f t="shared" si="6"/>
        <v>0</v>
      </c>
      <c r="AF13" s="145"/>
      <c r="AG13" s="145"/>
      <c r="AH13" s="146">
        <f t="shared" si="7"/>
        <v>0</v>
      </c>
      <c r="AI13" s="145"/>
      <c r="AJ13" s="145"/>
      <c r="AK13" s="146">
        <f t="shared" si="8"/>
        <v>0</v>
      </c>
      <c r="AL13" s="145"/>
      <c r="AM13" s="145"/>
      <c r="AN13" s="146">
        <f t="shared" si="9"/>
        <v>0</v>
      </c>
      <c r="AO13" s="145"/>
      <c r="AP13" s="145"/>
      <c r="AQ13" s="146">
        <f t="shared" si="10"/>
        <v>0</v>
      </c>
      <c r="AR13" s="145"/>
      <c r="AS13" s="145"/>
      <c r="AT13" s="146">
        <f t="shared" si="11"/>
        <v>0</v>
      </c>
      <c r="AU13" s="145"/>
      <c r="AV13" s="203"/>
      <c r="AW13" s="50"/>
      <c r="AX13" s="22"/>
      <c r="AY13" s="45"/>
    </row>
    <row r="14" spans="1:51" hidden="1" x14ac:dyDescent="0.25">
      <c r="B14" s="52"/>
      <c r="C14" s="16"/>
      <c r="D14" s="16"/>
      <c r="E14" s="17"/>
      <c r="F14" s="16"/>
      <c r="G14" s="146">
        <f t="shared" si="12"/>
        <v>0</v>
      </c>
      <c r="H14" s="145"/>
      <c r="I14" s="145"/>
      <c r="J14" s="146">
        <f t="shared" si="13"/>
        <v>0</v>
      </c>
      <c r="K14" s="145"/>
      <c r="L14" s="145"/>
      <c r="M14" s="146">
        <f t="shared" si="3"/>
        <v>0</v>
      </c>
      <c r="N14" s="145"/>
      <c r="O14" s="145"/>
      <c r="P14" s="146">
        <f t="shared" si="14"/>
        <v>0</v>
      </c>
      <c r="Q14" s="145"/>
      <c r="R14" s="145"/>
      <c r="S14" s="146">
        <f t="shared" si="15"/>
        <v>0</v>
      </c>
      <c r="T14" s="145"/>
      <c r="U14" s="145"/>
      <c r="V14" s="146">
        <f t="shared" si="16"/>
        <v>0</v>
      </c>
      <c r="W14" s="145"/>
      <c r="X14" s="145"/>
      <c r="Y14" s="146">
        <f t="shared" si="4"/>
        <v>0</v>
      </c>
      <c r="Z14" s="145"/>
      <c r="AA14" s="145"/>
      <c r="AB14" s="146">
        <f t="shared" si="5"/>
        <v>0</v>
      </c>
      <c r="AC14" s="145"/>
      <c r="AD14" s="203"/>
      <c r="AE14" s="200">
        <f t="shared" si="6"/>
        <v>0</v>
      </c>
      <c r="AF14" s="145"/>
      <c r="AG14" s="145"/>
      <c r="AH14" s="146">
        <f t="shared" si="7"/>
        <v>0</v>
      </c>
      <c r="AI14" s="145"/>
      <c r="AJ14" s="145"/>
      <c r="AK14" s="146">
        <f t="shared" si="8"/>
        <v>0</v>
      </c>
      <c r="AL14" s="145"/>
      <c r="AM14" s="145"/>
      <c r="AN14" s="146">
        <f t="shared" si="9"/>
        <v>0</v>
      </c>
      <c r="AO14" s="145"/>
      <c r="AP14" s="145"/>
      <c r="AQ14" s="146">
        <f t="shared" si="10"/>
        <v>0</v>
      </c>
      <c r="AR14" s="145"/>
      <c r="AS14" s="145"/>
      <c r="AT14" s="146">
        <f t="shared" si="11"/>
        <v>0</v>
      </c>
      <c r="AU14" s="145"/>
      <c r="AV14" s="203"/>
      <c r="AW14" s="50"/>
      <c r="AX14" s="22"/>
      <c r="AY14" s="45"/>
    </row>
    <row r="15" spans="1:51" hidden="1" x14ac:dyDescent="0.25">
      <c r="B15" s="52"/>
      <c r="C15" s="16"/>
      <c r="D15" s="16"/>
      <c r="E15" s="17"/>
      <c r="F15" s="16"/>
      <c r="G15" s="146">
        <f t="shared" si="12"/>
        <v>0</v>
      </c>
      <c r="H15" s="145"/>
      <c r="I15" s="145"/>
      <c r="J15" s="146">
        <f t="shared" si="13"/>
        <v>0</v>
      </c>
      <c r="K15" s="145"/>
      <c r="L15" s="145"/>
      <c r="M15" s="146">
        <f t="shared" si="3"/>
        <v>0</v>
      </c>
      <c r="N15" s="145"/>
      <c r="O15" s="145"/>
      <c r="P15" s="146">
        <f t="shared" si="14"/>
        <v>0</v>
      </c>
      <c r="Q15" s="145"/>
      <c r="R15" s="145"/>
      <c r="S15" s="146">
        <f t="shared" si="15"/>
        <v>0</v>
      </c>
      <c r="T15" s="145"/>
      <c r="U15" s="145"/>
      <c r="V15" s="146">
        <f t="shared" si="16"/>
        <v>0</v>
      </c>
      <c r="W15" s="145"/>
      <c r="X15" s="145"/>
      <c r="Y15" s="146">
        <f t="shared" si="4"/>
        <v>0</v>
      </c>
      <c r="Z15" s="145"/>
      <c r="AA15" s="145"/>
      <c r="AB15" s="146">
        <f t="shared" si="5"/>
        <v>0</v>
      </c>
      <c r="AC15" s="145"/>
      <c r="AD15" s="203"/>
      <c r="AE15" s="200">
        <f t="shared" si="6"/>
        <v>0</v>
      </c>
      <c r="AF15" s="145"/>
      <c r="AG15" s="145"/>
      <c r="AH15" s="146">
        <f t="shared" si="7"/>
        <v>0</v>
      </c>
      <c r="AI15" s="145"/>
      <c r="AJ15" s="145"/>
      <c r="AK15" s="146">
        <f t="shared" si="8"/>
        <v>0</v>
      </c>
      <c r="AL15" s="145"/>
      <c r="AM15" s="145"/>
      <c r="AN15" s="146">
        <f t="shared" si="9"/>
        <v>0</v>
      </c>
      <c r="AO15" s="145"/>
      <c r="AP15" s="145"/>
      <c r="AQ15" s="146">
        <f t="shared" si="10"/>
        <v>0</v>
      </c>
      <c r="AR15" s="145"/>
      <c r="AS15" s="145"/>
      <c r="AT15" s="146">
        <f t="shared" si="11"/>
        <v>0</v>
      </c>
      <c r="AU15" s="145"/>
      <c r="AV15" s="203"/>
      <c r="AW15" s="50"/>
      <c r="AX15" s="22"/>
      <c r="AY15" s="45"/>
    </row>
    <row r="16" spans="1:51" hidden="1" x14ac:dyDescent="0.25">
      <c r="B16" s="52"/>
      <c r="C16" s="16"/>
      <c r="D16" s="16"/>
      <c r="E16" s="17"/>
      <c r="F16" s="16"/>
      <c r="G16" s="146">
        <f t="shared" si="12"/>
        <v>0</v>
      </c>
      <c r="H16" s="145"/>
      <c r="I16" s="145"/>
      <c r="J16" s="146">
        <f t="shared" si="13"/>
        <v>0</v>
      </c>
      <c r="K16" s="145"/>
      <c r="L16" s="145"/>
      <c r="M16" s="146">
        <f t="shared" si="3"/>
        <v>0</v>
      </c>
      <c r="N16" s="145"/>
      <c r="O16" s="145"/>
      <c r="P16" s="146">
        <f t="shared" si="14"/>
        <v>0</v>
      </c>
      <c r="Q16" s="145"/>
      <c r="R16" s="145"/>
      <c r="S16" s="146">
        <f t="shared" si="15"/>
        <v>0</v>
      </c>
      <c r="T16" s="145"/>
      <c r="U16" s="145"/>
      <c r="V16" s="146">
        <f t="shared" si="16"/>
        <v>0</v>
      </c>
      <c r="W16" s="145"/>
      <c r="X16" s="145"/>
      <c r="Y16" s="146">
        <f t="shared" si="4"/>
        <v>0</v>
      </c>
      <c r="Z16" s="145"/>
      <c r="AA16" s="145"/>
      <c r="AB16" s="146">
        <f t="shared" si="5"/>
        <v>0</v>
      </c>
      <c r="AC16" s="145"/>
      <c r="AD16" s="203"/>
      <c r="AE16" s="200">
        <f t="shared" si="6"/>
        <v>0</v>
      </c>
      <c r="AF16" s="145"/>
      <c r="AG16" s="145"/>
      <c r="AH16" s="146">
        <f t="shared" si="7"/>
        <v>0</v>
      </c>
      <c r="AI16" s="145"/>
      <c r="AJ16" s="145"/>
      <c r="AK16" s="146">
        <f t="shared" si="8"/>
        <v>0</v>
      </c>
      <c r="AL16" s="145"/>
      <c r="AM16" s="145"/>
      <c r="AN16" s="146">
        <f t="shared" si="9"/>
        <v>0</v>
      </c>
      <c r="AO16" s="145"/>
      <c r="AP16" s="145"/>
      <c r="AQ16" s="146">
        <f t="shared" si="10"/>
        <v>0</v>
      </c>
      <c r="AR16" s="145"/>
      <c r="AS16" s="145"/>
      <c r="AT16" s="146">
        <f t="shared" si="11"/>
        <v>0</v>
      </c>
      <c r="AU16" s="145"/>
      <c r="AV16" s="203"/>
      <c r="AW16" s="50"/>
      <c r="AX16" s="22"/>
      <c r="AY16" s="45"/>
    </row>
    <row r="17" spans="1:51" hidden="1" x14ac:dyDescent="0.25">
      <c r="B17" s="53"/>
      <c r="C17" s="30"/>
      <c r="D17" s="30"/>
      <c r="E17" s="31"/>
      <c r="F17" s="30"/>
      <c r="G17" s="146">
        <f t="shared" si="12"/>
        <v>0</v>
      </c>
      <c r="H17" s="145"/>
      <c r="I17" s="145"/>
      <c r="J17" s="146">
        <f t="shared" si="13"/>
        <v>0</v>
      </c>
      <c r="K17" s="145"/>
      <c r="L17" s="145"/>
      <c r="M17" s="146">
        <f t="shared" si="3"/>
        <v>0</v>
      </c>
      <c r="N17" s="145"/>
      <c r="O17" s="145"/>
      <c r="P17" s="146">
        <f t="shared" si="14"/>
        <v>0</v>
      </c>
      <c r="Q17" s="145"/>
      <c r="R17" s="145"/>
      <c r="S17" s="146">
        <f t="shared" si="15"/>
        <v>0</v>
      </c>
      <c r="T17" s="145"/>
      <c r="U17" s="145"/>
      <c r="V17" s="146">
        <f t="shared" si="16"/>
        <v>0</v>
      </c>
      <c r="W17" s="145"/>
      <c r="X17" s="145"/>
      <c r="Y17" s="146">
        <f t="shared" si="4"/>
        <v>0</v>
      </c>
      <c r="Z17" s="145"/>
      <c r="AA17" s="145"/>
      <c r="AB17" s="146">
        <f t="shared" si="5"/>
        <v>0</v>
      </c>
      <c r="AC17" s="145"/>
      <c r="AD17" s="203"/>
      <c r="AE17" s="200">
        <f t="shared" si="6"/>
        <v>0</v>
      </c>
      <c r="AF17" s="145"/>
      <c r="AG17" s="145"/>
      <c r="AH17" s="146">
        <f t="shared" si="7"/>
        <v>0</v>
      </c>
      <c r="AI17" s="145"/>
      <c r="AJ17" s="145"/>
      <c r="AK17" s="146">
        <f t="shared" si="8"/>
        <v>0</v>
      </c>
      <c r="AL17" s="145"/>
      <c r="AM17" s="145"/>
      <c r="AN17" s="146">
        <f t="shared" si="9"/>
        <v>0</v>
      </c>
      <c r="AO17" s="145"/>
      <c r="AP17" s="145"/>
      <c r="AQ17" s="146">
        <f t="shared" si="10"/>
        <v>0</v>
      </c>
      <c r="AR17" s="145"/>
      <c r="AS17" s="145"/>
      <c r="AT17" s="146">
        <f t="shared" si="11"/>
        <v>0</v>
      </c>
      <c r="AU17" s="145"/>
      <c r="AV17" s="203"/>
      <c r="AW17" s="50"/>
      <c r="AX17" s="22"/>
      <c r="AY17" s="45"/>
    </row>
    <row r="18" spans="1:51" ht="17.25" x14ac:dyDescent="0.25">
      <c r="A18" s="28"/>
      <c r="B18" s="291" t="s">
        <v>41</v>
      </c>
      <c r="C18" s="292"/>
      <c r="D18" s="292"/>
      <c r="E18" s="292"/>
      <c r="F18" s="292"/>
      <c r="G18" s="204">
        <f>SUM(G9:G17)</f>
        <v>13031.178</v>
      </c>
      <c r="H18" s="204">
        <f t="shared" ref="H18:AV18" si="17">SUM(H9:H17)</f>
        <v>10859.3</v>
      </c>
      <c r="I18" s="204">
        <f t="shared" si="17"/>
        <v>2171.8780000000002</v>
      </c>
      <c r="J18" s="204">
        <f t="shared" si="17"/>
        <v>1529.40716</v>
      </c>
      <c r="K18" s="204">
        <f t="shared" si="17"/>
        <v>1218.3698099999999</v>
      </c>
      <c r="L18" s="204">
        <f t="shared" si="17"/>
        <v>311.03735</v>
      </c>
      <c r="M18" s="204">
        <f t="shared" si="17"/>
        <v>150.32926</v>
      </c>
      <c r="N18" s="204">
        <f t="shared" si="17"/>
        <v>119.68832999999999</v>
      </c>
      <c r="O18" s="204">
        <f t="shared" si="17"/>
        <v>30.640930000000001</v>
      </c>
      <c r="P18" s="204">
        <f>SUM(P9:P17)</f>
        <v>2738.6368932962359</v>
      </c>
      <c r="Q18" s="204">
        <f>SUM(Q9:Q17)</f>
        <v>2672.7133718579821</v>
      </c>
      <c r="R18" s="204">
        <f t="shared" si="17"/>
        <v>65.923521438253545</v>
      </c>
      <c r="S18" s="204">
        <f t="shared" si="17"/>
        <v>8612.8046867037647</v>
      </c>
      <c r="T18" s="204">
        <f t="shared" si="17"/>
        <v>6848.5284881420184</v>
      </c>
      <c r="U18" s="204">
        <f t="shared" si="17"/>
        <v>1764.2761985617465</v>
      </c>
      <c r="V18" s="204">
        <f t="shared" si="17"/>
        <v>4831</v>
      </c>
      <c r="W18" s="204">
        <f t="shared" si="17"/>
        <v>4722.3</v>
      </c>
      <c r="X18" s="204">
        <f t="shared" si="17"/>
        <v>108.7</v>
      </c>
      <c r="Y18" s="204">
        <f t="shared" si="17"/>
        <v>2083.2687138950323</v>
      </c>
      <c r="Z18" s="204">
        <f t="shared" si="17"/>
        <v>607.4707138950323</v>
      </c>
      <c r="AA18" s="204">
        <f t="shared" si="17"/>
        <v>1475.798</v>
      </c>
      <c r="AB18" s="204">
        <f t="shared" si="17"/>
        <v>1698.5359728087324</v>
      </c>
      <c r="AC18" s="204">
        <f t="shared" si="17"/>
        <v>1518.7577742469859</v>
      </c>
      <c r="AD18" s="205">
        <f t="shared" si="17"/>
        <v>179.77819856174648</v>
      </c>
      <c r="AE18" s="200">
        <f t="shared" si="17"/>
        <v>3243.8034081249998</v>
      </c>
      <c r="AF18" s="204">
        <f t="shared" si="17"/>
        <v>2537.8689665000002</v>
      </c>
      <c r="AG18" s="204">
        <f t="shared" si="17"/>
        <v>705.93444162500009</v>
      </c>
      <c r="AH18" s="204">
        <f t="shared" si="17"/>
        <v>87.5</v>
      </c>
      <c r="AI18" s="204">
        <f t="shared" si="17"/>
        <v>70</v>
      </c>
      <c r="AJ18" s="204">
        <f t="shared" si="17"/>
        <v>17.5</v>
      </c>
      <c r="AK18" s="204">
        <f t="shared" si="17"/>
        <v>87.5</v>
      </c>
      <c r="AL18" s="204">
        <f t="shared" si="17"/>
        <v>70</v>
      </c>
      <c r="AM18" s="204">
        <f t="shared" si="17"/>
        <v>17.5</v>
      </c>
      <c r="AN18" s="204">
        <f t="shared" si="17"/>
        <v>4445.8125</v>
      </c>
      <c r="AO18" s="204">
        <f t="shared" si="17"/>
        <v>4414.1499999999996</v>
      </c>
      <c r="AP18" s="204">
        <f t="shared" si="17"/>
        <v>31.662500000000001</v>
      </c>
      <c r="AQ18" s="204">
        <f t="shared" si="17"/>
        <v>210.1875</v>
      </c>
      <c r="AR18" s="204">
        <f t="shared" si="17"/>
        <v>168.15</v>
      </c>
      <c r="AS18" s="204">
        <f t="shared" si="17"/>
        <v>42.037500000000001</v>
      </c>
      <c r="AT18" s="204">
        <f t="shared" si="17"/>
        <v>4831</v>
      </c>
      <c r="AU18" s="204">
        <f>SUM(AU9:AU17)</f>
        <v>4722.3</v>
      </c>
      <c r="AV18" s="205">
        <f t="shared" si="17"/>
        <v>108.69999999999999</v>
      </c>
      <c r="AW18" s="44" t="s">
        <v>44</v>
      </c>
      <c r="AX18" s="32" t="s">
        <v>44</v>
      </c>
      <c r="AY18" s="46" t="s">
        <v>44</v>
      </c>
    </row>
    <row r="19" spans="1:51" x14ac:dyDescent="0.25">
      <c r="B19" s="291" t="s">
        <v>23</v>
      </c>
      <c r="C19" s="292"/>
      <c r="D19" s="292"/>
      <c r="E19" s="292"/>
      <c r="F19" s="292"/>
      <c r="G19" s="204">
        <f t="shared" ref="G19:AV19" si="18">SUMIF($E9:$E17,"Վարկային ծրագիր",G9:G17)</f>
        <v>0</v>
      </c>
      <c r="H19" s="204">
        <f t="shared" si="18"/>
        <v>0</v>
      </c>
      <c r="I19" s="204">
        <f t="shared" si="18"/>
        <v>0</v>
      </c>
      <c r="J19" s="204">
        <f t="shared" si="18"/>
        <v>0</v>
      </c>
      <c r="K19" s="204">
        <f t="shared" si="18"/>
        <v>0</v>
      </c>
      <c r="L19" s="204">
        <f t="shared" si="18"/>
        <v>0</v>
      </c>
      <c r="M19" s="204">
        <f t="shared" si="18"/>
        <v>0</v>
      </c>
      <c r="N19" s="204">
        <f t="shared" si="18"/>
        <v>0</v>
      </c>
      <c r="O19" s="204">
        <f t="shared" si="18"/>
        <v>0</v>
      </c>
      <c r="P19" s="204">
        <f t="shared" si="18"/>
        <v>0</v>
      </c>
      <c r="Q19" s="204">
        <f t="shared" si="18"/>
        <v>0</v>
      </c>
      <c r="R19" s="204">
        <f t="shared" si="18"/>
        <v>0</v>
      </c>
      <c r="S19" s="204">
        <f t="shared" si="18"/>
        <v>0</v>
      </c>
      <c r="T19" s="204">
        <f t="shared" si="18"/>
        <v>0</v>
      </c>
      <c r="U19" s="204">
        <f t="shared" si="18"/>
        <v>0</v>
      </c>
      <c r="V19" s="204">
        <f t="shared" si="18"/>
        <v>0</v>
      </c>
      <c r="W19" s="204">
        <f t="shared" si="18"/>
        <v>0</v>
      </c>
      <c r="X19" s="204">
        <f t="shared" si="18"/>
        <v>0</v>
      </c>
      <c r="Y19" s="204">
        <f t="shared" si="18"/>
        <v>0</v>
      </c>
      <c r="Z19" s="204">
        <f t="shared" si="18"/>
        <v>0</v>
      </c>
      <c r="AA19" s="204">
        <f t="shared" si="18"/>
        <v>0</v>
      </c>
      <c r="AB19" s="204">
        <f t="shared" si="18"/>
        <v>0</v>
      </c>
      <c r="AC19" s="204">
        <f t="shared" si="18"/>
        <v>0</v>
      </c>
      <c r="AD19" s="205">
        <f t="shared" si="18"/>
        <v>0</v>
      </c>
      <c r="AE19" s="200">
        <f t="shared" si="18"/>
        <v>0</v>
      </c>
      <c r="AF19" s="204">
        <f t="shared" si="18"/>
        <v>0</v>
      </c>
      <c r="AG19" s="204">
        <f t="shared" si="18"/>
        <v>0</v>
      </c>
      <c r="AH19" s="204">
        <f t="shared" si="18"/>
        <v>0</v>
      </c>
      <c r="AI19" s="204">
        <f t="shared" si="18"/>
        <v>0</v>
      </c>
      <c r="AJ19" s="204">
        <f t="shared" si="18"/>
        <v>0</v>
      </c>
      <c r="AK19" s="204">
        <f t="shared" si="18"/>
        <v>0</v>
      </c>
      <c r="AL19" s="204">
        <f t="shared" si="18"/>
        <v>0</v>
      </c>
      <c r="AM19" s="204">
        <f t="shared" si="18"/>
        <v>0</v>
      </c>
      <c r="AN19" s="204">
        <f t="shared" si="18"/>
        <v>0</v>
      </c>
      <c r="AO19" s="204">
        <f t="shared" si="18"/>
        <v>0</v>
      </c>
      <c r="AP19" s="204">
        <f t="shared" si="18"/>
        <v>0</v>
      </c>
      <c r="AQ19" s="204">
        <f t="shared" si="18"/>
        <v>0</v>
      </c>
      <c r="AR19" s="204">
        <f t="shared" si="18"/>
        <v>0</v>
      </c>
      <c r="AS19" s="204">
        <f t="shared" si="18"/>
        <v>0</v>
      </c>
      <c r="AT19" s="204">
        <f t="shared" si="18"/>
        <v>0</v>
      </c>
      <c r="AU19" s="204">
        <f t="shared" si="18"/>
        <v>0</v>
      </c>
      <c r="AV19" s="205">
        <f t="shared" si="18"/>
        <v>0</v>
      </c>
      <c r="AW19" s="44" t="s">
        <v>44</v>
      </c>
      <c r="AX19" s="32" t="s">
        <v>44</v>
      </c>
      <c r="AY19" s="46" t="s">
        <v>44</v>
      </c>
    </row>
    <row r="20" spans="1:51" x14ac:dyDescent="0.25">
      <c r="B20" s="291" t="s">
        <v>24</v>
      </c>
      <c r="C20" s="292"/>
      <c r="D20" s="292"/>
      <c r="E20" s="292"/>
      <c r="F20" s="292"/>
      <c r="G20" s="204">
        <f>SUMIF($E9:$E17,"Դրամաշնորհային ծրագիր",G9:G17)</f>
        <v>13031.178</v>
      </c>
      <c r="H20" s="204">
        <f>SUMIF($E9:$E17,"Դրամաշնորհային ծրագիր",H9:H17)</f>
        <v>10859.3</v>
      </c>
      <c r="I20" s="204">
        <f t="shared" ref="I20:AV20" si="19">SUMIF($E9:$E17,"Դրամաշնորհային ծրագիր",I9:I17)</f>
        <v>2171.8780000000002</v>
      </c>
      <c r="J20" s="204">
        <f t="shared" si="19"/>
        <v>1529.40716</v>
      </c>
      <c r="K20" s="204">
        <f t="shared" si="19"/>
        <v>1218.3698099999999</v>
      </c>
      <c r="L20" s="204">
        <f t="shared" si="19"/>
        <v>311.03735</v>
      </c>
      <c r="M20" s="204">
        <f t="shared" si="19"/>
        <v>150.32926</v>
      </c>
      <c r="N20" s="204">
        <f t="shared" si="19"/>
        <v>119.68832999999999</v>
      </c>
      <c r="O20" s="204">
        <f t="shared" si="19"/>
        <v>30.640930000000001</v>
      </c>
      <c r="P20" s="32">
        <f t="shared" si="19"/>
        <v>2738.6368932962359</v>
      </c>
      <c r="Q20" s="32">
        <f t="shared" si="19"/>
        <v>2672.7133718579821</v>
      </c>
      <c r="R20" s="32">
        <f t="shared" si="19"/>
        <v>65.923521438253545</v>
      </c>
      <c r="S20" s="204">
        <f t="shared" si="19"/>
        <v>8612.8046867037647</v>
      </c>
      <c r="T20" s="204">
        <f t="shared" si="19"/>
        <v>6848.5284881420184</v>
      </c>
      <c r="U20" s="204">
        <f t="shared" si="19"/>
        <v>1764.2761985617465</v>
      </c>
      <c r="V20" s="204">
        <f t="shared" si="19"/>
        <v>4831</v>
      </c>
      <c r="W20" s="204">
        <f t="shared" si="19"/>
        <v>4722.3</v>
      </c>
      <c r="X20" s="204">
        <f t="shared" si="19"/>
        <v>108.7</v>
      </c>
      <c r="Y20" s="204">
        <f t="shared" si="19"/>
        <v>2083.2687138950323</v>
      </c>
      <c r="Z20" s="204">
        <f t="shared" si="19"/>
        <v>607.4707138950323</v>
      </c>
      <c r="AA20" s="204">
        <f t="shared" si="19"/>
        <v>1475.798</v>
      </c>
      <c r="AB20" s="204">
        <f t="shared" si="19"/>
        <v>1698.5359728087324</v>
      </c>
      <c r="AC20" s="204">
        <f t="shared" si="19"/>
        <v>1518.7577742469859</v>
      </c>
      <c r="AD20" s="205">
        <f t="shared" si="19"/>
        <v>179.77819856174648</v>
      </c>
      <c r="AE20" s="200">
        <f t="shared" si="19"/>
        <v>3243.8034081249998</v>
      </c>
      <c r="AF20" s="204">
        <f t="shared" si="19"/>
        <v>2537.8689665000002</v>
      </c>
      <c r="AG20" s="204">
        <f t="shared" si="19"/>
        <v>705.93444162500009</v>
      </c>
      <c r="AH20" s="204">
        <f t="shared" si="19"/>
        <v>87.5</v>
      </c>
      <c r="AI20" s="204">
        <f t="shared" si="19"/>
        <v>70</v>
      </c>
      <c r="AJ20" s="204">
        <f t="shared" si="19"/>
        <v>17.5</v>
      </c>
      <c r="AK20" s="204">
        <f t="shared" si="19"/>
        <v>87.5</v>
      </c>
      <c r="AL20" s="204">
        <f t="shared" si="19"/>
        <v>70</v>
      </c>
      <c r="AM20" s="204">
        <f t="shared" si="19"/>
        <v>17.5</v>
      </c>
      <c r="AN20" s="204">
        <f t="shared" si="19"/>
        <v>4445.8125</v>
      </c>
      <c r="AO20" s="204">
        <f t="shared" si="19"/>
        <v>4414.1499999999996</v>
      </c>
      <c r="AP20" s="204">
        <f t="shared" si="19"/>
        <v>31.662500000000001</v>
      </c>
      <c r="AQ20" s="204">
        <f t="shared" si="19"/>
        <v>210.1875</v>
      </c>
      <c r="AR20" s="204">
        <f t="shared" si="19"/>
        <v>168.15</v>
      </c>
      <c r="AS20" s="204">
        <f t="shared" si="19"/>
        <v>42.037500000000001</v>
      </c>
      <c r="AT20" s="204">
        <f t="shared" si="19"/>
        <v>4831</v>
      </c>
      <c r="AU20" s="204">
        <f>SUMIF($E9:$E17,"Դրամաշնորհային ծրագիր",AU9:AU17)</f>
        <v>4722.3</v>
      </c>
      <c r="AV20" s="205">
        <f t="shared" si="19"/>
        <v>108.69999999999999</v>
      </c>
      <c r="AW20" s="44" t="s">
        <v>44</v>
      </c>
      <c r="AX20" s="32" t="s">
        <v>44</v>
      </c>
      <c r="AY20" s="46" t="s">
        <v>44</v>
      </c>
    </row>
    <row r="21" spans="1:51" ht="17.25" customHeight="1" x14ac:dyDescent="0.25"/>
    <row r="22" spans="1:51" x14ac:dyDescent="0.25">
      <c r="V22" s="144"/>
    </row>
    <row r="23" spans="1:51" x14ac:dyDescent="0.25">
      <c r="B23" s="78" t="s">
        <v>235</v>
      </c>
      <c r="C23" s="61"/>
      <c r="D23" s="62"/>
      <c r="Q23" s="209"/>
      <c r="V23" s="144"/>
    </row>
  </sheetData>
  <mergeCells count="33">
    <mergeCell ref="AQ7:AS7"/>
    <mergeCell ref="AX6:AX8"/>
    <mergeCell ref="AY6:AY8"/>
    <mergeCell ref="B18:F18"/>
    <mergeCell ref="B19:F19"/>
    <mergeCell ref="B20:F20"/>
    <mergeCell ref="AK7:AM7"/>
    <mergeCell ref="AN7:AP7"/>
    <mergeCell ref="B9:B11"/>
    <mergeCell ref="AY9:AY11"/>
    <mergeCell ref="C10:C11"/>
    <mergeCell ref="D10:D11"/>
    <mergeCell ref="AW10:AW11"/>
    <mergeCell ref="AX10:AX11"/>
    <mergeCell ref="Y7:AA7"/>
    <mergeCell ref="AB7:AD7"/>
    <mergeCell ref="AH7:AJ7"/>
    <mergeCell ref="V7:X7"/>
    <mergeCell ref="AT7:AV7"/>
    <mergeCell ref="AW5:AY5"/>
    <mergeCell ref="B6:C7"/>
    <mergeCell ref="D6:D8"/>
    <mergeCell ref="E6:E8"/>
    <mergeCell ref="F6:F8"/>
    <mergeCell ref="G6:I7"/>
    <mergeCell ref="J6:L7"/>
    <mergeCell ref="M6:O7"/>
    <mergeCell ref="P6:R7"/>
    <mergeCell ref="S6:U7"/>
    <mergeCell ref="V6:AD6"/>
    <mergeCell ref="AE6:AG7"/>
    <mergeCell ref="AH6:AV6"/>
    <mergeCell ref="AW6:AW8"/>
  </mergeCells>
  <dataValidations count="1">
    <dataValidation type="list" allowBlank="1" showInputMessage="1" showErrorMessage="1" sqref="E9:E17" xr:uid="{4124E96B-AD4E-4545-8EC4-40ACDF509C7C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3</vt:i4>
      </vt:variant>
    </vt:vector>
  </HeadingPairs>
  <TitlesOfParts>
    <vt:vector size="23" baseType="lpstr">
      <vt:lpstr>Հ3 Մաս 1</vt:lpstr>
      <vt:lpstr>Հ3 Մաս 2</vt:lpstr>
      <vt:lpstr>Հ3 Մաս 3</vt:lpstr>
      <vt:lpstr>Հ3 Մաս 4</vt:lpstr>
      <vt:lpstr>Հ4  </vt:lpstr>
      <vt:lpstr>Հ5 (42013)</vt:lpstr>
      <vt:lpstr>Հ5 (ԿֆՎ)</vt:lpstr>
      <vt:lpstr>Հ6</vt:lpstr>
      <vt:lpstr>Հ7 Ձև1 (Grant Euro)</vt:lpstr>
      <vt:lpstr>Հ7 Ձև1 (Grant AMD) </vt:lpstr>
      <vt:lpstr>Հ7 Ձև2 (Loan 42008 Euro)</vt:lpstr>
      <vt:lpstr>Հ7 Ձև2 (Loan 42008 AMD)</vt:lpstr>
      <vt:lpstr>Հ7 Ձև2</vt:lpstr>
      <vt:lpstr>Հ7 Ձև2 (դրամ)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2025-02-19T07:33:36Z</dcterms:modified>
</cp:coreProperties>
</file>