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/>
  <xr:revisionPtr revIDLastSave="0" documentId="13_ncr:1_{06F80F95-900B-44EA-8806-E6DDFC87D8E3}" xr6:coauthVersionLast="47" xr6:coauthVersionMax="47" xr10:uidLastSave="{00000000-0000-0000-0000-000000000000}"/>
  <bookViews>
    <workbookView xWindow="28680" yWindow="-120" windowWidth="29040" windowHeight="15720" tabRatio="870" activeTab="9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6" sheetId="7" r:id="rId7"/>
    <sheet name="Հ7 Ձև1 USD" sheetId="9" r:id="rId8"/>
    <sheet name="Հ7 Ձև1 EURO" sheetId="26" r:id="rId9"/>
    <sheet name="Հ7 Ձև2" sheetId="27" r:id="rId10"/>
    <sheet name="Հ7 Ձև3" sheetId="20" r:id="rId11"/>
    <sheet name="Հ8" sheetId="10" r:id="rId12"/>
    <sheet name="Հ9" sheetId="12" r:id="rId13"/>
    <sheet name="Հ10" sheetId="16" r:id="rId14"/>
    <sheet name="Հ11" sheetId="25" r:id="rId15"/>
    <sheet name="Լրացման պահանջներ" sheetId="14" r:id="rId16"/>
  </sheets>
  <externalReferences>
    <externalReference r:id="rId17"/>
  </externalReferences>
  <definedNames>
    <definedName name="_xlnm._FilterDatabase" localSheetId="14" hidden="1">Հ11!$B$5:$T$5</definedName>
    <definedName name="_xlnm._FilterDatabase" localSheetId="4" hidden="1">'Հ4  '!$A$8:$M$243</definedName>
    <definedName name="_xlnm._FilterDatabase" localSheetId="8" hidden="1">'Հ7 Ձև1 EURO'!$A$8:$AY$16</definedName>
    <definedName name="_xlnm._FilterDatabase" localSheetId="7" hidden="1">'Հ7 Ձև1 USD'!$A$8:$AY$17</definedName>
    <definedName name="_xlnm._FilterDatabase" localSheetId="9" hidden="1">'Հ7 Ձև2'!$A$8:$AW$20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2'!$H$31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S18" i="27" l="1"/>
  <c r="AM13" i="9"/>
  <c r="W13" i="9"/>
  <c r="F9" i="10"/>
  <c r="E9" i="10"/>
  <c r="D11" i="10"/>
  <c r="F11" i="10"/>
  <c r="E11" i="10"/>
  <c r="E6" i="10"/>
  <c r="F6" i="10"/>
  <c r="D6" i="10"/>
  <c r="V15" i="27"/>
  <c r="X12" i="26"/>
  <c r="M15" i="25"/>
  <c r="M13" i="25"/>
  <c r="M12" i="25"/>
  <c r="M10" i="25"/>
  <c r="M9" i="25"/>
  <c r="M8" i="25"/>
  <c r="M7" i="25"/>
  <c r="M6" i="25"/>
  <c r="M5" i="25"/>
  <c r="L15" i="25"/>
  <c r="L14" i="25"/>
  <c r="L13" i="25"/>
  <c r="L12" i="25"/>
  <c r="L9" i="25"/>
  <c r="L7" i="25"/>
  <c r="L6" i="25"/>
  <c r="L11" i="25"/>
  <c r="L10" i="25"/>
  <c r="L8" i="25"/>
  <c r="L5" i="25"/>
  <c r="O16" i="25" l="1"/>
  <c r="Q16" i="25"/>
  <c r="R16" i="25"/>
  <c r="N16" i="25"/>
  <c r="N6" i="25"/>
  <c r="O6" i="25"/>
  <c r="P6" i="25"/>
  <c r="Q6" i="25"/>
  <c r="R6" i="25"/>
  <c r="N7" i="25"/>
  <c r="O7" i="25"/>
  <c r="P7" i="25"/>
  <c r="Q7" i="25"/>
  <c r="R7" i="25"/>
  <c r="N8" i="25"/>
  <c r="O8" i="25"/>
  <c r="P8" i="25"/>
  <c r="Q8" i="25"/>
  <c r="R8" i="25"/>
  <c r="N9" i="25"/>
  <c r="O9" i="25"/>
  <c r="P9" i="25"/>
  <c r="Q9" i="25"/>
  <c r="R9" i="25"/>
  <c r="N10" i="25"/>
  <c r="O10" i="25"/>
  <c r="P10" i="25"/>
  <c r="Q10" i="25"/>
  <c r="R10" i="25"/>
  <c r="N11" i="25"/>
  <c r="O11" i="25"/>
  <c r="Q11" i="25"/>
  <c r="R11" i="25"/>
  <c r="N12" i="25"/>
  <c r="O12" i="25"/>
  <c r="P12" i="25"/>
  <c r="Q12" i="25"/>
  <c r="R12" i="25"/>
  <c r="N13" i="25"/>
  <c r="O13" i="25"/>
  <c r="P13" i="25"/>
  <c r="Q13" i="25"/>
  <c r="R13" i="25"/>
  <c r="N14" i="25"/>
  <c r="O14" i="25"/>
  <c r="Q14" i="25"/>
  <c r="R14" i="25"/>
  <c r="N15" i="25"/>
  <c r="O15" i="25"/>
  <c r="P15" i="25"/>
  <c r="Q15" i="25"/>
  <c r="R15" i="25"/>
  <c r="O5" i="25"/>
  <c r="P5" i="25"/>
  <c r="Q5" i="25"/>
  <c r="R5" i="25"/>
  <c r="N5" i="25"/>
  <c r="E6" i="25"/>
  <c r="E7" i="25"/>
  <c r="E8" i="25"/>
  <c r="E9" i="25"/>
  <c r="E10" i="25"/>
  <c r="E11" i="25"/>
  <c r="E12" i="25"/>
  <c r="E13" i="25"/>
  <c r="E14" i="25"/>
  <c r="E15" i="25"/>
  <c r="E5" i="25"/>
  <c r="E14" i="12"/>
  <c r="F14" i="12"/>
  <c r="G14" i="12"/>
  <c r="E15" i="12"/>
  <c r="F15" i="12"/>
  <c r="G15" i="12"/>
  <c r="E16" i="12"/>
  <c r="F16" i="12"/>
  <c r="G16" i="12"/>
  <c r="E17" i="12"/>
  <c r="F17" i="12"/>
  <c r="G17" i="12"/>
  <c r="E18" i="12"/>
  <c r="F18" i="12"/>
  <c r="G18" i="12"/>
  <c r="F19" i="12"/>
  <c r="G19" i="12"/>
  <c r="E20" i="12"/>
  <c r="F20" i="12"/>
  <c r="G20" i="12"/>
  <c r="E21" i="12"/>
  <c r="F21" i="12"/>
  <c r="G21" i="12"/>
  <c r="F22" i="12"/>
  <c r="G22" i="12"/>
  <c r="E23" i="12"/>
  <c r="F23" i="12"/>
  <c r="G23" i="12"/>
  <c r="F13" i="12"/>
  <c r="G13" i="12"/>
  <c r="E13" i="12"/>
  <c r="AB16" i="8"/>
  <c r="Z16" i="8" s="1"/>
  <c r="AB15" i="8"/>
  <c r="AA6" i="8"/>
  <c r="AA7" i="8"/>
  <c r="AA8" i="8"/>
  <c r="AA9" i="8"/>
  <c r="AA10" i="8"/>
  <c r="AA11" i="8"/>
  <c r="Z11" i="8" s="1"/>
  <c r="Z6" i="8"/>
  <c r="Z7" i="8"/>
  <c r="Z8" i="8"/>
  <c r="Z9" i="8"/>
  <c r="Z10" i="8"/>
  <c r="Z12" i="8"/>
  <c r="Z13" i="8"/>
  <c r="Z14" i="8"/>
  <c r="Z15" i="8"/>
  <c r="Y16" i="8"/>
  <c r="W16" i="8" s="1"/>
  <c r="Y15" i="8"/>
  <c r="W15" i="8" s="1"/>
  <c r="W6" i="8"/>
  <c r="W12" i="8"/>
  <c r="W13" i="8"/>
  <c r="W14" i="8"/>
  <c r="X6" i="8"/>
  <c r="X7" i="8"/>
  <c r="W7" i="8" s="1"/>
  <c r="X8" i="8"/>
  <c r="W8" i="8" s="1"/>
  <c r="X9" i="8"/>
  <c r="W9" i="8" s="1"/>
  <c r="X10" i="8"/>
  <c r="W10" i="8" s="1"/>
  <c r="X11" i="8"/>
  <c r="W11" i="8" s="1"/>
  <c r="V16" i="8"/>
  <c r="Q16" i="8" s="1"/>
  <c r="U14" i="8"/>
  <c r="Q14" i="8" s="1"/>
  <c r="S13" i="8"/>
  <c r="Q13" i="8" s="1"/>
  <c r="R6" i="8"/>
  <c r="Q6" i="8" s="1"/>
  <c r="R7" i="8"/>
  <c r="Q7" i="8" s="1"/>
  <c r="R8" i="8"/>
  <c r="Q8" i="8" s="1"/>
  <c r="R9" i="8"/>
  <c r="Q9" i="8" s="1"/>
  <c r="R10" i="8"/>
  <c r="Q10" i="8" s="1"/>
  <c r="R11" i="8"/>
  <c r="Q11" i="8" s="1"/>
  <c r="N17" i="8"/>
  <c r="P16" i="8"/>
  <c r="K16" i="8" s="1"/>
  <c r="P15" i="8"/>
  <c r="K15" i="8" s="1"/>
  <c r="O14" i="8"/>
  <c r="O17" i="8" s="1"/>
  <c r="M13" i="8"/>
  <c r="K13" i="8" s="1"/>
  <c r="N12" i="8"/>
  <c r="K12" i="8" s="1"/>
  <c r="L6" i="8"/>
  <c r="K6" i="8" s="1"/>
  <c r="L7" i="8"/>
  <c r="K7" i="8" s="1"/>
  <c r="L8" i="8"/>
  <c r="K8" i="8" s="1"/>
  <c r="L9" i="8"/>
  <c r="K9" i="8" s="1"/>
  <c r="L10" i="8"/>
  <c r="K10" i="8" s="1"/>
  <c r="L11" i="8"/>
  <c r="K11" i="8" s="1"/>
  <c r="J16" i="8"/>
  <c r="E16" i="8"/>
  <c r="J15" i="8"/>
  <c r="E15" i="8" s="1"/>
  <c r="I14" i="8"/>
  <c r="E14" i="8" s="1"/>
  <c r="G13" i="8"/>
  <c r="E13" i="8" s="1"/>
  <c r="H12" i="8"/>
  <c r="E12" i="8"/>
  <c r="F6" i="8"/>
  <c r="F7" i="8"/>
  <c r="E7" i="8" s="1"/>
  <c r="F8" i="8"/>
  <c r="E8" i="8" s="1"/>
  <c r="F9" i="8"/>
  <c r="E9" i="8" s="1"/>
  <c r="F10" i="8"/>
  <c r="E10" i="8" s="1"/>
  <c r="F11" i="8"/>
  <c r="E11" i="8" s="1"/>
  <c r="M17" i="8" l="1"/>
  <c r="K14" i="8"/>
  <c r="E6" i="8"/>
  <c r="P17" i="8"/>
  <c r="K79" i="5" l="1"/>
  <c r="M79" i="5"/>
  <c r="N79" i="5"/>
  <c r="J79" i="5"/>
  <c r="H215" i="22" l="1"/>
  <c r="H217" i="22"/>
  <c r="J216" i="22"/>
  <c r="J215" i="22"/>
  <c r="W13" i="26"/>
  <c r="J214" i="22"/>
  <c r="G207" i="22"/>
  <c r="L216" i="22"/>
  <c r="K216" i="22"/>
  <c r="I216" i="22"/>
  <c r="I213" i="22" s="1"/>
  <c r="I212" i="22" s="1"/>
  <c r="I211" i="22" s="1"/>
  <c r="I209" i="22" s="1"/>
  <c r="I207" i="22" s="1"/>
  <c r="H216" i="22"/>
  <c r="H214" i="22"/>
  <c r="L214" i="22"/>
  <c r="L213" i="22" s="1"/>
  <c r="L212" i="22" s="1"/>
  <c r="L211" i="22" s="1"/>
  <c r="L209" i="22" s="1"/>
  <c r="L207" i="22" s="1"/>
  <c r="K214" i="22"/>
  <c r="K213" i="22" s="1"/>
  <c r="K212" i="22" s="1"/>
  <c r="K211" i="22" s="1"/>
  <c r="K209" i="22" s="1"/>
  <c r="K207" i="22" s="1"/>
  <c r="I214" i="22"/>
  <c r="L144" i="22"/>
  <c r="L143" i="22" s="1"/>
  <c r="K170" i="22"/>
  <c r="L170" i="22"/>
  <c r="L168" i="22"/>
  <c r="L167" i="22" s="1"/>
  <c r="L162" i="22"/>
  <c r="L160" i="22"/>
  <c r="L158" i="22"/>
  <c r="L155" i="22"/>
  <c r="L152" i="22"/>
  <c r="L148" i="22"/>
  <c r="K168" i="22"/>
  <c r="K167" i="22" s="1"/>
  <c r="K162" i="22"/>
  <c r="K160" i="22"/>
  <c r="K158" i="22"/>
  <c r="K155" i="22"/>
  <c r="K152" i="22"/>
  <c r="K148" i="22"/>
  <c r="K144" i="22"/>
  <c r="K143" i="22" s="1"/>
  <c r="J170" i="22"/>
  <c r="J168" i="22"/>
  <c r="J167" i="22" s="1"/>
  <c r="J162" i="22"/>
  <c r="J160" i="22"/>
  <c r="J158" i="22"/>
  <c r="J155" i="22"/>
  <c r="J152" i="22"/>
  <c r="J148" i="22"/>
  <c r="J144" i="22"/>
  <c r="J143" i="22" s="1"/>
  <c r="H231" i="22"/>
  <c r="H229" i="22" s="1"/>
  <c r="I229" i="22"/>
  <c r="H228" i="22"/>
  <c r="H227" i="22" s="1"/>
  <c r="I227" i="22"/>
  <c r="H226" i="22"/>
  <c r="H225" i="22" s="1"/>
  <c r="I225" i="22"/>
  <c r="I241" i="22"/>
  <c r="I239" i="22"/>
  <c r="I170" i="22"/>
  <c r="H170" i="22"/>
  <c r="I168" i="22"/>
  <c r="H168" i="22"/>
  <c r="H167" i="22" s="1"/>
  <c r="I167" i="22"/>
  <c r="I162" i="22"/>
  <c r="H162" i="22"/>
  <c r="I160" i="22"/>
  <c r="H160" i="22"/>
  <c r="I158" i="22"/>
  <c r="H158" i="22"/>
  <c r="I155" i="22"/>
  <c r="H155" i="22"/>
  <c r="I152" i="22"/>
  <c r="H152" i="22"/>
  <c r="I148" i="22"/>
  <c r="H148" i="22"/>
  <c r="I144" i="22"/>
  <c r="H144" i="22"/>
  <c r="H143" i="22" s="1"/>
  <c r="I143" i="22"/>
  <c r="H213" i="22" l="1"/>
  <c r="H212" i="22" s="1"/>
  <c r="H211" i="22" s="1"/>
  <c r="H209" i="22" s="1"/>
  <c r="H207" i="22" s="1"/>
  <c r="J213" i="22"/>
  <c r="J212" i="22" s="1"/>
  <c r="J211" i="22" s="1"/>
  <c r="J209" i="22" s="1"/>
  <c r="J207" i="22" s="1"/>
  <c r="J147" i="22"/>
  <c r="J142" i="22" s="1"/>
  <c r="J141" i="22" s="1"/>
  <c r="J139" i="22" s="1"/>
  <c r="I238" i="22"/>
  <c r="I237" i="22" s="1"/>
  <c r="I236" i="22" s="1"/>
  <c r="I234" i="22" s="1"/>
  <c r="I232" i="22" s="1"/>
  <c r="H142" i="22"/>
  <c r="H141" i="22" s="1"/>
  <c r="H139" i="22" s="1"/>
  <c r="H137" i="22" s="1"/>
  <c r="K147" i="22"/>
  <c r="K142" i="22" s="1"/>
  <c r="K141" i="22" s="1"/>
  <c r="K139" i="22" s="1"/>
  <c r="K137" i="22" s="1"/>
  <c r="L147" i="22"/>
  <c r="L142" i="22" s="1"/>
  <c r="L141" i="22" s="1"/>
  <c r="L139" i="22" s="1"/>
  <c r="H224" i="22"/>
  <c r="H223" i="22" s="1"/>
  <c r="H222" i="22" s="1"/>
  <c r="H220" i="22" s="1"/>
  <c r="H218" i="22" s="1"/>
  <c r="I224" i="22"/>
  <c r="I223" i="22" s="1"/>
  <c r="I222" i="22" s="1"/>
  <c r="I220" i="22" s="1"/>
  <c r="I218" i="22" s="1"/>
  <c r="I147" i="22"/>
  <c r="I142" i="22" s="1"/>
  <c r="I141" i="22" s="1"/>
  <c r="I139" i="22" s="1"/>
  <c r="I137" i="22" s="1"/>
  <c r="I194" i="22"/>
  <c r="H194" i="22"/>
  <c r="I192" i="22"/>
  <c r="H192" i="22"/>
  <c r="L134" i="22"/>
  <c r="L132" i="22"/>
  <c r="L131" i="22" s="1"/>
  <c r="L126" i="22"/>
  <c r="L124" i="22"/>
  <c r="L122" i="22"/>
  <c r="L119" i="22"/>
  <c r="L116" i="22"/>
  <c r="L112" i="22"/>
  <c r="L108" i="22"/>
  <c r="L107" i="22" s="1"/>
  <c r="J132" i="22"/>
  <c r="I191" i="22" l="1"/>
  <c r="I190" i="22" s="1"/>
  <c r="I189" i="22" s="1"/>
  <c r="I187" i="22" s="1"/>
  <c r="I185" i="22" s="1"/>
  <c r="H191" i="22"/>
  <c r="H190" i="22" s="1"/>
  <c r="H189" i="22" s="1"/>
  <c r="H187" i="22" s="1"/>
  <c r="H185" i="22" s="1"/>
  <c r="L137" i="22"/>
  <c r="J137" i="22"/>
  <c r="L111" i="22"/>
  <c r="L106" i="22" s="1"/>
  <c r="L105" i="22" s="1"/>
  <c r="L103" i="22" s="1"/>
  <c r="L101" i="22" l="1"/>
  <c r="J108" i="22" l="1"/>
  <c r="J107" i="22" s="1"/>
  <c r="J134" i="22"/>
  <c r="J131" i="22"/>
  <c r="J126" i="22"/>
  <c r="J124" i="22"/>
  <c r="J122" i="22"/>
  <c r="J119" i="22"/>
  <c r="J116" i="22"/>
  <c r="J112" i="22"/>
  <c r="L96" i="22"/>
  <c r="L95" i="22" s="1"/>
  <c r="L72" i="22"/>
  <c r="L71" i="22" s="1"/>
  <c r="L76" i="22"/>
  <c r="L80" i="22"/>
  <c r="L83" i="22"/>
  <c r="L86" i="22"/>
  <c r="L88" i="22"/>
  <c r="L90" i="22"/>
  <c r="L98" i="22"/>
  <c r="K98" i="22"/>
  <c r="K96" i="22"/>
  <c r="K95" i="22"/>
  <c r="K90" i="22"/>
  <c r="K88" i="22"/>
  <c r="K86" i="22"/>
  <c r="K83" i="22"/>
  <c r="K80" i="22"/>
  <c r="K76" i="22"/>
  <c r="K72" i="22"/>
  <c r="K71" i="22" s="1"/>
  <c r="J90" i="22"/>
  <c r="H64" i="22"/>
  <c r="H62" i="22" s="1"/>
  <c r="L62" i="22"/>
  <c r="K62" i="22"/>
  <c r="J62" i="22"/>
  <c r="I62" i="22"/>
  <c r="L60" i="22"/>
  <c r="L59" i="22" s="1"/>
  <c r="K60" i="22"/>
  <c r="K59" i="22" s="1"/>
  <c r="J60" i="22"/>
  <c r="J59" i="22" s="1"/>
  <c r="I60" i="22"/>
  <c r="I59" i="22" s="1"/>
  <c r="H60" i="22"/>
  <c r="H59" i="22" s="1"/>
  <c r="J57" i="22"/>
  <c r="J55" i="22"/>
  <c r="L52" i="22"/>
  <c r="L51" i="22" s="1"/>
  <c r="K52" i="22"/>
  <c r="K51" i="22" s="1"/>
  <c r="J52" i="22"/>
  <c r="J51" i="22" s="1"/>
  <c r="I52" i="22"/>
  <c r="I51" i="22" s="1"/>
  <c r="AV9" i="9"/>
  <c r="AN9" i="9"/>
  <c r="AK9" i="9"/>
  <c r="AH9" i="9"/>
  <c r="AT10" i="27"/>
  <c r="AS10" i="27"/>
  <c r="AE10" i="27"/>
  <c r="Y10" i="27"/>
  <c r="V10" i="27"/>
  <c r="J10" i="27"/>
  <c r="S10" i="27" s="1"/>
  <c r="AD9" i="27"/>
  <c r="AK9" i="27"/>
  <c r="V9" i="27"/>
  <c r="U9" i="27"/>
  <c r="J9" i="27"/>
  <c r="S9" i="27" s="1"/>
  <c r="I9" i="27"/>
  <c r="R9" i="27" s="1"/>
  <c r="H34" i="22"/>
  <c r="I42" i="22"/>
  <c r="H42" i="22"/>
  <c r="I39" i="22"/>
  <c r="H39" i="22"/>
  <c r="I37" i="22"/>
  <c r="H37" i="22"/>
  <c r="I34" i="22"/>
  <c r="I31" i="22"/>
  <c r="H31" i="22"/>
  <c r="I27" i="22"/>
  <c r="H27" i="22"/>
  <c r="I23" i="22"/>
  <c r="I22" i="22" s="1"/>
  <c r="I21" i="22" s="1"/>
  <c r="H23" i="22"/>
  <c r="H22" i="22" s="1"/>
  <c r="H21" i="22" s="1"/>
  <c r="I50" i="22" l="1"/>
  <c r="I49" i="22" s="1"/>
  <c r="I47" i="22" s="1"/>
  <c r="I45" i="22" s="1"/>
  <c r="J111" i="22"/>
  <c r="J106" i="22" s="1"/>
  <c r="J105" i="22" s="1"/>
  <c r="J103" i="22" s="1"/>
  <c r="J101" i="22" s="1"/>
  <c r="K75" i="22"/>
  <c r="K70" i="22" s="1"/>
  <c r="K69" i="22" s="1"/>
  <c r="K67" i="22" s="1"/>
  <c r="K65" i="22" s="1"/>
  <c r="L75" i="22"/>
  <c r="L70" i="22" s="1"/>
  <c r="L69" i="22" s="1"/>
  <c r="L67" i="22" s="1"/>
  <c r="L65" i="22" s="1"/>
  <c r="J50" i="22"/>
  <c r="J49" i="22" s="1"/>
  <c r="J47" i="22" s="1"/>
  <c r="J45" i="22" s="1"/>
  <c r="H50" i="22"/>
  <c r="H49" i="22" s="1"/>
  <c r="H47" i="22" s="1"/>
  <c r="H45" i="22" s="1"/>
  <c r="L50" i="22"/>
  <c r="L49" i="22" s="1"/>
  <c r="L47" i="22" s="1"/>
  <c r="L45" i="22" s="1"/>
  <c r="I26" i="22"/>
  <c r="I20" i="22" s="1"/>
  <c r="I18" i="22" s="1"/>
  <c r="I16" i="22" s="1"/>
  <c r="K50" i="22"/>
  <c r="K49" i="22" s="1"/>
  <c r="K47" i="22" s="1"/>
  <c r="K45" i="22" s="1"/>
  <c r="H26" i="22"/>
  <c r="H20" i="22" s="1"/>
  <c r="H18" i="22" s="1"/>
  <c r="H16" i="22" s="1"/>
  <c r="U9" i="9" l="1"/>
  <c r="G10" i="27"/>
  <c r="H204" i="22" l="1"/>
  <c r="H206" i="22"/>
  <c r="H8" i="1" l="1"/>
  <c r="I8" i="1"/>
  <c r="J8" i="1"/>
  <c r="K8" i="1"/>
  <c r="G8" i="1"/>
  <c r="K110" i="5"/>
  <c r="M110" i="5"/>
  <c r="N110" i="5"/>
  <c r="J110" i="5"/>
  <c r="K123" i="5"/>
  <c r="L123" i="5"/>
  <c r="M123" i="5"/>
  <c r="N123" i="5"/>
  <c r="J123" i="5"/>
  <c r="C123" i="5"/>
  <c r="C110" i="5"/>
  <c r="K101" i="5"/>
  <c r="L101" i="5"/>
  <c r="M101" i="5"/>
  <c r="N101" i="5"/>
  <c r="J101" i="5"/>
  <c r="C101" i="5"/>
  <c r="C7" i="7" l="1"/>
  <c r="N18" i="25"/>
  <c r="F5" i="8"/>
  <c r="AA5" i="8"/>
  <c r="Z5" i="8" s="1"/>
  <c r="G7" i="7"/>
  <c r="R18" i="25"/>
  <c r="F7" i="7"/>
  <c r="X5" i="8"/>
  <c r="W5" i="8" s="1"/>
  <c r="Q18" i="25"/>
  <c r="E7" i="7"/>
  <c r="R5" i="8"/>
  <c r="Q5" i="8" s="1"/>
  <c r="P18" i="25"/>
  <c r="D7" i="7"/>
  <c r="L5" i="8"/>
  <c r="O18" i="25"/>
  <c r="H15" i="22"/>
  <c r="L15" i="22"/>
  <c r="K15" i="22"/>
  <c r="J15" i="22"/>
  <c r="I15" i="22"/>
  <c r="K90" i="5"/>
  <c r="L90" i="5"/>
  <c r="M90" i="5"/>
  <c r="N90" i="5"/>
  <c r="J90" i="5"/>
  <c r="C90" i="5"/>
  <c r="R17" i="25" l="1"/>
  <c r="R19" i="25" s="1"/>
  <c r="R20" i="25" s="1"/>
  <c r="K5" i="8"/>
  <c r="L17" i="8"/>
  <c r="E5" i="8"/>
  <c r="E17" i="8" s="1"/>
  <c r="F17" i="8"/>
  <c r="N17" i="25"/>
  <c r="N19" i="25" s="1"/>
  <c r="N20" i="25" s="1"/>
  <c r="Q17" i="25"/>
  <c r="Q19" i="25" s="1"/>
  <c r="Q20" i="25" s="1"/>
  <c r="O17" i="25"/>
  <c r="O19" i="25" s="1"/>
  <c r="O20" i="25" s="1"/>
  <c r="C79" i="5"/>
  <c r="K72" i="5"/>
  <c r="L72" i="5"/>
  <c r="M72" i="5"/>
  <c r="N72" i="5"/>
  <c r="J72" i="5"/>
  <c r="C72" i="5"/>
  <c r="K63" i="5" l="1"/>
  <c r="L63" i="5"/>
  <c r="M63" i="5"/>
  <c r="N63" i="5"/>
  <c r="J63" i="5"/>
  <c r="C63" i="5"/>
  <c r="K54" i="5"/>
  <c r="L54" i="5"/>
  <c r="M54" i="5"/>
  <c r="N54" i="5"/>
  <c r="J54" i="5"/>
  <c r="C54" i="5"/>
  <c r="K46" i="5"/>
  <c r="L46" i="5"/>
  <c r="M46" i="5"/>
  <c r="N46" i="5"/>
  <c r="J46" i="5"/>
  <c r="C46" i="5"/>
  <c r="K38" i="5"/>
  <c r="J38" i="5"/>
  <c r="C30" i="5"/>
  <c r="C38" i="5"/>
  <c r="N38" i="5"/>
  <c r="K30" i="5"/>
  <c r="M30" i="5"/>
  <c r="N30" i="5"/>
  <c r="J30" i="5"/>
  <c r="J11" i="1" l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K9" i="1"/>
  <c r="J9" i="1"/>
  <c r="I11" i="1"/>
  <c r="I12" i="1"/>
  <c r="I13" i="1"/>
  <c r="I14" i="1"/>
  <c r="I16" i="1"/>
  <c r="I17" i="1"/>
  <c r="I19" i="1"/>
  <c r="H10" i="1"/>
  <c r="H11" i="1"/>
  <c r="H12" i="1"/>
  <c r="H13" i="1"/>
  <c r="H14" i="1"/>
  <c r="H15" i="1"/>
  <c r="H16" i="1"/>
  <c r="H17" i="1"/>
  <c r="H18" i="1"/>
  <c r="H19" i="1"/>
  <c r="H9" i="1"/>
  <c r="G10" i="1"/>
  <c r="G11" i="1"/>
  <c r="G12" i="1"/>
  <c r="G13" i="1"/>
  <c r="G14" i="1"/>
  <c r="G15" i="1"/>
  <c r="G16" i="1"/>
  <c r="G17" i="1"/>
  <c r="G18" i="1"/>
  <c r="G19" i="1"/>
  <c r="G9" i="1"/>
  <c r="AU11" i="26" l="1"/>
  <c r="AU12" i="26"/>
  <c r="AV12" i="26"/>
  <c r="AU9" i="26"/>
  <c r="AI13" i="26"/>
  <c r="AJ13" i="26" s="1"/>
  <c r="AV13" i="26" s="1"/>
  <c r="AP11" i="26"/>
  <c r="AM11" i="26"/>
  <c r="AV11" i="26" s="1"/>
  <c r="AP10" i="26"/>
  <c r="AO10" i="26"/>
  <c r="AN10" i="26" s="1"/>
  <c r="AM10" i="26"/>
  <c r="AL10" i="26"/>
  <c r="AJ10" i="26"/>
  <c r="AV10" i="26" s="1"/>
  <c r="AI10" i="26"/>
  <c r="AH10" i="26" s="1"/>
  <c r="AG9" i="26"/>
  <c r="AJ9" i="26"/>
  <c r="AV9" i="26" s="1"/>
  <c r="AF10" i="26"/>
  <c r="AG10" i="26"/>
  <c r="AF11" i="26"/>
  <c r="AG11" i="26"/>
  <c r="AF12" i="26"/>
  <c r="AG12" i="26"/>
  <c r="AF13" i="26"/>
  <c r="AG13" i="26"/>
  <c r="AF9" i="26"/>
  <c r="AU13" i="9"/>
  <c r="AU10" i="9"/>
  <c r="AV10" i="9"/>
  <c r="AU11" i="9"/>
  <c r="AV11" i="9"/>
  <c r="AU12" i="9"/>
  <c r="AV12" i="9"/>
  <c r="AV13" i="9"/>
  <c r="AU14" i="9"/>
  <c r="AV14" i="9"/>
  <c r="AU9" i="9"/>
  <c r="AF12" i="9"/>
  <c r="AO14" i="9"/>
  <c r="AL14" i="9"/>
  <c r="AM14" i="9" s="1"/>
  <c r="AK14" i="9" s="1"/>
  <c r="AI14" i="9"/>
  <c r="AP14" i="9"/>
  <c r="AN14" i="9" s="1"/>
  <c r="AP13" i="9"/>
  <c r="AN13" i="9" s="1"/>
  <c r="AJ13" i="9"/>
  <c r="AI13" i="9"/>
  <c r="X12" i="9"/>
  <c r="AG12" i="9"/>
  <c r="BB12" i="9"/>
  <c r="AJ12" i="9"/>
  <c r="AP11" i="9"/>
  <c r="AO11" i="9"/>
  <c r="AM11" i="9"/>
  <c r="AK11" i="9" s="1"/>
  <c r="AL11" i="9"/>
  <c r="AJ11" i="9"/>
  <c r="AI11" i="9"/>
  <c r="AN11" i="9"/>
  <c r="AI10" i="9"/>
  <c r="AF10" i="9"/>
  <c r="AG10" i="9"/>
  <c r="AP10" i="9"/>
  <c r="AM10" i="9"/>
  <c r="AK10" i="9" s="1"/>
  <c r="AO10" i="9"/>
  <c r="AL10" i="9"/>
  <c r="AJ10" i="9"/>
  <c r="AH10" i="9"/>
  <c r="AN10" i="9"/>
  <c r="AU13" i="26" l="1"/>
  <c r="AU10" i="26"/>
  <c r="AK10" i="26"/>
  <c r="AJ14" i="9"/>
  <c r="AK13" i="9"/>
  <c r="AH13" i="9"/>
  <c r="AH11" i="9"/>
  <c r="AF11" i="9"/>
  <c r="AG11" i="9"/>
  <c r="AF13" i="9"/>
  <c r="AS11" i="27"/>
  <c r="AS12" i="27"/>
  <c r="AT12" i="27"/>
  <c r="AS13" i="27"/>
  <c r="AT13" i="27"/>
  <c r="AS14" i="27"/>
  <c r="AT14" i="27"/>
  <c r="AS15" i="27"/>
  <c r="AT15" i="27"/>
  <c r="AS16" i="27"/>
  <c r="AT16" i="27"/>
  <c r="AS17" i="27"/>
  <c r="AS19" i="27"/>
  <c r="AT9" i="27"/>
  <c r="AS9" i="27"/>
  <c r="AH18" i="27"/>
  <c r="AN19" i="27"/>
  <c r="AN18" i="27"/>
  <c r="AK19" i="27"/>
  <c r="AK18" i="27"/>
  <c r="AH19" i="27"/>
  <c r="AH17" i="27"/>
  <c r="AT17" i="27" s="1"/>
  <c r="AH11" i="27"/>
  <c r="AT11" i="27" s="1"/>
  <c r="AA12" i="27"/>
  <c r="Z12" i="27" s="1"/>
  <c r="X12" i="27"/>
  <c r="V12" i="27"/>
  <c r="AE12" i="27" s="1"/>
  <c r="U12" i="27"/>
  <c r="AD12" i="27" s="1"/>
  <c r="M12" i="27"/>
  <c r="K12" i="27"/>
  <c r="O10" i="26"/>
  <c r="G12" i="27"/>
  <c r="F12" i="27"/>
  <c r="R12" i="27" s="1"/>
  <c r="AO12" i="27"/>
  <c r="AL12" i="27"/>
  <c r="AI12" i="27"/>
  <c r="AF12" i="27"/>
  <c r="N12" i="27"/>
  <c r="H12" i="27"/>
  <c r="I10" i="26"/>
  <c r="Q10" i="26"/>
  <c r="T10" i="26" s="1"/>
  <c r="R10" i="26"/>
  <c r="AT19" i="27" l="1"/>
  <c r="AT18" i="27"/>
  <c r="U10" i="26"/>
  <c r="AH14" i="9"/>
  <c r="AR12" i="27"/>
  <c r="E12" i="27"/>
  <c r="W12" i="27"/>
  <c r="AC12" i="27"/>
  <c r="T12" i="27"/>
  <c r="S12" i="27"/>
  <c r="Q12" i="27" s="1"/>
  <c r="AT10" i="26" l="1"/>
  <c r="AQ10" i="26"/>
  <c r="AE10" i="26"/>
  <c r="AB10" i="26"/>
  <c r="Y10" i="26"/>
  <c r="V10" i="26"/>
  <c r="S10" i="26"/>
  <c r="P10" i="26"/>
  <c r="M10" i="26"/>
  <c r="J10" i="26"/>
  <c r="G10" i="26"/>
  <c r="AB19" i="27" l="1"/>
  <c r="AA19" i="27"/>
  <c r="Y19" i="27"/>
  <c r="X19" i="27"/>
  <c r="AB13" i="27"/>
  <c r="AA13" i="27"/>
  <c r="Y13" i="27"/>
  <c r="X13" i="27"/>
  <c r="V13" i="27"/>
  <c r="U13" i="27"/>
  <c r="M13" i="27"/>
  <c r="O11" i="9"/>
  <c r="L11" i="9"/>
  <c r="J13" i="27" s="1"/>
  <c r="F13" i="27"/>
  <c r="R13" i="27" s="1"/>
  <c r="W14" i="9" l="1"/>
  <c r="X14" i="9"/>
  <c r="R14" i="9"/>
  <c r="Q14" i="9"/>
  <c r="R11" i="9"/>
  <c r="Q11" i="9"/>
  <c r="T11" i="9" s="1"/>
  <c r="I11" i="9"/>
  <c r="G13" i="27" s="1"/>
  <c r="S13" i="27" s="1"/>
  <c r="AG14" i="9" l="1"/>
  <c r="V19" i="27"/>
  <c r="AF14" i="9"/>
  <c r="U19" i="27"/>
  <c r="U11" i="9"/>
  <c r="S11" i="9" s="1"/>
  <c r="I14" i="9"/>
  <c r="H14" i="9"/>
  <c r="J11" i="9"/>
  <c r="AT11" i="9"/>
  <c r="AQ11" i="9"/>
  <c r="AE11" i="9"/>
  <c r="AB11" i="9"/>
  <c r="Y11" i="9"/>
  <c r="V11" i="9"/>
  <c r="P11" i="9"/>
  <c r="M11" i="9"/>
  <c r="G11" i="9"/>
  <c r="S14" i="27"/>
  <c r="R14" i="27"/>
  <c r="AR14" i="27"/>
  <c r="AO14" i="27"/>
  <c r="AL14" i="27"/>
  <c r="AI14" i="27"/>
  <c r="AF14" i="27"/>
  <c r="AE14" i="27"/>
  <c r="AD14" i="27"/>
  <c r="AC14" i="27"/>
  <c r="Z14" i="27"/>
  <c r="W14" i="27"/>
  <c r="T14" i="27"/>
  <c r="N14" i="27"/>
  <c r="K14" i="27"/>
  <c r="H14" i="27"/>
  <c r="E14" i="27"/>
  <c r="I11" i="26"/>
  <c r="X11" i="26"/>
  <c r="T11" i="26"/>
  <c r="R11" i="26"/>
  <c r="Q14" i="27" l="1"/>
  <c r="F19" i="27"/>
  <c r="R19" i="27" s="1"/>
  <c r="T14" i="9"/>
  <c r="G19" i="27"/>
  <c r="S19" i="27" s="1"/>
  <c r="U14" i="9"/>
  <c r="U11" i="26"/>
  <c r="AA11" i="26" s="1"/>
  <c r="Y11" i="26" s="1"/>
  <c r="G17" i="27"/>
  <c r="F17" i="27"/>
  <c r="X13" i="26"/>
  <c r="R12" i="26"/>
  <c r="Q12" i="26"/>
  <c r="R13" i="26"/>
  <c r="R9" i="26"/>
  <c r="Q9" i="26"/>
  <c r="Q13" i="26"/>
  <c r="T13" i="26" s="1"/>
  <c r="O13" i="26"/>
  <c r="U13" i="26" s="1"/>
  <c r="N13" i="26"/>
  <c r="L13" i="26"/>
  <c r="J17" i="27" s="1"/>
  <c r="K13" i="26"/>
  <c r="I17" i="27" s="1"/>
  <c r="AT11" i="26"/>
  <c r="AQ11" i="26"/>
  <c r="AN11" i="26"/>
  <c r="AK11" i="26"/>
  <c r="AH11" i="26"/>
  <c r="AE11" i="26"/>
  <c r="AB11" i="26"/>
  <c r="V11" i="26"/>
  <c r="P11" i="26"/>
  <c r="M11" i="26"/>
  <c r="J11" i="26"/>
  <c r="G11" i="26"/>
  <c r="S11" i="26" l="1"/>
  <c r="S17" i="27"/>
  <c r="R17" i="27"/>
  <c r="P15" i="27"/>
  <c r="O15" i="27"/>
  <c r="P9" i="27"/>
  <c r="O9" i="27"/>
  <c r="W12" i="26"/>
  <c r="K12" i="26"/>
  <c r="L12" i="26" s="1"/>
  <c r="J15" i="27" s="1"/>
  <c r="H12" i="26"/>
  <c r="F15" i="27" s="1"/>
  <c r="H9" i="26"/>
  <c r="F9" i="27" s="1"/>
  <c r="I15" i="27" l="1"/>
  <c r="R15" i="27" s="1"/>
  <c r="T12" i="26"/>
  <c r="T9" i="26"/>
  <c r="H14" i="26"/>
  <c r="O12" i="26" l="1"/>
  <c r="AD10" i="27" l="1"/>
  <c r="AD13" i="27"/>
  <c r="AE13" i="27"/>
  <c r="AD15" i="27"/>
  <c r="AE15" i="27"/>
  <c r="AD16" i="27"/>
  <c r="AD17" i="27"/>
  <c r="AE17" i="27"/>
  <c r="AD19" i="27"/>
  <c r="AE19" i="27"/>
  <c r="AE9" i="27"/>
  <c r="J98" i="22"/>
  <c r="J96" i="22"/>
  <c r="J95" i="22" s="1"/>
  <c r="J88" i="22"/>
  <c r="J86" i="22"/>
  <c r="J83" i="22"/>
  <c r="J80" i="22"/>
  <c r="J76" i="22"/>
  <c r="J72" i="22"/>
  <c r="J71" i="22" s="1"/>
  <c r="H99" i="22"/>
  <c r="H98" i="22" s="1"/>
  <c r="I98" i="22"/>
  <c r="H97" i="22"/>
  <c r="I96" i="22"/>
  <c r="I95" i="22" s="1"/>
  <c r="H96" i="22"/>
  <c r="H95" i="22" s="1"/>
  <c r="H94" i="22"/>
  <c r="H91" i="22"/>
  <c r="I90" i="22"/>
  <c r="I88" i="22"/>
  <c r="H88" i="22"/>
  <c r="I86" i="22"/>
  <c r="H86" i="22"/>
  <c r="H85" i="22"/>
  <c r="H84" i="22"/>
  <c r="I83" i="22"/>
  <c r="H82" i="22"/>
  <c r="H81" i="22"/>
  <c r="H80" i="22" s="1"/>
  <c r="I80" i="22"/>
  <c r="H79" i="22"/>
  <c r="H78" i="22"/>
  <c r="H77" i="22"/>
  <c r="I76" i="22"/>
  <c r="H74" i="22"/>
  <c r="H73" i="22"/>
  <c r="I72" i="22"/>
  <c r="I71" i="22" s="1"/>
  <c r="H72" i="22"/>
  <c r="H71" i="22" s="1"/>
  <c r="H83" i="22" l="1"/>
  <c r="H90" i="22"/>
  <c r="J75" i="22"/>
  <c r="J70" i="22" s="1"/>
  <c r="J69" i="22" s="1"/>
  <c r="J67" i="22" s="1"/>
  <c r="J65" i="22" s="1"/>
  <c r="H76" i="22"/>
  <c r="I75" i="22"/>
  <c r="I70" i="22" s="1"/>
  <c r="I69" i="22" s="1"/>
  <c r="I67" i="22" s="1"/>
  <c r="I65" i="22" s="1"/>
  <c r="H75" i="22" l="1"/>
  <c r="H70" i="22" s="1"/>
  <c r="H69" i="22" s="1"/>
  <c r="H67" i="22" s="1"/>
  <c r="H65" i="22" s="1"/>
  <c r="AB18" i="27"/>
  <c r="AA18" i="27"/>
  <c r="Y18" i="27"/>
  <c r="X18" i="27"/>
  <c r="U18" i="27"/>
  <c r="AD18" i="27" s="1"/>
  <c r="P18" i="27"/>
  <c r="O18" i="27"/>
  <c r="J18" i="27"/>
  <c r="I18" i="27"/>
  <c r="V11" i="27"/>
  <c r="AE11" i="27" s="1"/>
  <c r="U11" i="27"/>
  <c r="AD11" i="27" s="1"/>
  <c r="P11" i="27"/>
  <c r="O11" i="27"/>
  <c r="Y11" i="27" l="1"/>
  <c r="AB11" i="27" s="1"/>
  <c r="I11" i="27"/>
  <c r="X13" i="9" l="1"/>
  <c r="AB10" i="9"/>
  <c r="I10" i="9"/>
  <c r="G11" i="27" s="1"/>
  <c r="R13" i="9"/>
  <c r="Q13" i="9"/>
  <c r="R10" i="9"/>
  <c r="Q10" i="9"/>
  <c r="V18" i="27" l="1"/>
  <c r="AE18" i="27" s="1"/>
  <c r="AG13" i="9"/>
  <c r="L10" i="9"/>
  <c r="I13" i="9"/>
  <c r="H13" i="9"/>
  <c r="H10" i="9"/>
  <c r="G18" i="27" l="1"/>
  <c r="S18" i="27" s="1"/>
  <c r="U13" i="9"/>
  <c r="T10" i="9"/>
  <c r="Z10" i="9" s="1"/>
  <c r="Y10" i="9" s="1"/>
  <c r="F11" i="27"/>
  <c r="R11" i="27" s="1"/>
  <c r="X11" i="27" s="1"/>
  <c r="F18" i="27"/>
  <c r="R18" i="27" s="1"/>
  <c r="T13" i="9"/>
  <c r="J11" i="27"/>
  <c r="S11" i="27" s="1"/>
  <c r="U10" i="9"/>
  <c r="AT10" i="9"/>
  <c r="AQ10" i="9"/>
  <c r="AE10" i="9"/>
  <c r="V10" i="9"/>
  <c r="P10" i="9"/>
  <c r="M10" i="9"/>
  <c r="J10" i="9"/>
  <c r="G10" i="9"/>
  <c r="P16" i="27"/>
  <c r="O16" i="27"/>
  <c r="P10" i="27"/>
  <c r="O10" i="27"/>
  <c r="Q9" i="9"/>
  <c r="S10" i="9" l="1"/>
  <c r="J16" i="27"/>
  <c r="K12" i="9"/>
  <c r="H12" i="9"/>
  <c r="F16" i="27" s="1"/>
  <c r="K9" i="9"/>
  <c r="R12" i="9"/>
  <c r="Q12" i="9"/>
  <c r="R9" i="9"/>
  <c r="O9" i="9"/>
  <c r="O12" i="9"/>
  <c r="N12" i="9"/>
  <c r="N9" i="9"/>
  <c r="H9" i="9"/>
  <c r="F10" i="27" s="1"/>
  <c r="I12" i="9" l="1"/>
  <c r="G16" i="27" s="1"/>
  <c r="S16" i="27" s="1"/>
  <c r="V16" i="27" s="1"/>
  <c r="AE16" i="27" s="1"/>
  <c r="I10" i="27"/>
  <c r="R10" i="27" s="1"/>
  <c r="T12" i="9"/>
  <c r="I16" i="27"/>
  <c r="R16" i="27" s="1"/>
  <c r="T9" i="9"/>
  <c r="I12" i="26"/>
  <c r="I9" i="26"/>
  <c r="L14" i="22"/>
  <c r="L13" i="22" s="1"/>
  <c r="L12" i="22" s="1"/>
  <c r="L11" i="22" s="1"/>
  <c r="L9" i="22" s="1"/>
  <c r="H239" i="22"/>
  <c r="H241" i="22"/>
  <c r="L194" i="22"/>
  <c r="K194" i="22"/>
  <c r="J194" i="22"/>
  <c r="L192" i="22"/>
  <c r="K192" i="22"/>
  <c r="J192" i="22"/>
  <c r="L182" i="22"/>
  <c r="L203" i="22"/>
  <c r="L205" i="22"/>
  <c r="K203" i="22"/>
  <c r="K205" i="22"/>
  <c r="H180" i="22"/>
  <c r="H179" i="22" s="1"/>
  <c r="H182" i="22"/>
  <c r="I182" i="22"/>
  <c r="H134" i="22"/>
  <c r="H116" i="22"/>
  <c r="I116" i="22"/>
  <c r="H119" i="22"/>
  <c r="I119" i="22"/>
  <c r="H122" i="22"/>
  <c r="I122" i="22"/>
  <c r="H124" i="22"/>
  <c r="I124" i="22"/>
  <c r="H126" i="22"/>
  <c r="I126" i="22"/>
  <c r="H108" i="22"/>
  <c r="H107" i="22" s="1"/>
  <c r="I108" i="22"/>
  <c r="I107" i="22" s="1"/>
  <c r="K108" i="22"/>
  <c r="K107" i="22" s="1"/>
  <c r="H112" i="22"/>
  <c r="I112" i="22"/>
  <c r="K112" i="22"/>
  <c r="L42" i="22"/>
  <c r="K42" i="22"/>
  <c r="J42" i="22"/>
  <c r="L39" i="22"/>
  <c r="K39" i="22"/>
  <c r="J39" i="22"/>
  <c r="L37" i="22"/>
  <c r="K37" i="22"/>
  <c r="J37" i="22"/>
  <c r="L34" i="22"/>
  <c r="K34" i="22"/>
  <c r="J34" i="22"/>
  <c r="L31" i="22"/>
  <c r="K31" i="22"/>
  <c r="J31" i="22"/>
  <c r="L27" i="22"/>
  <c r="K27" i="22"/>
  <c r="J27" i="22"/>
  <c r="L23" i="22"/>
  <c r="L22" i="22" s="1"/>
  <c r="L21" i="22" s="1"/>
  <c r="K23" i="22"/>
  <c r="K22" i="22" s="1"/>
  <c r="K21" i="22" s="1"/>
  <c r="J23" i="22"/>
  <c r="J22" i="22" s="1"/>
  <c r="J14" i="22"/>
  <c r="J13" i="22" s="1"/>
  <c r="J12" i="22" s="1"/>
  <c r="J11" i="22" s="1"/>
  <c r="J9" i="22" s="1"/>
  <c r="L241" i="22"/>
  <c r="K241" i="22"/>
  <c r="J241" i="22"/>
  <c r="L239" i="22"/>
  <c r="K239" i="22"/>
  <c r="J239" i="22"/>
  <c r="L229" i="22"/>
  <c r="K229" i="22"/>
  <c r="J229" i="22"/>
  <c r="L227" i="22"/>
  <c r="K227" i="22"/>
  <c r="J227" i="22"/>
  <c r="L225" i="22"/>
  <c r="K225" i="22"/>
  <c r="J225" i="22"/>
  <c r="H205" i="22"/>
  <c r="J205" i="22"/>
  <c r="I205" i="22"/>
  <c r="H203" i="22"/>
  <c r="J203" i="22"/>
  <c r="I203" i="22"/>
  <c r="K182" i="22"/>
  <c r="J182" i="22"/>
  <c r="L180" i="22"/>
  <c r="L179" i="22" s="1"/>
  <c r="L178" i="22" s="1"/>
  <c r="L177" i="22" s="1"/>
  <c r="K180" i="22"/>
  <c r="K179" i="22" s="1"/>
  <c r="J180" i="22"/>
  <c r="J179" i="22" s="1"/>
  <c r="I180" i="22"/>
  <c r="I179" i="22" s="1"/>
  <c r="K134" i="22"/>
  <c r="I134" i="22"/>
  <c r="K132" i="22"/>
  <c r="K131" i="22" s="1"/>
  <c r="I132" i="22"/>
  <c r="I131" i="22" s="1"/>
  <c r="H132" i="22"/>
  <c r="H131" i="22" s="1"/>
  <c r="K126" i="22"/>
  <c r="K124" i="22"/>
  <c r="K122" i="22"/>
  <c r="K119" i="22"/>
  <c r="K116" i="22"/>
  <c r="K14" i="22"/>
  <c r="K13" i="22" s="1"/>
  <c r="K12" i="22" s="1"/>
  <c r="K11" i="22" s="1"/>
  <c r="K9" i="22" s="1"/>
  <c r="I14" i="22"/>
  <c r="I13" i="22" s="1"/>
  <c r="I12" i="22" s="1"/>
  <c r="I11" i="22" s="1"/>
  <c r="I9" i="22" s="1"/>
  <c r="H14" i="22"/>
  <c r="H13" i="22" s="1"/>
  <c r="H12" i="22" s="1"/>
  <c r="H11" i="22" s="1"/>
  <c r="H9" i="22" s="1"/>
  <c r="H7" i="22" l="1"/>
  <c r="H6" i="22" s="1"/>
  <c r="H243" i="22"/>
  <c r="L7" i="22"/>
  <c r="L243" i="22"/>
  <c r="K7" i="22"/>
  <c r="K243" i="22"/>
  <c r="H178" i="22"/>
  <c r="H177" i="22" s="1"/>
  <c r="H175" i="22" s="1"/>
  <c r="H173" i="22" s="1"/>
  <c r="K178" i="22"/>
  <c r="K177" i="22" s="1"/>
  <c r="K175" i="22" s="1"/>
  <c r="K173" i="22" s="1"/>
  <c r="J178" i="22"/>
  <c r="J177" i="22" s="1"/>
  <c r="J175" i="22" s="1"/>
  <c r="J173" i="22" s="1"/>
  <c r="I178" i="22"/>
  <c r="I177" i="22" s="1"/>
  <c r="I175" i="22" s="1"/>
  <c r="I173" i="22" s="1"/>
  <c r="J191" i="22"/>
  <c r="J190" i="22" s="1"/>
  <c r="J189" i="22" s="1"/>
  <c r="J187" i="22" s="1"/>
  <c r="J185" i="22" s="1"/>
  <c r="K191" i="22"/>
  <c r="K190" i="22" s="1"/>
  <c r="K189" i="22" s="1"/>
  <c r="K187" i="22" s="1"/>
  <c r="K185" i="22" s="1"/>
  <c r="U12" i="9"/>
  <c r="U12" i="26"/>
  <c r="G15" i="27"/>
  <c r="U9" i="26"/>
  <c r="G9" i="27"/>
  <c r="H238" i="22"/>
  <c r="H237" i="22" s="1"/>
  <c r="H236" i="22" s="1"/>
  <c r="H234" i="22" s="1"/>
  <c r="H232" i="22" s="1"/>
  <c r="L191" i="22"/>
  <c r="L190" i="22" s="1"/>
  <c r="L189" i="22" s="1"/>
  <c r="L187" i="22" s="1"/>
  <c r="L185" i="22" s="1"/>
  <c r="K111" i="22"/>
  <c r="K106" i="22" s="1"/>
  <c r="I111" i="22"/>
  <c r="I106" i="22" s="1"/>
  <c r="K202" i="22"/>
  <c r="K201" i="22" s="1"/>
  <c r="K200" i="22" s="1"/>
  <c r="K198" i="22" s="1"/>
  <c r="K196" i="22" s="1"/>
  <c r="H111" i="22"/>
  <c r="H106" i="22" s="1"/>
  <c r="H105" i="22" s="1"/>
  <c r="H103" i="22" s="1"/>
  <c r="H101" i="22" s="1"/>
  <c r="L202" i="22"/>
  <c r="L201" i="22" s="1"/>
  <c r="L200" i="22" s="1"/>
  <c r="L198" i="22" s="1"/>
  <c r="L196" i="22" s="1"/>
  <c r="J238" i="22"/>
  <c r="J237" i="22" s="1"/>
  <c r="J236" i="22" s="1"/>
  <c r="J234" i="22" s="1"/>
  <c r="J232" i="22" s="1"/>
  <c r="H202" i="22"/>
  <c r="H201" i="22" s="1"/>
  <c r="H200" i="22" s="1"/>
  <c r="H198" i="22" s="1"/>
  <c r="H196" i="22" s="1"/>
  <c r="L26" i="22"/>
  <c r="L20" i="22" s="1"/>
  <c r="L18" i="22" s="1"/>
  <c r="L16" i="22" s="1"/>
  <c r="J202" i="22"/>
  <c r="J201" i="22" s="1"/>
  <c r="J200" i="22" s="1"/>
  <c r="J198" i="22" s="1"/>
  <c r="J196" i="22" s="1"/>
  <c r="K238" i="22"/>
  <c r="K237" i="22" s="1"/>
  <c r="K236" i="22" s="1"/>
  <c r="K234" i="22" s="1"/>
  <c r="K232" i="22" s="1"/>
  <c r="K26" i="22"/>
  <c r="K20" i="22" s="1"/>
  <c r="K18" i="22" s="1"/>
  <c r="K16" i="22" s="1"/>
  <c r="J224" i="22"/>
  <c r="J223" i="22" s="1"/>
  <c r="J222" i="22" s="1"/>
  <c r="J220" i="22" s="1"/>
  <c r="J218" i="22" s="1"/>
  <c r="J7" i="22" s="1"/>
  <c r="L238" i="22"/>
  <c r="L237" i="22" s="1"/>
  <c r="L236" i="22" s="1"/>
  <c r="L234" i="22" s="1"/>
  <c r="L232" i="22" s="1"/>
  <c r="J26" i="22"/>
  <c r="J20" i="22" s="1"/>
  <c r="J18" i="22" s="1"/>
  <c r="J16" i="22" s="1"/>
  <c r="L175" i="22"/>
  <c r="L173" i="22" s="1"/>
  <c r="K224" i="22"/>
  <c r="K223" i="22" s="1"/>
  <c r="K222" i="22" s="1"/>
  <c r="K220" i="22" s="1"/>
  <c r="K218" i="22" s="1"/>
  <c r="L224" i="22"/>
  <c r="L223" i="22" s="1"/>
  <c r="L222" i="22" s="1"/>
  <c r="L220" i="22" s="1"/>
  <c r="L218" i="22" s="1"/>
  <c r="I202" i="22"/>
  <c r="I201" i="22" s="1"/>
  <c r="I200" i="22" s="1"/>
  <c r="I198" i="22" s="1"/>
  <c r="I196" i="22" s="1"/>
  <c r="J21" i="22"/>
  <c r="J243" i="22" l="1"/>
  <c r="I105" i="22"/>
  <c r="I103" i="22" s="1"/>
  <c r="I101" i="22" s="1"/>
  <c r="K105" i="22"/>
  <c r="K103" i="22" s="1"/>
  <c r="K101" i="22" s="1"/>
  <c r="S15" i="27"/>
  <c r="E15" i="27"/>
  <c r="I7" i="22" l="1"/>
  <c r="I243" i="22"/>
  <c r="L6" i="22"/>
  <c r="I6" i="22"/>
  <c r="J6" i="22" l="1"/>
  <c r="K6" i="22"/>
  <c r="AT20" i="27"/>
  <c r="AS20" i="27"/>
  <c r="AQ20" i="27"/>
  <c r="AP20" i="27"/>
  <c r="AN20" i="27"/>
  <c r="AM20" i="27"/>
  <c r="AK20" i="27"/>
  <c r="AJ20" i="27"/>
  <c r="AH20" i="27"/>
  <c r="AG20" i="27"/>
  <c r="AE20" i="27"/>
  <c r="AD20" i="27"/>
  <c r="AB20" i="27"/>
  <c r="AA20" i="27"/>
  <c r="Y20" i="27"/>
  <c r="X20" i="27"/>
  <c r="V20" i="27"/>
  <c r="U20" i="27"/>
  <c r="S20" i="27"/>
  <c r="R20" i="27"/>
  <c r="P20" i="27"/>
  <c r="O20" i="27"/>
  <c r="M20" i="27"/>
  <c r="L20" i="27"/>
  <c r="J20" i="27"/>
  <c r="I20" i="27"/>
  <c r="G20" i="27"/>
  <c r="F20" i="27"/>
  <c r="AR19" i="27"/>
  <c r="AO19" i="27"/>
  <c r="AL19" i="27"/>
  <c r="AI19" i="27"/>
  <c r="AF19" i="27"/>
  <c r="AC19" i="27"/>
  <c r="Z19" i="27"/>
  <c r="W19" i="27"/>
  <c r="T19" i="27"/>
  <c r="Q19" i="27"/>
  <c r="N19" i="27"/>
  <c r="K19" i="27"/>
  <c r="H19" i="27"/>
  <c r="E19" i="27"/>
  <c r="AR18" i="27"/>
  <c r="AO18" i="27"/>
  <c r="AL18" i="27"/>
  <c r="AI18" i="27"/>
  <c r="AF18" i="27"/>
  <c r="AC18" i="27"/>
  <c r="Z18" i="27"/>
  <c r="W18" i="27"/>
  <c r="T18" i="27"/>
  <c r="I18" i="1" s="1"/>
  <c r="Q18" i="27"/>
  <c r="N18" i="27"/>
  <c r="K18" i="27"/>
  <c r="H18" i="27"/>
  <c r="E18" i="27"/>
  <c r="AR17" i="27"/>
  <c r="AO17" i="27"/>
  <c r="AL17" i="27"/>
  <c r="AI17" i="27"/>
  <c r="AF17" i="27"/>
  <c r="AC17" i="27"/>
  <c r="Z17" i="27"/>
  <c r="W17" i="27"/>
  <c r="T17" i="27"/>
  <c r="Q17" i="27"/>
  <c r="N17" i="27"/>
  <c r="K17" i="27"/>
  <c r="H17" i="27"/>
  <c r="E17" i="27"/>
  <c r="AR16" i="27"/>
  <c r="AO16" i="27"/>
  <c r="AL16" i="27"/>
  <c r="AI16" i="27"/>
  <c r="AF16" i="27"/>
  <c r="AC16" i="27"/>
  <c r="Z16" i="27"/>
  <c r="W16" i="27"/>
  <c r="T16" i="27"/>
  <c r="Q16" i="27"/>
  <c r="N16" i="27"/>
  <c r="K16" i="27"/>
  <c r="H16" i="27"/>
  <c r="E16" i="27"/>
  <c r="AR15" i="27"/>
  <c r="AO15" i="27"/>
  <c r="AL15" i="27"/>
  <c r="AI15" i="27"/>
  <c r="AF15" i="27"/>
  <c r="AC15" i="27"/>
  <c r="Z15" i="27"/>
  <c r="W15" i="27"/>
  <c r="T15" i="27"/>
  <c r="I15" i="1" s="1"/>
  <c r="Q15" i="27"/>
  <c r="N15" i="27"/>
  <c r="K15" i="27"/>
  <c r="H15" i="27"/>
  <c r="AR13" i="27"/>
  <c r="AO13" i="27"/>
  <c r="AL13" i="27"/>
  <c r="AI13" i="27"/>
  <c r="AF13" i="27"/>
  <c r="AC13" i="27"/>
  <c r="Z13" i="27"/>
  <c r="W13" i="27"/>
  <c r="T13" i="27"/>
  <c r="Q13" i="27"/>
  <c r="N13" i="27"/>
  <c r="K13" i="27"/>
  <c r="H13" i="27"/>
  <c r="E13" i="27"/>
  <c r="AR11" i="27"/>
  <c r="AO11" i="27"/>
  <c r="AL11" i="27"/>
  <c r="AI11" i="27"/>
  <c r="AF11" i="27"/>
  <c r="AC11" i="27"/>
  <c r="Z11" i="27"/>
  <c r="W11" i="27"/>
  <c r="T11" i="27"/>
  <c r="Q11" i="27"/>
  <c r="N11" i="27"/>
  <c r="K11" i="27"/>
  <c r="H11" i="27"/>
  <c r="E11" i="27"/>
  <c r="AR10" i="27"/>
  <c r="AO10" i="27"/>
  <c r="AL10" i="27"/>
  <c r="AI10" i="27"/>
  <c r="AF10" i="27"/>
  <c r="AC10" i="27"/>
  <c r="Z10" i="27"/>
  <c r="K10" i="1" s="1"/>
  <c r="W10" i="27"/>
  <c r="J10" i="1" s="1"/>
  <c r="M38" i="5" s="1"/>
  <c r="T10" i="27"/>
  <c r="Q10" i="27"/>
  <c r="N10" i="27"/>
  <c r="K10" i="27"/>
  <c r="H10" i="27"/>
  <c r="E10" i="27"/>
  <c r="AR9" i="27"/>
  <c r="AO9" i="27"/>
  <c r="AL9" i="27"/>
  <c r="AI9" i="27"/>
  <c r="AF9" i="27"/>
  <c r="AC9" i="27"/>
  <c r="Z9" i="27"/>
  <c r="W9" i="27"/>
  <c r="T9" i="27"/>
  <c r="I9" i="1" s="1"/>
  <c r="L30" i="5" s="1"/>
  <c r="Q9" i="27"/>
  <c r="N9" i="27"/>
  <c r="K9" i="27"/>
  <c r="H9" i="27"/>
  <c r="E9" i="27"/>
  <c r="AV16" i="26"/>
  <c r="AU16" i="26"/>
  <c r="AT16" i="26"/>
  <c r="AS16" i="26"/>
  <c r="AR16" i="26"/>
  <c r="AQ16" i="26"/>
  <c r="AP16" i="26"/>
  <c r="AO16" i="26"/>
  <c r="AN16" i="26"/>
  <c r="AM16" i="26"/>
  <c r="AL16" i="26"/>
  <c r="AK16" i="26"/>
  <c r="AJ16" i="26"/>
  <c r="AI16" i="26"/>
  <c r="AH16" i="26"/>
  <c r="AG16" i="26"/>
  <c r="AF16" i="26"/>
  <c r="AE16" i="26"/>
  <c r="AD16" i="26"/>
  <c r="AC16" i="26"/>
  <c r="AB16" i="26"/>
  <c r="AA16" i="26"/>
  <c r="Z16" i="26"/>
  <c r="Y16" i="26"/>
  <c r="X16" i="26"/>
  <c r="W16" i="26"/>
  <c r="V16" i="26"/>
  <c r="U16" i="26"/>
  <c r="T16" i="26"/>
  <c r="S16" i="26"/>
  <c r="R16" i="26"/>
  <c r="Q16" i="26"/>
  <c r="P16" i="26"/>
  <c r="O16" i="26"/>
  <c r="N16" i="26"/>
  <c r="M16" i="26"/>
  <c r="L16" i="26"/>
  <c r="K16" i="26"/>
  <c r="J16" i="26"/>
  <c r="I16" i="26"/>
  <c r="H16" i="26"/>
  <c r="G16" i="26"/>
  <c r="AV15" i="26"/>
  <c r="AU15" i="26"/>
  <c r="AS15" i="26"/>
  <c r="AR15" i="26"/>
  <c r="AP15" i="26"/>
  <c r="AO15" i="26"/>
  <c r="AM15" i="26"/>
  <c r="AL15" i="26"/>
  <c r="AJ15" i="26"/>
  <c r="AI15" i="26"/>
  <c r="AG15" i="26"/>
  <c r="AF15" i="26"/>
  <c r="AD15" i="26"/>
  <c r="AC15" i="26"/>
  <c r="AA15" i="26"/>
  <c r="Z15" i="26"/>
  <c r="X15" i="26"/>
  <c r="W15" i="26"/>
  <c r="U15" i="26"/>
  <c r="T15" i="26"/>
  <c r="R15" i="26"/>
  <c r="Q15" i="26"/>
  <c r="O15" i="26"/>
  <c r="N15" i="26"/>
  <c r="L15" i="26"/>
  <c r="K15" i="26"/>
  <c r="I15" i="26"/>
  <c r="H15" i="26"/>
  <c r="AV14" i="26"/>
  <c r="AU14" i="26"/>
  <c r="AS14" i="26"/>
  <c r="AR14" i="26"/>
  <c r="AP14" i="26"/>
  <c r="AO14" i="26"/>
  <c r="AM14" i="26"/>
  <c r="AL14" i="26"/>
  <c r="AJ14" i="26"/>
  <c r="AI14" i="26"/>
  <c r="AG14" i="26"/>
  <c r="AF14" i="26"/>
  <c r="AD14" i="26"/>
  <c r="AC14" i="26"/>
  <c r="AA14" i="26"/>
  <c r="Z14" i="26"/>
  <c r="X14" i="26"/>
  <c r="W14" i="26"/>
  <c r="U14" i="26"/>
  <c r="T14" i="26"/>
  <c r="R14" i="26"/>
  <c r="Q14" i="26"/>
  <c r="O14" i="26"/>
  <c r="N14" i="26"/>
  <c r="L14" i="26"/>
  <c r="K14" i="26"/>
  <c r="I14" i="26"/>
  <c r="AT13" i="26"/>
  <c r="AQ13" i="26"/>
  <c r="AN13" i="26"/>
  <c r="AK13" i="26"/>
  <c r="AH13" i="26"/>
  <c r="AE13" i="26"/>
  <c r="AB13" i="26"/>
  <c r="Y13" i="26"/>
  <c r="V13" i="26"/>
  <c r="S13" i="26"/>
  <c r="P13" i="26"/>
  <c r="M13" i="26"/>
  <c r="J13" i="26"/>
  <c r="G13" i="26"/>
  <c r="AT12" i="26"/>
  <c r="AQ12" i="26"/>
  <c r="AN12" i="26"/>
  <c r="AK12" i="26"/>
  <c r="AH12" i="26"/>
  <c r="AE12" i="26"/>
  <c r="AB12" i="26"/>
  <c r="Y12" i="26"/>
  <c r="V12" i="26"/>
  <c r="M11" i="25" s="1"/>
  <c r="S12" i="26"/>
  <c r="P12" i="26"/>
  <c r="M12" i="26"/>
  <c r="J12" i="26"/>
  <c r="G12" i="26"/>
  <c r="AT9" i="26"/>
  <c r="AQ9" i="26"/>
  <c r="AN9" i="26"/>
  <c r="AK9" i="26"/>
  <c r="AH9" i="26"/>
  <c r="AE9" i="26"/>
  <c r="AB9" i="26"/>
  <c r="Y9" i="26"/>
  <c r="V9" i="26"/>
  <c r="S9" i="26"/>
  <c r="P9" i="26"/>
  <c r="M9" i="26"/>
  <c r="J9" i="26"/>
  <c r="G9" i="26"/>
  <c r="V15" i="8" l="1"/>
  <c r="Q15" i="8" s="1"/>
  <c r="P14" i="25"/>
  <c r="E22" i="12"/>
  <c r="L110" i="5"/>
  <c r="P11" i="25"/>
  <c r="P16" i="25" s="1"/>
  <c r="T12" i="8"/>
  <c r="Q12" i="8" s="1"/>
  <c r="E19" i="12"/>
  <c r="E24" i="12" s="1"/>
  <c r="L79" i="5"/>
  <c r="I10" i="1"/>
  <c r="L38" i="5" s="1"/>
  <c r="AK15" i="26"/>
  <c r="AQ15" i="26"/>
  <c r="AN15" i="26"/>
  <c r="AT15" i="26"/>
  <c r="AB15" i="26"/>
  <c r="Y15" i="26"/>
  <c r="AH15" i="26"/>
  <c r="AE15" i="26"/>
  <c r="V15" i="26"/>
  <c r="P15" i="26"/>
  <c r="M15" i="26"/>
  <c r="AE14" i="26"/>
  <c r="AH14" i="26"/>
  <c r="AQ14" i="26"/>
  <c r="AK14" i="26"/>
  <c r="AT14" i="26"/>
  <c r="AB14" i="26"/>
  <c r="AN14" i="26"/>
  <c r="M14" i="26"/>
  <c r="Y14" i="26"/>
  <c r="V14" i="26"/>
  <c r="J15" i="26"/>
  <c r="G14" i="26"/>
  <c r="G15" i="26"/>
  <c r="S14" i="26"/>
  <c r="S15" i="26"/>
  <c r="P14" i="26"/>
  <c r="J14" i="26"/>
  <c r="AL20" i="27"/>
  <c r="AF20" i="27"/>
  <c r="AO20" i="27"/>
  <c r="Z20" i="27"/>
  <c r="AR20" i="27"/>
  <c r="W20" i="27"/>
  <c r="AC20" i="27"/>
  <c r="AI20" i="27"/>
  <c r="T20" i="27"/>
  <c r="D9" i="10" s="1"/>
  <c r="Q20" i="27"/>
  <c r="N20" i="27"/>
  <c r="K20" i="27"/>
  <c r="H20" i="27"/>
  <c r="E20" i="27"/>
  <c r="P17" i="25" l="1"/>
  <c r="P19" i="25" s="1"/>
  <c r="P20" i="25"/>
  <c r="J11" i="20"/>
  <c r="J10" i="20" s="1"/>
  <c r="J9" i="20" s="1"/>
  <c r="H17" i="9"/>
  <c r="AV17" i="9"/>
  <c r="AU17" i="9"/>
  <c r="AT17" i="9"/>
  <c r="AS17" i="9"/>
  <c r="AR17" i="9"/>
  <c r="AQ17" i="9"/>
  <c r="AP17" i="9"/>
  <c r="AO17" i="9"/>
  <c r="AN17" i="9"/>
  <c r="AM17" i="9"/>
  <c r="AL17" i="9"/>
  <c r="AK17" i="9"/>
  <c r="AJ17" i="9"/>
  <c r="AI17" i="9"/>
  <c r="AH17" i="9"/>
  <c r="AG17" i="9"/>
  <c r="AF17" i="9"/>
  <c r="AE17" i="9"/>
  <c r="AD17" i="9"/>
  <c r="AC17" i="9"/>
  <c r="AB17" i="9"/>
  <c r="AA17" i="9"/>
  <c r="Z17" i="9"/>
  <c r="Y17" i="9"/>
  <c r="X17" i="9"/>
  <c r="W17" i="9"/>
  <c r="V17" i="9"/>
  <c r="U17" i="9"/>
  <c r="T17" i="9"/>
  <c r="S17" i="9"/>
  <c r="R17" i="9"/>
  <c r="Q17" i="9"/>
  <c r="P17" i="9"/>
  <c r="O17" i="9"/>
  <c r="N17" i="9"/>
  <c r="M17" i="9"/>
  <c r="L17" i="9"/>
  <c r="K17" i="9"/>
  <c r="J17" i="9"/>
  <c r="I17" i="9"/>
  <c r="G17" i="9"/>
  <c r="AV16" i="9"/>
  <c r="AU16" i="9"/>
  <c r="AS16" i="9"/>
  <c r="AR16" i="9"/>
  <c r="AP16" i="9"/>
  <c r="AO16" i="9"/>
  <c r="AM16" i="9"/>
  <c r="AL16" i="9"/>
  <c r="AJ16" i="9"/>
  <c r="AI16" i="9"/>
  <c r="AG16" i="9"/>
  <c r="AF16" i="9"/>
  <c r="AD16" i="9"/>
  <c r="AC16" i="9"/>
  <c r="AA16" i="9"/>
  <c r="Z16" i="9"/>
  <c r="X16" i="9"/>
  <c r="W16" i="9"/>
  <c r="U16" i="9"/>
  <c r="T16" i="9"/>
  <c r="R16" i="9"/>
  <c r="Q16" i="9"/>
  <c r="O16" i="9"/>
  <c r="N16" i="9"/>
  <c r="L16" i="9"/>
  <c r="K16" i="9"/>
  <c r="I16" i="9"/>
  <c r="H16" i="9"/>
  <c r="AV15" i="9"/>
  <c r="AU15" i="9"/>
  <c r="AS15" i="9"/>
  <c r="AR15" i="9"/>
  <c r="AP15" i="9"/>
  <c r="AO15" i="9"/>
  <c r="AM15" i="9"/>
  <c r="AL15" i="9"/>
  <c r="AJ15" i="9"/>
  <c r="AI15" i="9"/>
  <c r="AG15" i="9"/>
  <c r="AF15" i="9"/>
  <c r="AD15" i="9"/>
  <c r="AC15" i="9"/>
  <c r="AA15" i="9"/>
  <c r="Z15" i="9"/>
  <c r="X15" i="9"/>
  <c r="W15" i="9"/>
  <c r="U15" i="9"/>
  <c r="T15" i="9"/>
  <c r="R15" i="9"/>
  <c r="Q15" i="9"/>
  <c r="O15" i="9"/>
  <c r="N15" i="9"/>
  <c r="L15" i="9"/>
  <c r="K15" i="9"/>
  <c r="I15" i="9"/>
  <c r="H15" i="9"/>
  <c r="AT14" i="9"/>
  <c r="AQ14" i="9"/>
  <c r="AE14" i="9"/>
  <c r="AB14" i="9"/>
  <c r="Y14" i="9"/>
  <c r="V14" i="9"/>
  <c r="S14" i="9"/>
  <c r="P14" i="9"/>
  <c r="M14" i="9"/>
  <c r="J14" i="9"/>
  <c r="G14" i="9"/>
  <c r="AT13" i="9"/>
  <c r="AQ13" i="9"/>
  <c r="AE13" i="9"/>
  <c r="AB13" i="9"/>
  <c r="Y13" i="9"/>
  <c r="V13" i="9"/>
  <c r="M14" i="25" s="1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9" i="9"/>
  <c r="AQ9" i="9"/>
  <c r="AQ16" i="9" s="1"/>
  <c r="AE9" i="9"/>
  <c r="AB9" i="9"/>
  <c r="Y9" i="9"/>
  <c r="V9" i="9"/>
  <c r="S9" i="9"/>
  <c r="P9" i="9"/>
  <c r="M9" i="9"/>
  <c r="J9" i="9"/>
  <c r="G9" i="9"/>
  <c r="AH16" i="9" l="1"/>
  <c r="V16" i="9"/>
  <c r="AB16" i="9"/>
  <c r="AN16" i="9"/>
  <c r="AE16" i="9"/>
  <c r="AK16" i="9"/>
  <c r="Y16" i="9"/>
  <c r="AT16" i="9"/>
  <c r="J16" i="9"/>
  <c r="M16" i="9"/>
  <c r="P16" i="9"/>
  <c r="S16" i="9"/>
  <c r="G16" i="9"/>
  <c r="M15" i="9"/>
  <c r="AK15" i="9"/>
  <c r="S15" i="9"/>
  <c r="AE15" i="9"/>
  <c r="G15" i="9"/>
  <c r="Y15" i="9"/>
  <c r="J15" i="9"/>
  <c r="V15" i="9"/>
  <c r="AH15" i="9"/>
  <c r="AT15" i="9"/>
  <c r="AQ15" i="9"/>
  <c r="AB15" i="9"/>
  <c r="AN15" i="9"/>
  <c r="P15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24" i="12" l="1"/>
  <c r="G24" i="12"/>
  <c r="G17" i="8" l="1"/>
  <c r="J17" i="8"/>
  <c r="R17" i="8"/>
  <c r="S17" i="8"/>
  <c r="V17" i="8"/>
  <c r="X17" i="8"/>
  <c r="Y17" i="8"/>
  <c r="AA17" i="8"/>
  <c r="AB17" i="8"/>
  <c r="Z17" i="8"/>
  <c r="D6" i="7"/>
  <c r="E6" i="7"/>
  <c r="F6" i="7"/>
  <c r="G6" i="7"/>
  <c r="D9" i="7"/>
  <c r="E9" i="7"/>
  <c r="F9" i="7"/>
  <c r="G9" i="7"/>
  <c r="C9" i="7"/>
  <c r="C6" i="7"/>
  <c r="K17" i="8" l="1"/>
  <c r="W17" i="8"/>
  <c r="Q17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<sst xmlns="http://schemas.openxmlformats.org/spreadsheetml/2006/main" count="1295" uniqueCount="491">
  <si>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</si>
  <si>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</si>
  <si>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</si>
  <si>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</si>
  <si>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</si>
  <si>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</si>
  <si>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</si>
  <si>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</si>
  <si>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</si>
  <si>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</si>
  <si>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</si>
  <si>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</si>
  <si>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</si>
  <si>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</si>
  <si>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</si>
  <si>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</si>
  <si>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</si>
  <si>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</si>
  <si>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</si>
  <si>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</si>
  <si>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</si>
  <si>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</si>
  <si>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</si>
  <si>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</si>
  <si>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</si>
  <si>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</si>
  <si>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</si>
  <si>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</si>
  <si>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</si>
  <si>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</si>
  <si>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</si>
  <si>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</si>
  <si>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</si>
  <si>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</si>
  <si>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</si>
  <si>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</si>
  <si>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</si>
  <si>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</si>
  <si>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</si>
  <si>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</si>
  <si>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</si>
  <si>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</si>
  <si>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</si>
  <si>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</si>
  <si>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</si>
  <si>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</si>
  <si>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</si>
  <si>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</si>
  <si>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</si>
  <si>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</si>
  <si>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</si>
  <si>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</si>
  <si>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</si>
  <si>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</si>
  <si>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</si>
  <si>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</si>
  <si>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</si>
  <si>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</si>
  <si>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</si>
  <si>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</si>
  <si>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</si>
  <si>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</si>
  <si>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</si>
  <si>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</si>
  <si>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</si>
  <si>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</si>
  <si>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</si>
  <si>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</si>
  <si>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</si>
  <si>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</si>
  <si>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</si>
  <si>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</si>
  <si>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</si>
  <si>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</si>
  <si>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</si>
  <si>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</si>
  <si>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</si>
  <si>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</si>
  <si>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</si>
  <si>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</si>
  <si>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</si>
  <si>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</si>
  <si>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</si>
  <si>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</si>
  <si>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</si>
  <si>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</si>
  <si>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</si>
  <si>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</si>
  <si>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</si>
  <si>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</si>
  <si>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</si>
  <si>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</si>
  <si>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</si>
  <si>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</si>
  <si>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</si>
  <si>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</si>
  <si>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</si>
  <si>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</si>
  <si>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</si>
  <si>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</si>
  <si>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</si>
  <si>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</si>
  <si>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</si>
  <si>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</si>
  <si>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</si>
  <si>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</si>
  <si>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</si>
  <si>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</si>
  <si>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</si>
  <si>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</si>
  <si>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</si>
  <si>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</si>
  <si>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</si>
  <si>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</si>
  <si>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</si>
  <si>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</si>
  <si>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</si>
  <si>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</si>
  <si>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</si>
  <si>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</si>
  <si>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</si>
  <si>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</si>
  <si>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</si>
  <si>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</si>
  <si>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</si>
  <si>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</si>
  <si>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</si>
  <si>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</si>
  <si>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</si>
  <si>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</si>
  <si>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</si>
  <si>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</si>
  <si>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</si>
  <si>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</si>
  <si>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</si>
  <si>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</si>
  <si>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</si>
  <si>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</si>
  <si>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</si>
  <si>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</si>
  <si>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</si>
  <si>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</si>
  <si>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</si>
  <si>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</si>
  <si>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</si>
  <si>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</si>
  <si>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</si>
  <si>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</si>
  <si>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</si>
  <si>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</si>
  <si>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</si>
  <si>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</si>
  <si>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</si>
  <si>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</si>
  <si>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</si>
  <si>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</si>
  <si>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</si>
  <si>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</si>
  <si>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</si>
  <si>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</si>
  <si>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</si>
  <si>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</si>
  <si>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</si>
  <si>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</si>
  <si>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</si>
  <si>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</si>
  <si>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</si>
  <si>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</si>
  <si>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</si>
  <si>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</si>
  <si>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</si>
  <si>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</si>
  <si>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</si>
  <si>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</si>
  <si>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</si>
  <si>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</si>
  <si>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</si>
  <si>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</si>
  <si>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</si>
  <si>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</si>
  <si>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</si>
  <si>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</si>
  <si>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</si>
  <si>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</si>
  <si>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</si>
  <si>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</si>
  <si>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</si>
  <si>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</si>
  <si>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</si>
  <si>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</si>
  <si>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</si>
  <si>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</si>
  <si>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</si>
  <si>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</si>
  <si>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</si>
  <si>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</si>
  <si>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</si>
  <si>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</si>
  <si>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</si>
  <si>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</si>
  <si>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</si>
  <si>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</si>
  <si>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</si>
  <si>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</si>
  <si>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Ծրագիր6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</si>
  <si>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</si>
  <si>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</si>
  <si>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</si>
  <si>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</si>
  <si>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</si>
  <si>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</si>
  <si>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</si>
  <si>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</si>
  <si>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</si>
  <si>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</si>
  <si>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</si>
  <si>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</si>
  <si>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</si>
  <si>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</si>
  <si>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t xml:space="preserve">2026թ.  </t>
  </si>
  <si>
    <t>2025թ. ((հաստատված բյուջե)</t>
  </si>
  <si>
    <t xml:space="preserve"> 2024թ․ 
(փաստացի)</t>
  </si>
  <si>
    <t>2024թ. (փաստացի)</t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</si>
  <si>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</si>
  <si>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</si>
  <si>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</si>
  <si>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</si>
  <si>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</si>
  <si>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</si>
  <si>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t xml:space="preserve">ԱՄՆ </t>
  </si>
  <si>
    <t>Եվրո</t>
  </si>
  <si>
    <t xml:space="preserve"> Ասիական զարգացման բանկի աջակցությամբ իրականացվող Հյուսիս-հարավ միջանցքի զարգացման ծրագրի համակարգում և կառավարում ( Տրանշ 2)</t>
  </si>
  <si>
    <t>Վարկային ծրագիր</t>
  </si>
  <si>
    <t>Ընթացիկ պահպանման ծախսեր / ֆին աուդիտ</t>
  </si>
  <si>
    <t xml:space="preserve"> Ասիական զարգացման բանկի աջակցությամբ իրականացվող Հյուսիս-հարավ միջանցքի զարգացման վարկային ծրագիր, Տրանշ 2</t>
  </si>
  <si>
    <t>Հիմնական միջոցներ /Նախագծահետազոտական ծախսեր</t>
  </si>
  <si>
    <t xml:space="preserve"> Ճանապարհային ցանցի բարելավում</t>
  </si>
  <si>
    <t>04</t>
  </si>
  <si>
    <t>05</t>
  </si>
  <si>
    <t>01</t>
  </si>
  <si>
    <t>1049</t>
  </si>
  <si>
    <t>Ասիական զարգացման բանկի աջակցությամբ իրականացվող Հայաստան-Վրաստան սահմանային տարածաշրջանային ճանապարհի (Մ6 Վանաձոր-Բագրատաշեն) բարելավման ծրագրի համակարգում և կառավարում</t>
  </si>
  <si>
    <t xml:space="preserve"> ՀՀ տարածքային կառավարման և ենթակառուցվածքների նախարարություն</t>
  </si>
  <si>
    <t xml:space="preserve"> այդ թվում` բյուջետային ծախսերի տնտեսագիտական դասակարգման հոդվածներ</t>
  </si>
  <si>
    <t xml:space="preserve"> ԸՆԴԱՄԵՆԸ ԾԱԽՍԵՐ</t>
  </si>
  <si>
    <t xml:space="preserve"> ԸՆԹԱՑԻԿ ԾԱԽՍԵՐ</t>
  </si>
  <si>
    <t xml:space="preserve"> ԱՇԽԱՏԱՆՔԻ ՎԱՐՁԱՏՐՈՒԹՅՈՒՆ</t>
  </si>
  <si>
    <t xml:space="preserve"> Դրամով վճարվող աշխատավարձեր և հավելավճարներ</t>
  </si>
  <si>
    <t xml:space="preserve"> - Աշխատողների աշխատավարձեր և հավելավճարներ</t>
  </si>
  <si>
    <t xml:space="preserve"> - Պարգևատրումներ, դրամական խրախուսումներ և հատուկ վճարներ</t>
  </si>
  <si>
    <t xml:space="preserve"> ԾԱՌԱՅՈՒԹՅՈՒՆՆԵՐԻ  ԵՎ   ԱՊՐԱՆՔՆԵՐԻ  ՁԵՌՔԲԵՐՈՒՄ</t>
  </si>
  <si>
    <t xml:space="preserve"> Շարունակական ծախսեր</t>
  </si>
  <si>
    <t xml:space="preserve"> - Էներգետիկ ծախսեր</t>
  </si>
  <si>
    <t xml:space="preserve"> - Կապի ծառայություններ</t>
  </si>
  <si>
    <t xml:space="preserve"> - Ապահովագրական ծախսեր</t>
  </si>
  <si>
    <t xml:space="preserve"> Ծառայողական գործուղումների գծով ծախսեր</t>
  </si>
  <si>
    <t xml:space="preserve"> - Ներքին գործուղումներ</t>
  </si>
  <si>
    <t xml:space="preserve"> - Արտասահմանյան գործուղումների գծով ծախսեր</t>
  </si>
  <si>
    <t xml:space="preserve"> Պայմանագրային այլ ծառայությունների ձեռքբերում</t>
  </si>
  <si>
    <t xml:space="preserve"> - Տեղեկատվական ծառայություններ</t>
  </si>
  <si>
    <t xml:space="preserve"> - Ներկայացուցչական ծախսեր</t>
  </si>
  <si>
    <t xml:space="preserve"> Այլ մասնագիտական ծառայությունների ձեռքբերում</t>
  </si>
  <si>
    <t xml:space="preserve"> - Մասնագիտական ծառայություններ</t>
  </si>
  <si>
    <t xml:space="preserve"> Նյութեր (Ապրանքներ)</t>
  </si>
  <si>
    <t xml:space="preserve"> - Կենցաղային և հանրային սննդի նյութեր</t>
  </si>
  <si>
    <t xml:space="preserve"> - Հատուկ նպատակային այլ նյութեր</t>
  </si>
  <si>
    <t xml:space="preserve"> ԱՅԼ  ԾԱԽՍԵՐ</t>
  </si>
  <si>
    <t xml:space="preserve"> Հարկեր, պարտադիր վճարներ և տույժեր, որոնք կառավարման տարբեր մակարդակների կողմից կիրառվում են միմյանց նկատմամբ</t>
  </si>
  <si>
    <t xml:space="preserve"> Այլ ծախսեր</t>
  </si>
  <si>
    <t xml:space="preserve"> ԴՐԱՄԱՇՆՈՐՀՆԵՐ</t>
  </si>
  <si>
    <t xml:space="preserve"> Կապիտալ դրամաշնորհներ պետական հատվածի այլ մակարդակներին</t>
  </si>
  <si>
    <t xml:space="preserve"> - Այլ կապիտալ դրամաշնորհներ</t>
  </si>
  <si>
    <t>Ասիական զարգացման բանկի աջակցությամբ իրականացվող  Մ6 Վանաձոր-Ալավերդի-Վրաստանի սահման միջպետական նշանակության ճանապարհի ծրագրի կառուցում և հիմնանորոգում</t>
  </si>
  <si>
    <t xml:space="preserve"> ՈՉ ՖԻՆԱՆՍԱԿԱՆ ԱԿՏԻՎՆԵՐԻ ԳԾՈՎ ԾԱԽՍԵՐ</t>
  </si>
  <si>
    <t xml:space="preserve"> ՀԻՄՆԱԿԱՆ ՄԻՋՈՑՆԵՐ</t>
  </si>
  <si>
    <t xml:space="preserve"> ՇԵՆՔԵՐ ԵՎ ՇԻՆՈՒԹՅՈՒՆՆԵՐ</t>
  </si>
  <si>
    <t xml:space="preserve"> - Շենքերի և շինությունների շինարարություն</t>
  </si>
  <si>
    <t xml:space="preserve"> ԱՅԼ ՀԻՄՆԱԿԱՆ ՄԻՋՈՑՆԵՐ</t>
  </si>
  <si>
    <t xml:space="preserve"> - Նախագծահետազոտական ծախսեր</t>
  </si>
  <si>
    <t>21006</t>
  </si>
  <si>
    <t>Բազային տարի 
2024թ․ 
(հազ. դրամ)</t>
  </si>
  <si>
    <t>2025թ պլան 
(հազ. դրամ)</t>
  </si>
  <si>
    <t>2026թ բյուջե  
(հազ. դրամ)</t>
  </si>
  <si>
    <t>2027թ բյուջե 
(հազ. դրամ)</t>
  </si>
  <si>
    <t>11004</t>
  </si>
  <si>
    <t xml:space="preserve">Ավտոմոբիլային ճանապարհների ցանցի հսկողություն, ուսումնասիրություններ և փորձաքննություններ </t>
  </si>
  <si>
    <t xml:space="preserve"> Ընթացիկ դրամաշնորհներ պետական հատվածի այլ մակարդակներին</t>
  </si>
  <si>
    <t xml:space="preserve"> - Այլ ընթացիկ դրամաշնորհներ</t>
  </si>
  <si>
    <t>11009</t>
  </si>
  <si>
    <t xml:space="preserve"> Ընթացիկ նորոգում և պահպանում (ծառայություններ և նյութեր)</t>
  </si>
  <si>
    <t xml:space="preserve"> - Մեքենաների և սարքավորումների ընթացիկ նորոգում և պահպանում</t>
  </si>
  <si>
    <t xml:space="preserve"> - Գրասենյակային նյութեր և հագուստ</t>
  </si>
  <si>
    <t xml:space="preserve"> - Տրանսպորտային նյութեր</t>
  </si>
  <si>
    <t>11012</t>
  </si>
  <si>
    <t xml:space="preserve"> Եվրասիական զարգացման բանկի աջակցությամբ իրականացվող Հյուսիս-հարավ միջանցքի զարգացման ծրագրի համակարգում և կառավարում</t>
  </si>
  <si>
    <t xml:space="preserve"> - Էներգետիկ ծառայություններ</t>
  </si>
  <si>
    <t>11016</t>
  </si>
  <si>
    <t xml:space="preserve"> Հյուսիս-հարավ ճանապարհային միջանցքի զարգացման ծրագրի Սիսիան-Քաջարան 60կմ-ի համակարգում և կառավարում</t>
  </si>
  <si>
    <t>11017</t>
  </si>
  <si>
    <t xml:space="preserve"> Հյուսիս-հարավ ճանապարհային միջանցքի զարգացման ծրագրի Քաջարանի թունելի և մոտեցումների համակարգում և կառավարում</t>
  </si>
  <si>
    <t>11020</t>
  </si>
  <si>
    <t xml:space="preserve"> Հյուսիս-հարավ ճանապարհային միջանցքի զարգացման ծրագրի Գյումրու շրջանցիկ ճանապարհի համակարգում և կառավարում, Տրանշ 5</t>
  </si>
  <si>
    <t xml:space="preserve"> ՄԵՔԵՆԱՆԵՐ  ԵՎ  ՍԱՐՔԱՎՈՐՈՒՄՆԵՐ</t>
  </si>
  <si>
    <t xml:space="preserve"> - Վարչական սարքավորումներ</t>
  </si>
  <si>
    <t xml:space="preserve"> - Ոչ նյութական հիմնական միջոցներ</t>
  </si>
  <si>
    <t>21012</t>
  </si>
  <si>
    <t xml:space="preserve"> Եվրասիական զարգացման բանկի աջակցությամբ իրականացվող Հյուսիս-հարավ միջանցքի զարգացման ծրագիր</t>
  </si>
  <si>
    <t>21018</t>
  </si>
  <si>
    <t xml:space="preserve"> Հյուսիս-հարավ ճանապարհային միջանցքի զարգացման ծրագրի Քաջարանի թունելի և մոտեցումների կառուցում</t>
  </si>
  <si>
    <t>2028թ բյուջե  
(հազ. դրամ)</t>
  </si>
  <si>
    <t>11007</t>
  </si>
  <si>
    <t>21004</t>
  </si>
  <si>
    <t>Ընթացիկ պահպանման ծախսեր</t>
  </si>
  <si>
    <t>Ծրագրով նախատեսված ամբողջ գումարը, ԱՄՆ դոլար</t>
  </si>
  <si>
    <t>Ծրագրով նախատեսված ամբողջ գումարը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</si>
  <si>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</si>
  <si>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>Ծրագրով նախատեսված ամբողջ գումարը Եվրո</t>
  </si>
  <si>
    <t>Եվրոպական ներդրումային բանկի աջակցությամբ իրականացվող Հյուսիս-հարավ միջանցքի
 զարգացման վարկային ծրագիր, Տրանշ 3</t>
  </si>
  <si>
    <t>Շենքերի և շինությունների շինարարություն /Նախագծահետազոտական ծախսեր</t>
  </si>
  <si>
    <t>Ընթացիկ այլ կապիտալ դրամաշնորհի ծախս</t>
  </si>
  <si>
    <t xml:space="preserve"> Ասիական զարգացման բանկի աջակցությամբ իրականացվող Հյուսիս-հարավ ճանապարհային միջանցքի զարգացման ծրագրի Սիսիան-Քաջարան 60կմ-ի ճանապարհի Հյուսիսային ենթահատվածի համակարգում և կառավարում</t>
  </si>
  <si>
    <t>ԱՄՆ դոլար</t>
  </si>
  <si>
    <t>Տարածքային կառավարման և ենթակառուցվածքների նախարարություն</t>
  </si>
  <si>
    <r>
      <t xml:space="preserve">Պետական մարմնի անվանումը </t>
    </r>
    <r>
      <rPr>
        <u/>
        <sz val="11"/>
        <color theme="1"/>
        <rFont val="Calibri"/>
        <family val="2"/>
        <scheme val="minor"/>
      </rPr>
      <t>_Տարածքային կառավարման և ենթակառուցվածքների նախարարություն</t>
    </r>
  </si>
  <si>
    <t xml:space="preserve"> Ծրագրի նպատակը/
Միջոցառման նկարագրությունը</t>
  </si>
  <si>
    <t>Խորհրդատվական ծառայություններ և պահպանման ծախսեր</t>
  </si>
  <si>
    <t>Ծառայությունների մատուցում</t>
  </si>
  <si>
    <t>Հյուսիս-հարավ ճանապարհային միջանցքի զարգացման ծրագրի Գյումրու շրջանցիկ ճանապարհի շրջանակներում հողերի օտարում</t>
  </si>
  <si>
    <t>Ճանապարհաշինական աշխատանքներ</t>
  </si>
  <si>
    <t>Հանրության կողմից անմիջականորեն օգտագործվող ակտիվների հետ կապված միջոցառումներ</t>
  </si>
  <si>
    <t>Աշտարակ-Թալին 29+600կմ-71+500կմ հատվածի կառուցում</t>
  </si>
  <si>
    <t>Լանջիկ-Գյումրի 27.47 կմ երկարությամբ ճանապարհային հատվածի կառուցում</t>
  </si>
  <si>
    <t>Քաջարանի թունելի և մոտեցումների շինարարություն</t>
  </si>
  <si>
    <t xml:space="preserve"> Ճանապարհային ցանցի բարելավում և անվտանգ երթևեկության </t>
  </si>
  <si>
    <t xml:space="preserve">Տրանշ 2-ի՝ Աշտարակ-Թալին շուրջ 42 կմ ընդհանուր երկարությամբ I տեխնիկական կարգի (100 կմ/ժամ  հաշվարկային 
արագությամբ) ճանապարհահատվածի
կառուցում </t>
  </si>
  <si>
    <t xml:space="preserve">1. Նախատեսվում է կառուցել I  տեխնիկական կարգի (100 կմ/ժամ հաշվարկային արագությամբ) շուրջ 42 կմ ընդհանուր երկարությամբ ճանապարհահատված: Գոյություն ունեցող միակողմանի 2 երթևեկելի գոտուց բաղկացած Մ1 մայրուղու վերակառուցում միջազգային չափանիշներին համապատասխան 4 երթևեկելի գոտուց բաղկացած երկկողմ ավտոմայրուղի  2.Հարմարավետության ու անվտանգության բարձրացում; 3. Ապրանքաշրջանառության մեծացում, տրանսպորտային ծախսերի կրճատում, տարանցիկ տրանսպորտի ներգրավում, տուրիզմի զարգացում _թիվ 1902Լ Որոշում կետ 46.3
</t>
  </si>
  <si>
    <t>Այո</t>
  </si>
  <si>
    <t xml:space="preserve"> Տրանշ 4-ի՝ Քաջարան-Ագարակ շուրջ 32 կմ ընդհանուր երկարությամբ II  տեխնիկական կարգի (80 կմ/ժամ հաշվարկային արագությամբ) ճանապարհահատվածի վերակառուցում </t>
  </si>
  <si>
    <t>32կմ</t>
  </si>
  <si>
    <t> Քաջարան-Ագարակ հատվածում ճանապարհորդության ժամանակը մոտ 35-40 րոպեով կրճատում; Հարմարավետության ու անվտանգության բարձրացում;Ապրանքաշրջանառության մեծացում, տրանսպորտային ծախսերի կրճատում, տարանցիկ տրանսպորտի ներգրավում, տուրիզմի զարգացում _թիվ 1902Լ Որոշում կետ 46.4</t>
  </si>
  <si>
    <t xml:space="preserve">Տրանշ 4-ի՝ Քաջարանի թունելի (երկարությունը՝ շուրջ 7.0 կմ) կառուցման և գոյություն ունեցող Մ-2,Երևան-Երասխ-ԳորիսՄեղրի-Իրանի սահման ճանապարհին շուրջ 4 կմ (Քաջարանի թունելի մուտք- ՍիսիանՔաջարան  նախատեսվող նոր ճանապարհահատվածի խաչմերուկ) երկարությամբ հատվածի վերակառուցման աշխատանքների իրականացում </t>
  </si>
  <si>
    <t>7կմ</t>
  </si>
  <si>
    <t>Քաջարան-Ագարակ հատվածի երկարության մոտ 14 կմ-ով կրճատում, 
*Տրանսպորտային միջոցների առկա 50 կմ/ժ միջին արագությանը ավելացում մինչև 80 կմ / ժ,
*Քաջարան-Ագարակ հատվածում ճանապարհորդության ժամանակը մոտ 35-40 րոպեով կրճատում,
*Մեղրիի լեռնանցքի (ծովի մակարդակից 2535 մետր բարձրության վրա) օգտագործման նվազեցում, ինչը էապես կբարձրացնի ճանապարհային անվտանգության մակարդակը, ինչպես նաև հնարավորություն կտա խուսափել ձմռանը Մեղրիի լեռնանցքում անցանելիություն ապահովելու հետ կապված դժվարություններից,
*Հարմարավետության ու անվտանգության բարձրացում;
*Ապրանքաշրջանառության մեծացում, տրանսպորտային ծախսերի կրճատում, տարանցիկ տրանսպորտի ներգրավում, տուրիզմի զարգացում  _թիվ 1902Լ Որոշում կետ 46.2</t>
  </si>
  <si>
    <t xml:space="preserve">Տրանշ 5՝ Գյումրի
շրջանցիկ
ճանապարհահատվածի
կառուցում </t>
  </si>
  <si>
    <t>23կմ</t>
  </si>
  <si>
    <t xml:space="preserve"> Մ-6, ՎանաձորԱլավերդի-Վրաստանի
սահման միջպետական
նշանակության
ավտոճանապարհի կմ38+450-
կմ90+191 հատվածի
աղետի հետևանքով վերականգնման և բարելավման հանար նախագծային աշխատանքներ</t>
  </si>
  <si>
    <t xml:space="preserve">Տրանշ 3՝ Լանջիկ-Գյումրի, 42 կմ
ճանապարհահատվածի շինարարական
աշխատանքների իրականացում </t>
  </si>
  <si>
    <t>20% + 40%</t>
  </si>
  <si>
    <t>1. Գոյություն ունեցող միակողմանի 2 երթևեկելի գոտուց բաղկացած Մ1 մայրուղու վերակառուցում միջազգային չափանիշներին համապատասխան 4 երթևեկելի գոտուց բաղկացած երկկողմ ավտոմայրուղի
2. Հարմարավետության ու անվտանգության բարձրացում, 
3. Ապրանքաշրջանառության մեծացում, տրանսպորտային ծախսերի կրճատում, տարանցիկ
տրանսպորտի ներգրավում, տուրիզմի զարգացում  _թիվ 1902Լ Որոշում կետ 46.5</t>
  </si>
  <si>
    <t>42կմ</t>
  </si>
  <si>
    <t>8.8 կմ + 34կմ</t>
  </si>
  <si>
    <t xml:space="preserve">Տրանշ 4-ի՝ ՍիսիանՔաջարան II տեխնիկական
կարգի (100 կմ/ժամ հաշվարկային արագությամբ) շուրջ 60 կմ ընդհանուր
երկարությամբ նոր ճանապարհահատվածի, այդ թվում՝ 4.7 կմ ընդհանուր երկարությամբ կամուրջների և 12.5 կմ ընդհանուր երկարությամբ թունելների (ամենաերկարը` Բարգուշատի թունելն է, որի երկարությունը
կկազմի շուրջ 8.6 կմ) կառուցում </t>
  </si>
  <si>
    <t>60կմ</t>
  </si>
  <si>
    <t>1. Սիսիան-Քաջարան ճանապարհային հատվածի երկարությունը մոտ 58 կմ-ով
կրճատում,
2. Տրանսպորտային միջոցների առկա 50 կմ / ժ միջին արագության ավելացում մինչև 100 կմ / ժ
3. Ճանապարհորդության ժամանակի մոտ 1,5-2 ժամով կրճատում 
4. Հարմարավետության ու անվտանգության բարձրացում  
5. Ապրանքաշրջանառության մեծացում, տրանսպորտային ծախսերի կրճատում, տարանցիկ տրանսպորտի ներգրավում, տուրիզմի զարգացում _թիվ 1902Լ Որոշում կետ 46.1</t>
  </si>
  <si>
    <t>Հողերի գործւընթաց իրականացում թիվ 1902Լ Որոշում կետ 46.7</t>
  </si>
  <si>
    <r>
      <t xml:space="preserve">1. 51,74կմ վերակառուցված ճանապարհ 
2. Վանաձորից Բագրատաշեն երթևեկության տևողության կրճատում մինչև 100 րոպե՝ 2014 թ. 110 րոպեի համեմատ 
3. Անհարթության միջազգայի ցուցիչի (IRI) նվազեցում 6-ից մինչև 3 
</t>
    </r>
    <r>
      <rPr>
        <sz val="8"/>
        <color theme="1"/>
        <rFont val="GHEA Grapalat"/>
        <family val="3"/>
      </rPr>
      <t>4. Ձորագետ, Դեբեդ և Աղստև գետերի մանրամասն ջրաբանական ուսումնասիրությունների և դրանց արդյունքների հիման վրա Մ-6 ճանապարհի վերականգնման նախագծային աշխատանքներ</t>
    </r>
    <r>
      <rPr>
        <i/>
        <sz val="8"/>
        <color theme="1"/>
        <rFont val="GHEA Grapalat"/>
        <family val="3"/>
      </rPr>
      <t xml:space="preserve">
թիվ 1902Լ Որոշում կետ 47</t>
    </r>
  </si>
  <si>
    <t>9.1 Մշակել որակյալ, հուսալի, կայուն և դիմակայուն, այդ թվում՝ տարածաշրջանային և անդրսահմանային ենթակառուցվածքներ՝ օժանդակելու տնտեսական զարգացմանը և մարդկանց բարեկեցությանը, ուշադրության կենտրոնում պահելով մատչելի և արդարացի հասանելիություն բոլորի համար
9.4 Մինչև 2030 թ. արդիականացնել ենթակառուցվածքները և վերազինել ձեռնարկությունները՝ դրանք դարձնելու կայուն՝ ռեսուրսների օգտագործման ավելի բարձր արդյունավետությամբ և մաքուր, շրջակա միջավայրի համար անվտանգ տեխնոլոգիաների և գործընթացների առավել լայն ընդունմամբ՝ բոլոր երկրների ձեռնարկած գործողությունների շնորհիվ՝ իրենց համապատասխան հզորությունների համաձայն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</si>
  <si>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Times Armenian"/>
        <family val="1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</si>
  <si>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Times Armenian"/>
        <family val="1"/>
      </rPr>
      <t>22</t>
    </r>
  </si>
  <si>
    <r>
      <t xml:space="preserve"> Միջոցառում</t>
    </r>
    <r>
      <rPr>
        <vertAlign val="superscript"/>
        <sz val="9"/>
        <rFont val="Times Armenian"/>
        <family val="1"/>
      </rPr>
      <t>23</t>
    </r>
    <r>
      <rPr>
        <sz val="9"/>
        <rFont val="Times Armenian"/>
        <family val="1"/>
      </rPr>
      <t xml:space="preserve"> </t>
    </r>
  </si>
  <si>
    <r>
      <t>Արդյունքային չափորոշիչը</t>
    </r>
    <r>
      <rPr>
        <vertAlign val="superscript"/>
        <sz val="9"/>
        <rFont val="Times Armenian"/>
        <family val="1"/>
      </rPr>
      <t>26</t>
    </r>
  </si>
  <si>
    <r>
      <t xml:space="preserve"> Տեսակը</t>
    </r>
    <r>
      <rPr>
        <vertAlign val="superscript"/>
        <sz val="9"/>
        <rFont val="Times Armenian"/>
        <family val="1"/>
      </rPr>
      <t>24</t>
    </r>
  </si>
  <si>
    <t xml:space="preserve"> ՀՀ տարածքային կառավարման և ենթակառուցվածքների նախարարություն </t>
  </si>
  <si>
    <t xml:space="preserve">                                    Ճանապարհային ցանցի բարելավում </t>
  </si>
  <si>
    <t xml:space="preserve"> 1049 - 11004 </t>
  </si>
  <si>
    <t>Ավտոմոբիլային ճանապարհների ցանցի հսկողություն, ուսումնասիրություններ և փորձաքննություններ</t>
  </si>
  <si>
    <t xml:space="preserve">                                                                                                          Ավտոմոբիլային ճանապարհների ցանցի հսկողություն, ուսումնասիրություններ և փորձաքննություններ</t>
  </si>
  <si>
    <t xml:space="preserve"> Միջպետական և հանրապետական նշանակության ավտոմոբիլային ճանապարհների, ինժեներական կառույցների նպատակային օգտագործման, պահպանման, տեխնիկական չափանիշների ստուգման և աշխատանքների արդյունքների ընդունման  ծառայություններ </t>
  </si>
  <si>
    <t xml:space="preserve"> Ծառայությունների մատուցում </t>
  </si>
  <si>
    <t xml:space="preserve"> Ծառայությունը մատուցողի անվանումը`  Մասնագիտացված կազմակերպություն </t>
  </si>
  <si>
    <t xml:space="preserve">Երթևեկության ինտենսիվության չափումներ` Հաշվեկետեր, հատ </t>
  </si>
  <si>
    <t>Երթևեկության ինտենսիվության չափումներ` Այցելություններ, հատ</t>
  </si>
  <si>
    <t xml:space="preserve">ՀՀ պետական նշանակության ավտոմոբիլային ճանապարհների առանձին հատվածների գույքագրում, կիլոմետր </t>
  </si>
  <si>
    <t xml:space="preserve">  ՀՀ պետական նշանակության ավտոմոբիլային ճանապարհների առանձին հատվածների ծածկի միջազգային անհարթության ինդեքսի մշտադիտարկում, կիլոմետր </t>
  </si>
  <si>
    <t xml:space="preserve">  Ծածկի միջազգային անհարթության ինդեքսով մշտադիտարկված հատվածների կշիռը ընդհանուր ճանապարհային ցանցում, տոկոս </t>
  </si>
  <si>
    <t xml:space="preserve"> ՀՀ պետական նշանակության ավտոմոբիլային ճանապարհների երթևկության ավտանգության բարելավման միջոցառումների մշակման համար վթարային տեղամասերի ուսումնասիրություն՛ այցելություն, հատ </t>
  </si>
  <si>
    <t xml:space="preserve"> ՀՀ պետական նշանակության ավտոմոբիլային ճանապարհների ճանապարհաշինության ոլորտում օգտագործվող շինարարական նյութերի և պատրաստի արտադրանքի լաբորատոր փորձարկումներ՛ պետական պատվերի շրջանակներում հանուկների հանում և տեղափոխում լաբորատորիա, հատ </t>
  </si>
  <si>
    <t xml:space="preserve"> ՀՀ պետական նշանակության ավտոմոբիլային ճանապարհների ճանապարհաշինության ոլորտում օգտագործվող շինարարական նյութերի և պատրաստի արտադրանքի լաբորատոր փորձարկումներ՛ պետական պատվերի շրջանակներում փորձարկում, հատ </t>
  </si>
  <si>
    <t xml:space="preserve"> ՀՀ պետական նշանակության ավտոմոբիլային ճանապարհների հիմնանորոգման աշխատանքների նկատմամբ հսկողության իրականացում՛ այցելություն, հատ </t>
  </si>
  <si>
    <t xml:space="preserve"> Միջպետական ու հանրապետական նշանակության ավտոմոբիլային ճանապարհների միջին նորոգման թերությունների ակտերի կազմման նպատակով կատարված ուսումնասիրություններ՛ այցելություն, հատ </t>
  </si>
  <si>
    <t xml:space="preserve"> Միջպետական ու հանրապետական նշանակության ավտոմոբիլային ճանապարհների միջին նորոգման աշխատանքների նկատմամբ հսկողության իրականացում՛ այցելություն, հատ </t>
  </si>
  <si>
    <t xml:space="preserve"> Ճանապարհների ընթացիկ ամառային և ձմեռային, մետաղական արգելափակոցների, ճանապարհների վրա գտնվող և առանձին պահպանմանը հանձնված թունելների և կամուրջների պահպանման աշխատանքների նկատմամբ հսկողության իրականացում՛ այցելություն, հատ </t>
  </si>
  <si>
    <t xml:space="preserve"> 102 </t>
  </si>
  <si>
    <t xml:space="preserve"> 125 </t>
  </si>
  <si>
    <t xml:space="preserve"> 600 </t>
  </si>
  <si>
    <t xml:space="preserve"> 1600 </t>
  </si>
  <si>
    <t xml:space="preserve"> 21.3 </t>
  </si>
  <si>
    <t xml:space="preserve"> 18 </t>
  </si>
  <si>
    <t xml:space="preserve"> 93 </t>
  </si>
  <si>
    <t xml:space="preserve"> 118 </t>
  </si>
  <si>
    <t xml:space="preserve"> 163 </t>
  </si>
  <si>
    <t xml:space="preserve"> 19 </t>
  </si>
  <si>
    <t xml:space="preserve"> 172 </t>
  </si>
  <si>
    <t xml:space="preserve"> 15 </t>
  </si>
  <si>
    <t xml:space="preserve"> 21.4</t>
  </si>
  <si>
    <t xml:space="preserve"> 21.5</t>
  </si>
  <si>
    <t xml:space="preserve"> 21.6</t>
  </si>
  <si>
    <t xml:space="preserve"> 21.7</t>
  </si>
  <si>
    <t>1049-11007</t>
  </si>
  <si>
    <t xml:space="preserve"> Խորհրդատվական ծառայություններ և պահպանման ծախսեր </t>
  </si>
  <si>
    <t>Խորհրդատվությունների (պայմանագրերի) քանակը, հատ</t>
  </si>
  <si>
    <t>Ֆինանսական աուդիտ</t>
  </si>
  <si>
    <t>Միջոցառման շրջանակներում իրականացվող ծախսերի կատարման տոկոս (ծրագրի սկզբից ներառյալ հաշվետու տարին)</t>
  </si>
  <si>
    <t xml:space="preserve"> Ծառայությունը մատուցողի անվանումը` Մասնագիտացված միավոր</t>
  </si>
  <si>
    <t xml:space="preserve">  Ծառայությունների մատուցում </t>
  </si>
  <si>
    <t>1049-11009</t>
  </si>
  <si>
    <t>1049-11012</t>
  </si>
  <si>
    <t>1049-11016</t>
  </si>
  <si>
    <t>Հողերի օտարում, շահառուների քանակ</t>
  </si>
  <si>
    <t>1049-11017</t>
  </si>
  <si>
    <t>1049-11020</t>
  </si>
  <si>
    <t>1049-21004</t>
  </si>
  <si>
    <t>Պայմանագրերի քանակը, հատ</t>
  </si>
  <si>
    <t>Ջրաբանական ուսումնասիրությունների ծառայություն, հատ</t>
  </si>
  <si>
    <t>Ճանապարհի վերականգնման նախագծային աշխատանքների ծառայություն, հատ</t>
  </si>
  <si>
    <t xml:space="preserve"> Տեխնիկական հսկողություն, հատ </t>
  </si>
  <si>
    <t xml:space="preserve"> Ըստ կապալի պայմանագրի հետավարտական աշխատանքների իրականացում (Հետ երաշխիքային գումարիների վճարում), հատ </t>
  </si>
  <si>
    <t xml:space="preserve"> Ճանապարհաշինական աշխատանքներ </t>
  </si>
  <si>
    <t xml:space="preserve"> Հանրության կողմից անմիջականորեն օգտագործվող ակտիվների հետ կապված միջոցառումներ </t>
  </si>
  <si>
    <t xml:space="preserve"> Միջոցառումն իրականացնողի անվանումը` Մասնագիտացված միավոր </t>
  </si>
  <si>
    <t>1049-21006</t>
  </si>
  <si>
    <t xml:space="preserve"> Աշտարակ-Թալին 29+600կմ-71+500կմ հատվածի կառուցում </t>
  </si>
  <si>
    <t>Տեխնիկական հսկողություն, հատ</t>
  </si>
  <si>
    <t>ՀՕՏԾ նախագծող, իրականացնող, հատ</t>
  </si>
  <si>
    <t>Կապալառուների քանակը, հատ</t>
  </si>
  <si>
    <t>1-ին հատված (կմ 29+600-կմ 37+545), ընդհանուր ծավալի մեջ, տոկոս</t>
  </si>
  <si>
    <t xml:space="preserve"> 2-րդ հատված (37+545-կմ 71+500), ընդհանուր ծավալի մեջ, տոկոս</t>
  </si>
  <si>
    <t xml:space="preserve"> 2</t>
  </si>
  <si>
    <t xml:space="preserve"> 1</t>
  </si>
  <si>
    <t>1</t>
  </si>
  <si>
    <t>2</t>
  </si>
  <si>
    <t>10</t>
  </si>
  <si>
    <t>1049-21009</t>
  </si>
  <si>
    <t xml:space="preserve"> Լանջիկ-Գյումրի 27.47 կմ երկարությամբ ճանապարհային հատվածի կառուցում </t>
  </si>
  <si>
    <t> Կառուցվող ճանապարհահատված, հետերաշխիքային գումար, տոկոս</t>
  </si>
  <si>
    <t>1049-21012</t>
  </si>
  <si>
    <t>Պայմանագրերի քանակը, հատ այդ թվում`</t>
  </si>
  <si>
    <t>Հեղինակային հսկողություն</t>
  </si>
  <si>
    <t>Կապալի պայմանագրերի քանակը (հատ)</t>
  </si>
  <si>
    <t>Կառուցվող ճանապարհահատված, ընդհանուր ծավալի մեջ, տոկոս</t>
  </si>
  <si>
    <t>Վարչական սարքավորումներ, քանակ</t>
  </si>
  <si>
    <t>Ոչ նյութական հիմնական միջոցներ, քանակ</t>
  </si>
  <si>
    <t>5</t>
  </si>
  <si>
    <t>60</t>
  </si>
  <si>
    <t xml:space="preserve"> 10</t>
  </si>
  <si>
    <t xml:space="preserve"> 5</t>
  </si>
  <si>
    <t>1049-21018</t>
  </si>
  <si>
    <t xml:space="preserve"> Քաջարանի թունելի և մոտեցումների շինարարություն </t>
  </si>
  <si>
    <t>Տեխնիկական հսկողություն (հատ)</t>
  </si>
  <si>
    <t>Թունելների պահպանման նորմատիվային բազայի և համակարգի մշակման ծառայություն</t>
  </si>
  <si>
    <t>Կառուցվող ճանապարհահատված, կանխավճար, ընդհանուր ծավալի մեջ, տոկոս</t>
  </si>
  <si>
    <t>3</t>
  </si>
  <si>
    <t>Կապալի պայմանագրերի քանակը (հատ) այդ թվում`</t>
  </si>
  <si>
    <t>21009</t>
  </si>
  <si>
    <t>Երևան</t>
  </si>
  <si>
    <t>Արագածոտնի մարզ</t>
  </si>
  <si>
    <t>Շիրակի մարզ</t>
  </si>
  <si>
    <t>Սյունիքի մարզ</t>
  </si>
  <si>
    <t>Լոռու մարզ</t>
  </si>
  <si>
    <t>Ծառայությունների մատուցում*</t>
  </si>
  <si>
    <t>թիվ 1902Լ Որոշում կետ 46.3</t>
  </si>
  <si>
    <t>թիվ 1902Լ Որոշում կետ 47</t>
  </si>
  <si>
    <t>թիվ 1902Լ Որոշում կետ 46.4</t>
  </si>
  <si>
    <t>թիվ 1902Լ Որոշում կետ 46.5</t>
  </si>
  <si>
    <t>թիվ 1902Լ Որոշում կետ 46.1</t>
  </si>
  <si>
    <t>թիվ 1902Լ Որոշում կետ 46.2</t>
  </si>
  <si>
    <t>թիվ 1902Լ Որոշում կետ 46.8</t>
  </si>
  <si>
    <t>Նոր միջոցառումների համար վարկային համաձայնագրերի կնքում</t>
  </si>
  <si>
    <t>Վարկային համաձայնագրերի կնքման համար բանակցությունների մեկնարկ ծրագրի նախապատրաստական փուլին համապատասխան</t>
  </si>
  <si>
    <t>ՀՕՏԾ ծրագրի ընթացքում առաջացող խնդիրները</t>
  </si>
  <si>
    <t>Կադաստրի կոմիտեի հետ համատեղ աշխատանքների իրականացում՝ ճշտված կադաստրային քարտեզների հիման վրա</t>
  </si>
  <si>
    <t>Նոր նախատեղվող միջոցառումների համար մրցույթային գործընթացների ընթացքը</t>
  </si>
  <si>
    <t>Ռիսկի գործոնը կախված է ներկայացվող հայտերից և ընկերությունների կարողություններից</t>
  </si>
  <si>
    <t>Ծրագրի նախապատրաստման ընթացքում ի հայտ եկած այլ խնդիրները</t>
  </si>
  <si>
    <t>Նախագծային փուլում տեխնիկական խնդիրների հետ կապված ռիսկերի գնահատում և համապատասխան հասցեագրում՝ բնապահպանական և սոցիալական հնարավոր ազդեցությունների հետ կապված կանխարգելիչ գործողությունների իրականացում</t>
  </si>
  <si>
    <t>Ընթացիկ</t>
  </si>
  <si>
    <t>Կապիտալ</t>
  </si>
  <si>
    <t>Միջազգային Վարկային Համաձայնագիր</t>
  </si>
  <si>
    <t>ԱԶԲ և ՀՀ</t>
  </si>
  <si>
    <t>ԵԶԲ և ՀՀ</t>
  </si>
  <si>
    <t>ԱԶԲ, ԵՆԲ և ՀՀ</t>
  </si>
  <si>
    <t>ՎԶԵԲ և ՀՀ</t>
  </si>
  <si>
    <t>Միջազգային Վարկային Համաձայնագիրը բանակցությունների փուլում է</t>
  </si>
  <si>
    <t>ԵՆԲ և ՀՀ</t>
  </si>
  <si>
    <t>2024-2025</t>
  </si>
  <si>
    <t>ՀՕՏԾ նախագծող</t>
  </si>
  <si>
    <t>Եվրոպական ներդրումային բանկի աջակցությամբ իրականացվող Հյուսիս-հարավ միջանցքի զարգացման վարկային ծրագիր, Տրանշ 3</t>
  </si>
  <si>
    <t>բյուջե</t>
  </si>
  <si>
    <t>ՄԺԾԾ</t>
  </si>
  <si>
    <t>Ճանապարհային ցանցի բարելավում</t>
  </si>
  <si>
    <t>Հյուսիս-հարավ ճանապարհային ցանցի կառուցում, Միջպետական ճանապարհների վերազիննում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</si>
</sst>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  <numFmt numFmtId="167" formatCode="0.0"/>
    <numFmt numFmtId="168" formatCode="_(* #,##0_);_(* \(#,##0\);_(* &quot;-&quot;??_);_(@_)"/>
    <numFmt numFmtId="169" formatCode="_(* #,##0.0_);_(* \(#,##0.0\);_(* &quot;-&quot;?_);_(@_)"/>
  </numFmts>
  <fonts count="87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u/>
      <sz val="11"/>
      <color theme="1"/>
      <name val="Calibri"/>
      <family val="2"/>
      <scheme val="minor"/>
    </font>
    <font>
      <b/>
      <sz val="9"/>
      <color theme="1"/>
      <name val="Times Armenian"/>
      <family val="1"/>
    </font>
    <font>
      <sz val="9"/>
      <color theme="1"/>
      <name val="Times Armenian"/>
      <family val="1"/>
    </font>
    <font>
      <b/>
      <sz val="9"/>
      <color rgb="FF002060"/>
      <name val="Times Armenian"/>
      <family val="1"/>
    </font>
    <font>
      <vertAlign val="superscript"/>
      <sz val="9"/>
      <color theme="1"/>
      <name val="Times Armenian"/>
      <family val="1"/>
    </font>
    <font>
      <b/>
      <vertAlign val="superscript"/>
      <sz val="9"/>
      <color theme="1"/>
      <name val="Times Armenian"/>
      <family val="1"/>
    </font>
    <font>
      <sz val="9"/>
      <name val="Times Armenian"/>
      <family val="1"/>
    </font>
    <font>
      <vertAlign val="superscript"/>
      <sz val="9"/>
      <name val="Times Armenian"/>
      <family val="1"/>
    </font>
    <font>
      <b/>
      <sz val="9"/>
      <name val="Times Armenian"/>
      <family val="1"/>
    </font>
    <font>
      <sz val="8"/>
      <name val="Calibri"/>
      <family val="2"/>
      <scheme val="minor"/>
    </font>
    <font>
      <sz val="9"/>
      <color rgb="FFFF0000"/>
      <name val="Times Armenian"/>
      <family val="1"/>
    </font>
    <font>
      <sz val="10"/>
      <name val="GHEA Grapalat"/>
      <family val="3"/>
    </font>
    <font>
      <i/>
      <sz val="10"/>
      <color rgb="FF000000"/>
      <name val="GHEA Grapalat"/>
      <family val="3"/>
    </font>
    <font>
      <i/>
      <sz val="10"/>
      <color theme="1"/>
      <name val="GHEA Grapalat"/>
      <family val="3"/>
    </font>
  </fonts>
  <fills count="4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24" fillId="0" borderId="0"/>
    <xf numFmtId="0" fontId="25" fillId="17" borderId="28" applyNumberFormat="0" applyFont="0" applyAlignment="0" applyProtection="0"/>
    <xf numFmtId="0" fontId="28" fillId="0" borderId="0">
      <alignment horizontal="left" vertical="top" wrapText="1"/>
    </xf>
    <xf numFmtId="0" fontId="29" fillId="0" borderId="0" applyNumberFormat="0" applyFill="0" applyBorder="0" applyAlignment="0" applyProtection="0"/>
    <xf numFmtId="0" fontId="30" fillId="0" borderId="21" applyNumberFormat="0" applyFill="0" applyAlignment="0" applyProtection="0"/>
    <xf numFmtId="0" fontId="31" fillId="0" borderId="22" applyNumberFormat="0" applyFill="0" applyAlignment="0" applyProtection="0"/>
    <xf numFmtId="0" fontId="32" fillId="0" borderId="23" applyNumberFormat="0" applyFill="0" applyAlignment="0" applyProtection="0"/>
    <xf numFmtId="0" fontId="32" fillId="0" borderId="0" applyNumberFormat="0" applyFill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5" fillId="13" borderId="0" applyNumberFormat="0" applyBorder="0" applyAlignment="0" applyProtection="0"/>
    <xf numFmtId="0" fontId="36" fillId="14" borderId="24" applyNumberFormat="0" applyAlignment="0" applyProtection="0"/>
    <xf numFmtId="0" fontId="37" fillId="15" borderId="25" applyNumberFormat="0" applyAlignment="0" applyProtection="0"/>
    <xf numFmtId="0" fontId="38" fillId="15" borderId="24" applyNumberFormat="0" applyAlignment="0" applyProtection="0"/>
    <xf numFmtId="0" fontId="39" fillId="0" borderId="26" applyNumberFormat="0" applyFill="0" applyAlignment="0" applyProtection="0"/>
    <xf numFmtId="0" fontId="40" fillId="16" borderId="27" applyNumberFormat="0" applyAlignment="0" applyProtection="0"/>
    <xf numFmtId="0" fontId="2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29" applyNumberFormat="0" applyFill="0" applyAlignment="0" applyProtection="0"/>
    <xf numFmtId="0" fontId="43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43" fillId="21" borderId="0" applyNumberFormat="0" applyBorder="0" applyAlignment="0" applyProtection="0"/>
    <xf numFmtId="0" fontId="43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43" fillId="25" borderId="0" applyNumberFormat="0" applyBorder="0" applyAlignment="0" applyProtection="0"/>
    <xf numFmtId="0" fontId="43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43" fillId="29" borderId="0" applyNumberFormat="0" applyBorder="0" applyAlignment="0" applyProtection="0"/>
    <xf numFmtId="0" fontId="43" fillId="30" borderId="0" applyNumberFormat="0" applyBorder="0" applyAlignment="0" applyProtection="0"/>
    <xf numFmtId="0" fontId="25" fillId="31" borderId="0" applyNumberFormat="0" applyBorder="0" applyAlignment="0" applyProtection="0"/>
    <xf numFmtId="0" fontId="25" fillId="32" borderId="0" applyNumberFormat="0" applyBorder="0" applyAlignment="0" applyProtection="0"/>
    <xf numFmtId="0" fontId="43" fillId="33" borderId="0" applyNumberFormat="0" applyBorder="0" applyAlignment="0" applyProtection="0"/>
    <xf numFmtId="0" fontId="43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43" fillId="37" borderId="0" applyNumberFormat="0" applyBorder="0" applyAlignment="0" applyProtection="0"/>
    <xf numFmtId="0" fontId="43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43" fillId="41" borderId="0" applyNumberFormat="0" applyBorder="0" applyAlignment="0" applyProtection="0"/>
    <xf numFmtId="164" fontId="28" fillId="0" borderId="0" applyFill="0" applyBorder="0" applyProtection="0">
      <alignment horizontal="right" vertical="top"/>
    </xf>
    <xf numFmtId="0" fontId="25" fillId="17" borderId="28" applyNumberFormat="0" applyFont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31" borderId="0" applyNumberFormat="0" applyBorder="0" applyAlignment="0" applyProtection="0"/>
    <xf numFmtId="0" fontId="25" fillId="32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43" fontId="44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55" fillId="0" borderId="0" applyFill="0" applyBorder="0" applyProtection="0">
      <alignment horizontal="right" vertical="top"/>
    </xf>
    <xf numFmtId="43" fontId="59" fillId="0" borderId="0" applyFont="0" applyFill="0" applyBorder="0" applyAlignment="0" applyProtection="0"/>
  </cellStyleXfs>
  <cellXfs count="377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Border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Border="1" applyAlignment="1">
      <alignment vertical="center"/>
    </xf>
    <xf numFmtId="0" fontId="5" fillId="7" borderId="0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textRotation="90" wrapText="1"/>
    </xf>
    <xf numFmtId="0" fontId="7" fillId="9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8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vertical="center" textRotation="90" wrapText="1"/>
    </xf>
    <xf numFmtId="0" fontId="7" fillId="5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6" borderId="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21" fillId="0" borderId="0" xfId="0" applyFont="1"/>
    <xf numFmtId="0" fontId="22" fillId="2" borderId="1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/>
    </xf>
    <xf numFmtId="0" fontId="21" fillId="0" borderId="0" xfId="0" applyFont="1" applyFill="1"/>
    <xf numFmtId="0" fontId="23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6" fillId="0" borderId="0" xfId="0" applyFont="1"/>
    <xf numFmtId="0" fontId="27" fillId="0" borderId="0" xfId="0" applyFont="1"/>
    <xf numFmtId="0" fontId="0" fillId="0" borderId="0" xfId="0" applyAlignment="1"/>
    <xf numFmtId="0" fontId="0" fillId="0" borderId="0" xfId="0" applyFont="1"/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5" fillId="0" borderId="0" xfId="0" applyFont="1" applyAlignment="1">
      <alignment vertical="center"/>
    </xf>
    <xf numFmtId="0" fontId="46" fillId="0" borderId="0" xfId="0" applyFont="1" applyAlignment="1"/>
    <xf numFmtId="0" fontId="46" fillId="0" borderId="0" xfId="0" applyFont="1"/>
    <xf numFmtId="0" fontId="47" fillId="0" borderId="0" xfId="0" applyFont="1" applyAlignment="1">
      <alignment vertical="center"/>
    </xf>
    <xf numFmtId="0" fontId="45" fillId="0" borderId="0" xfId="0" applyFont="1" applyFill="1" applyAlignment="1">
      <alignment vertical="center"/>
    </xf>
    <xf numFmtId="0" fontId="47" fillId="0" borderId="0" xfId="0" applyFont="1" applyFill="1" applyAlignment="1">
      <alignment vertical="center"/>
    </xf>
    <xf numFmtId="0" fontId="50" fillId="0" borderId="0" xfId="0" applyFont="1"/>
    <xf numFmtId="49" fontId="48" fillId="2" borderId="18" xfId="0" applyNumberFormat="1" applyFont="1" applyFill="1" applyBorder="1" applyAlignment="1">
      <alignment horizontal="center" vertical="center" wrapText="1"/>
    </xf>
    <xf numFmtId="49" fontId="48" fillId="2" borderId="1" xfId="0" applyNumberFormat="1" applyFont="1" applyFill="1" applyBorder="1" applyAlignment="1">
      <alignment horizontal="center" vertical="center" wrapText="1"/>
    </xf>
    <xf numFmtId="0" fontId="48" fillId="2" borderId="1" xfId="0" applyFont="1" applyFill="1" applyBorder="1" applyAlignment="1">
      <alignment vertical="center" textRotation="90" wrapText="1"/>
    </xf>
    <xf numFmtId="0" fontId="43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3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1" fillId="0" borderId="0" xfId="0" applyFont="1" applyAlignment="1">
      <alignment horizontal="left"/>
    </xf>
    <xf numFmtId="0" fontId="13" fillId="0" borderId="0" xfId="0" applyFont="1"/>
    <xf numFmtId="0" fontId="52" fillId="0" borderId="0" xfId="0" applyFont="1" applyAlignment="1">
      <alignment horizontal="left" vertical="top" wrapText="1"/>
    </xf>
    <xf numFmtId="0" fontId="53" fillId="0" borderId="0" xfId="0" applyFont="1" applyAlignment="1">
      <alignment horizontal="center" vertical="center" wrapText="1"/>
    </xf>
    <xf numFmtId="0" fontId="52" fillId="0" borderId="0" xfId="0" applyFont="1" applyFill="1"/>
    <xf numFmtId="1" fontId="52" fillId="0" borderId="0" xfId="0" applyNumberFormat="1" applyFont="1" applyFill="1" applyAlignment="1" applyProtection="1">
      <alignment horizontal="center" vertical="center"/>
      <protection locked="0"/>
    </xf>
    <xf numFmtId="166" fontId="11" fillId="0" borderId="0" xfId="59" applyNumberFormat="1" applyFont="1" applyFill="1" applyAlignment="1" applyProtection="1">
      <alignment horizontal="left" vertical="center" wrapText="1"/>
    </xf>
    <xf numFmtId="166" fontId="11" fillId="0" borderId="0" xfId="59" applyNumberFormat="1" applyFont="1" applyFill="1" applyAlignment="1" applyProtection="1">
      <alignment horizontal="center" vertic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166" fontId="11" fillId="0" borderId="0" xfId="59" applyNumberFormat="1" applyFont="1" applyFill="1" applyAlignment="1" applyProtection="1">
      <alignment horizontal="left" vertical="center"/>
    </xf>
    <xf numFmtId="166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6" fillId="0" borderId="0" xfId="59" applyFont="1" applyFill="1" applyAlignment="1" applyProtection="1">
      <alignment vertical="center"/>
    </xf>
    <xf numFmtId="166" fontId="11" fillId="0" borderId="0" xfId="59" applyNumberFormat="1" applyFont="1" applyFill="1" applyAlignment="1" applyProtection="1">
      <alignment vertical="center" wrapText="1"/>
    </xf>
    <xf numFmtId="43" fontId="52" fillId="0" borderId="0" xfId="59" applyFont="1" applyFill="1" applyAlignment="1" applyProtection="1">
      <alignment vertical="center"/>
    </xf>
    <xf numFmtId="0" fontId="52" fillId="0" borderId="0" xfId="0" applyFont="1" applyFill="1" applyAlignment="1">
      <alignment horizontal="left"/>
    </xf>
    <xf numFmtId="0" fontId="58" fillId="0" borderId="0" xfId="0" applyFont="1" applyFill="1" applyAlignment="1">
      <alignment horizontal="left" vertical="center"/>
    </xf>
    <xf numFmtId="166" fontId="58" fillId="0" borderId="0" xfId="59" applyNumberFormat="1" applyFont="1" applyFill="1" applyAlignment="1" applyProtection="1">
      <alignment horizontal="left" vertical="center"/>
    </xf>
    <xf numFmtId="166" fontId="58" fillId="0" borderId="0" xfId="59" applyNumberFormat="1" applyFont="1" applyFill="1" applyAlignment="1" applyProtection="1">
      <alignment horizontal="left"/>
    </xf>
    <xf numFmtId="43" fontId="58" fillId="0" borderId="0" xfId="59" applyFont="1" applyFill="1" applyAlignment="1" applyProtection="1">
      <alignment horizontal="left"/>
    </xf>
    <xf numFmtId="43" fontId="57" fillId="0" borderId="0" xfId="59" applyFont="1" applyFill="1" applyAlignment="1" applyProtection="1">
      <alignment horizontal="left" vertical="center"/>
    </xf>
    <xf numFmtId="0" fontId="53" fillId="0" borderId="0" xfId="0" applyFont="1" applyFill="1" applyAlignment="1">
      <alignment horizontal="left"/>
    </xf>
    <xf numFmtId="1" fontId="52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2" fillId="43" borderId="7" xfId="0" applyFont="1" applyFill="1" applyBorder="1" applyAlignment="1" applyProtection="1">
      <alignment horizontal="center" vertical="center" wrapText="1"/>
      <protection locked="0"/>
    </xf>
    <xf numFmtId="0" fontId="11" fillId="43" borderId="7" xfId="0" applyFont="1" applyFill="1" applyBorder="1" applyAlignment="1">
      <alignment horizontal="center" vertical="center" wrapText="1"/>
    </xf>
    <xf numFmtId="43" fontId="11" fillId="43" borderId="7" xfId="0" applyNumberFormat="1" applyFont="1" applyFill="1" applyBorder="1" applyAlignment="1">
      <alignment horizontal="center" vertical="center" wrapText="1"/>
    </xf>
    <xf numFmtId="43" fontId="56" fillId="43" borderId="7" xfId="0" applyNumberFormat="1" applyFont="1" applyFill="1" applyBorder="1" applyAlignment="1">
      <alignment horizontal="center" vertical="center" wrapText="1"/>
    </xf>
    <xf numFmtId="43" fontId="11" fillId="43" borderId="1" xfId="0" applyNumberFormat="1" applyFont="1" applyFill="1" applyBorder="1" applyAlignment="1">
      <alignment horizontal="center" vertical="center" wrapText="1"/>
    </xf>
    <xf numFmtId="0" fontId="62" fillId="0" borderId="0" xfId="0" applyFont="1" applyBorder="1" applyAlignment="1">
      <alignment horizontal="left" wrapText="1"/>
    </xf>
    <xf numFmtId="0" fontId="61" fillId="0" borderId="0" xfId="0" applyFont="1" applyBorder="1" applyAlignment="1">
      <alignment horizontal="left" wrapText="1"/>
    </xf>
    <xf numFmtId="0" fontId="63" fillId="0" borderId="0" xfId="0" applyFont="1" applyBorder="1" applyAlignment="1">
      <alignment vertical="top" wrapText="1"/>
    </xf>
    <xf numFmtId="0" fontId="21" fillId="0" borderId="0" xfId="0" applyFont="1" applyBorder="1" applyAlignment="1"/>
    <xf numFmtId="0" fontId="22" fillId="0" borderId="0" xfId="0" applyFont="1" applyBorder="1" applyAlignment="1"/>
    <xf numFmtId="0" fontId="22" fillId="0" borderId="0" xfId="0" applyFont="1" applyBorder="1" applyAlignment="1">
      <alignment horizontal="left"/>
    </xf>
    <xf numFmtId="0" fontId="61" fillId="0" borderId="0" xfId="0" applyFont="1" applyBorder="1" applyAlignment="1">
      <alignment wrapText="1"/>
    </xf>
    <xf numFmtId="0" fontId="21" fillId="0" borderId="0" xfId="0" applyFont="1" applyBorder="1" applyAlignment="1">
      <alignment horizontal="left"/>
    </xf>
    <xf numFmtId="0" fontId="62" fillId="0" borderId="0" xfId="0" applyFont="1" applyBorder="1" applyAlignment="1">
      <alignment vertical="center"/>
    </xf>
    <xf numFmtId="0" fontId="64" fillId="0" borderId="0" xfId="0" applyFont="1" applyBorder="1" applyAlignment="1">
      <alignment vertical="center" wrapText="1"/>
    </xf>
    <xf numFmtId="0" fontId="21" fillId="0" borderId="0" xfId="0" applyFont="1" applyBorder="1"/>
    <xf numFmtId="0" fontId="62" fillId="0" borderId="0" xfId="0" applyFont="1" applyAlignment="1">
      <alignment horizontal="left" vertical="center" wrapText="1"/>
    </xf>
    <xf numFmtId="0" fontId="62" fillId="0" borderId="0" xfId="0" applyFont="1" applyAlignment="1">
      <alignment horizontal="center" vertical="center"/>
    </xf>
    <xf numFmtId="0" fontId="65" fillId="0" borderId="0" xfId="0" applyFont="1" applyAlignment="1">
      <alignment horizontal="left" vertical="center"/>
    </xf>
    <xf numFmtId="0" fontId="46" fillId="0" borderId="0" xfId="0" applyFont="1" applyBorder="1" applyAlignment="1">
      <alignment horizontal="left"/>
    </xf>
    <xf numFmtId="0" fontId="45" fillId="5" borderId="1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 wrapText="1"/>
    </xf>
    <xf numFmtId="0" fontId="10" fillId="5" borderId="30" xfId="0" applyFont="1" applyFill="1" applyBorder="1" applyAlignment="1">
      <alignment vertical="center" wrapText="1"/>
    </xf>
    <xf numFmtId="0" fontId="45" fillId="5" borderId="18" xfId="0" applyFont="1" applyFill="1" applyBorder="1" applyAlignment="1">
      <alignment horizontal="center" vertical="center" wrapText="1"/>
    </xf>
    <xf numFmtId="166" fontId="60" fillId="0" borderId="0" xfId="59" applyNumberFormat="1" applyFont="1" applyFill="1" applyAlignment="1" applyProtection="1">
      <alignment horizontal="left" vertical="center"/>
    </xf>
    <xf numFmtId="0" fontId="46" fillId="0" borderId="0" xfId="0" applyFont="1" applyBorder="1" applyAlignment="1"/>
    <xf numFmtId="0" fontId="13" fillId="0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4" fillId="6" borderId="1" xfId="0" applyFont="1" applyFill="1" applyBorder="1" applyAlignment="1">
      <alignment horizontal="right" vertical="center" wrapText="1"/>
    </xf>
    <xf numFmtId="49" fontId="7" fillId="6" borderId="1" xfId="0" applyNumberFormat="1" applyFont="1" applyFill="1" applyBorder="1" applyAlignment="1">
      <alignment vertical="center" wrapText="1"/>
    </xf>
    <xf numFmtId="49" fontId="4" fillId="6" borderId="1" xfId="0" applyNumberFormat="1" applyFont="1" applyFill="1" applyBorder="1" applyAlignment="1">
      <alignment vertical="center" wrapText="1"/>
    </xf>
    <xf numFmtId="2" fontId="4" fillId="6" borderId="1" xfId="0" applyNumberFormat="1" applyFont="1" applyFill="1" applyBorder="1" applyAlignment="1">
      <alignment vertical="center" wrapText="1"/>
    </xf>
    <xf numFmtId="43" fontId="0" fillId="0" borderId="0" xfId="0" applyNumberFormat="1"/>
    <xf numFmtId="43" fontId="0" fillId="0" borderId="0" xfId="59" applyFont="1"/>
    <xf numFmtId="1" fontId="4" fillId="6" borderId="1" xfId="0" applyNumberFormat="1" applyFont="1" applyFill="1" applyBorder="1" applyAlignment="1">
      <alignment vertical="center" wrapText="1"/>
    </xf>
    <xf numFmtId="2" fontId="7" fillId="6" borderId="7" xfId="59" applyNumberFormat="1" applyFont="1" applyFill="1" applyBorder="1" applyAlignment="1">
      <alignment vertical="center" wrapText="1"/>
    </xf>
    <xf numFmtId="43" fontId="7" fillId="6" borderId="7" xfId="59" applyFont="1" applyFill="1" applyBorder="1" applyAlignment="1">
      <alignment vertical="center" wrapText="1"/>
    </xf>
    <xf numFmtId="2" fontId="4" fillId="6" borderId="7" xfId="0" applyNumberFormat="1" applyFont="1" applyFill="1" applyBorder="1" applyAlignment="1">
      <alignment vertical="center" wrapText="1"/>
    </xf>
    <xf numFmtId="1" fontId="4" fillId="6" borderId="7" xfId="0" applyNumberFormat="1" applyFont="1" applyFill="1" applyBorder="1" applyAlignment="1">
      <alignment vertical="center" wrapText="1"/>
    </xf>
    <xf numFmtId="2" fontId="7" fillId="6" borderId="7" xfId="0" applyNumberFormat="1" applyFont="1" applyFill="1" applyBorder="1" applyAlignment="1">
      <alignment vertical="center" wrapText="1"/>
    </xf>
    <xf numFmtId="2" fontId="4" fillId="6" borderId="1" xfId="59" applyNumberFormat="1" applyFont="1" applyFill="1" applyBorder="1" applyAlignment="1">
      <alignment vertical="center" wrapText="1"/>
    </xf>
    <xf numFmtId="2" fontId="4" fillId="6" borderId="7" xfId="59" applyNumberFormat="1" applyFont="1" applyFill="1" applyBorder="1" applyAlignment="1">
      <alignment vertical="center" wrapText="1"/>
    </xf>
    <xf numFmtId="167" fontId="4" fillId="6" borderId="1" xfId="0" applyNumberFormat="1" applyFont="1" applyFill="1" applyBorder="1" applyAlignment="1">
      <alignment vertical="center" wrapText="1"/>
    </xf>
    <xf numFmtId="168" fontId="0" fillId="0" borderId="0" xfId="0" applyNumberFormat="1"/>
    <xf numFmtId="1" fontId="7" fillId="6" borderId="7" xfId="0" applyNumberFormat="1" applyFont="1" applyFill="1" applyBorder="1" applyAlignment="1">
      <alignment vertical="center" wrapText="1"/>
    </xf>
    <xf numFmtId="43" fontId="4" fillId="6" borderId="1" xfId="0" applyNumberFormat="1" applyFont="1" applyFill="1" applyBorder="1" applyAlignment="1">
      <alignment vertical="center" wrapText="1"/>
    </xf>
    <xf numFmtId="0" fontId="71" fillId="6" borderId="1" xfId="0" applyFont="1" applyFill="1" applyBorder="1" applyAlignment="1">
      <alignment vertical="center" wrapText="1"/>
    </xf>
    <xf numFmtId="43" fontId="7" fillId="6" borderId="1" xfId="59" applyFont="1" applyFill="1" applyBorder="1" applyAlignment="1">
      <alignment horizontal="center" vertical="center" wrapText="1"/>
    </xf>
    <xf numFmtId="43" fontId="7" fillId="5" borderId="1" xfId="59" applyFont="1" applyFill="1" applyBorder="1" applyAlignment="1">
      <alignment horizontal="center" vertical="center" wrapText="1"/>
    </xf>
    <xf numFmtId="168" fontId="46" fillId="0" borderId="0" xfId="59" applyNumberFormat="1" applyFont="1"/>
    <xf numFmtId="43" fontId="7" fillId="5" borderId="8" xfId="59" applyFont="1" applyFill="1" applyBorder="1" applyAlignment="1">
      <alignment horizontal="center" vertical="center" wrapText="1"/>
    </xf>
    <xf numFmtId="4" fontId="0" fillId="0" borderId="0" xfId="0" applyNumberFormat="1"/>
    <xf numFmtId="168" fontId="0" fillId="0" borderId="0" xfId="59" applyNumberFormat="1" applyFont="1"/>
    <xf numFmtId="43" fontId="7" fillId="6" borderId="19" xfId="59" applyFont="1" applyFill="1" applyBorder="1" applyAlignment="1">
      <alignment horizontal="center" vertical="center" wrapText="1"/>
    </xf>
    <xf numFmtId="166" fontId="7" fillId="5" borderId="1" xfId="59" applyNumberFormat="1" applyFont="1" applyFill="1" applyBorder="1" applyAlignment="1">
      <alignment horizontal="center" vertical="center" wrapText="1"/>
    </xf>
    <xf numFmtId="166" fontId="7" fillId="6" borderId="1" xfId="59" applyNumberFormat="1" applyFont="1" applyFill="1" applyBorder="1" applyAlignment="1">
      <alignment horizontal="center" vertical="center" wrapText="1"/>
    </xf>
    <xf numFmtId="166" fontId="7" fillId="6" borderId="19" xfId="59" applyNumberFormat="1" applyFont="1" applyFill="1" applyBorder="1" applyAlignment="1">
      <alignment horizontal="center" vertical="center" wrapText="1"/>
    </xf>
    <xf numFmtId="166" fontId="7" fillId="5" borderId="8" xfId="59" applyNumberFormat="1" applyFont="1" applyFill="1" applyBorder="1" applyAlignment="1">
      <alignment horizontal="center" vertical="center" wrapText="1"/>
    </xf>
    <xf numFmtId="166" fontId="7" fillId="5" borderId="5" xfId="59" applyNumberFormat="1" applyFont="1" applyFill="1" applyBorder="1" applyAlignment="1">
      <alignment horizontal="center" vertical="center" wrapText="1"/>
    </xf>
    <xf numFmtId="0" fontId="48" fillId="6" borderId="1" xfId="0" applyFont="1" applyFill="1" applyBorder="1" applyAlignment="1">
      <alignment vertical="center" wrapText="1"/>
    </xf>
    <xf numFmtId="169" fontId="0" fillId="0" borderId="0" xfId="0" applyNumberFormat="1"/>
    <xf numFmtId="0" fontId="7" fillId="5" borderId="1" xfId="0" applyFont="1" applyFill="1" applyBorder="1" applyAlignment="1">
      <alignment horizontal="center" vertical="center" wrapText="1"/>
    </xf>
    <xf numFmtId="43" fontId="4" fillId="6" borderId="1" xfId="59" applyFont="1" applyFill="1" applyBorder="1" applyAlignment="1">
      <alignment vertical="center" wrapText="1"/>
    </xf>
    <xf numFmtId="43" fontId="4" fillId="6" borderId="7" xfId="59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3" fontId="7" fillId="6" borderId="1" xfId="0" applyNumberFormat="1" applyFont="1" applyFill="1" applyBorder="1" applyAlignment="1">
      <alignment horizontal="center" vertical="center" wrapText="1"/>
    </xf>
    <xf numFmtId="166" fontId="7" fillId="6" borderId="1" xfId="0" applyNumberFormat="1" applyFont="1" applyFill="1" applyBorder="1" applyAlignment="1">
      <alignment horizontal="center" vertical="center" wrapText="1"/>
    </xf>
    <xf numFmtId="43" fontId="7" fillId="5" borderId="8" xfId="0" applyNumberFormat="1" applyFont="1" applyFill="1" applyBorder="1" applyAlignment="1">
      <alignment horizontal="center" vertical="center" wrapText="1"/>
    </xf>
    <xf numFmtId="43" fontId="46" fillId="0" borderId="0" xfId="0" applyNumberFormat="1" applyFont="1"/>
    <xf numFmtId="166" fontId="0" fillId="0" borderId="0" xfId="59" applyNumberFormat="1" applyFont="1"/>
    <xf numFmtId="43" fontId="47" fillId="0" borderId="0" xfId="0" applyNumberFormat="1" applyFont="1" applyFill="1" applyAlignment="1">
      <alignment vertical="center"/>
    </xf>
    <xf numFmtId="43" fontId="7" fillId="5" borderId="18" xfId="59" applyFont="1" applyFill="1" applyBorder="1" applyAlignment="1">
      <alignment horizontal="center" vertical="center" wrapText="1"/>
    </xf>
    <xf numFmtId="43" fontId="7" fillId="5" borderId="5" xfId="59" applyFont="1" applyFill="1" applyBorder="1" applyAlignment="1">
      <alignment horizontal="center" vertical="center" wrapText="1"/>
    </xf>
    <xf numFmtId="166" fontId="7" fillId="5" borderId="18" xfId="59" applyNumberFormat="1" applyFont="1" applyFill="1" applyBorder="1" applyAlignment="1">
      <alignment horizontal="center" vertical="center" wrapText="1"/>
    </xf>
    <xf numFmtId="43" fontId="3" fillId="6" borderId="1" xfId="59" applyFont="1" applyFill="1" applyBorder="1" applyAlignment="1">
      <alignment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9" fontId="4" fillId="6" borderId="1" xfId="0" applyNumberFormat="1" applyFont="1" applyFill="1" applyBorder="1" applyAlignment="1">
      <alignment horizontal="center" vertical="center" wrapText="1"/>
    </xf>
    <xf numFmtId="0" fontId="74" fillId="0" borderId="0" xfId="0" applyFont="1" applyAlignment="1">
      <alignment vertical="center"/>
    </xf>
    <xf numFmtId="0" fontId="75" fillId="0" borderId="0" xfId="0" applyFont="1"/>
    <xf numFmtId="0" fontId="76" fillId="7" borderId="0" xfId="0" applyFont="1" applyFill="1" applyAlignment="1">
      <alignment vertical="center"/>
    </xf>
    <xf numFmtId="0" fontId="75" fillId="7" borderId="0" xfId="0" applyFont="1" applyFill="1"/>
    <xf numFmtId="0" fontId="76" fillId="7" borderId="0" xfId="0" applyFont="1" applyFill="1" applyBorder="1" applyAlignment="1">
      <alignment vertical="center"/>
    </xf>
    <xf numFmtId="0" fontId="74" fillId="7" borderId="0" xfId="0" applyFont="1" applyFill="1" applyBorder="1" applyAlignment="1">
      <alignment vertical="center"/>
    </xf>
    <xf numFmtId="0" fontId="75" fillId="0" borderId="0" xfId="0" applyFont="1" applyAlignment="1">
      <alignment vertical="center"/>
    </xf>
    <xf numFmtId="0" fontId="75" fillId="0" borderId="0" xfId="0" applyFont="1" applyBorder="1"/>
    <xf numFmtId="0" fontId="79" fillId="0" borderId="0" xfId="0" applyFont="1" applyAlignment="1">
      <alignment horizontal="left" vertical="top" wrapText="1"/>
    </xf>
    <xf numFmtId="0" fontId="79" fillId="43" borderId="1" xfId="0" applyFont="1" applyFill="1" applyBorder="1" applyAlignment="1">
      <alignment horizontal="center" vertical="center" wrapText="1"/>
    </xf>
    <xf numFmtId="165" fontId="81" fillId="0" borderId="0" xfId="60" applyNumberFormat="1" applyFont="1" applyAlignment="1">
      <alignment horizontal="right" vertical="top"/>
    </xf>
    <xf numFmtId="0" fontId="75" fillId="6" borderId="2" xfId="0" applyFont="1" applyFill="1" applyBorder="1" applyAlignment="1">
      <alignment horizontal="left"/>
    </xf>
    <xf numFmtId="0" fontId="75" fillId="6" borderId="3" xfId="0" applyFont="1" applyFill="1" applyBorder="1" applyAlignment="1">
      <alignment horizontal="center"/>
    </xf>
    <xf numFmtId="0" fontId="75" fillId="6" borderId="1" xfId="0" applyFont="1" applyFill="1" applyBorder="1" applyAlignment="1">
      <alignment horizontal="center"/>
    </xf>
    <xf numFmtId="0" fontId="79" fillId="43" borderId="35" xfId="0" applyFont="1" applyFill="1" applyBorder="1" applyAlignment="1">
      <alignment horizontal="left" vertical="top" wrapText="1"/>
    </xf>
    <xf numFmtId="0" fontId="79" fillId="43" borderId="0" xfId="0" applyFont="1" applyFill="1" applyBorder="1" applyAlignment="1">
      <alignment horizontal="left" vertical="top" wrapText="1"/>
    </xf>
    <xf numFmtId="0" fontId="75" fillId="6" borderId="6" xfId="0" applyFont="1" applyFill="1" applyBorder="1" applyAlignment="1">
      <alignment horizontal="center" wrapText="1"/>
    </xf>
    <xf numFmtId="0" fontId="75" fillId="6" borderId="6" xfId="0" applyFont="1" applyFill="1" applyBorder="1" applyAlignment="1">
      <alignment horizontal="center"/>
    </xf>
    <xf numFmtId="0" fontId="75" fillId="42" borderId="0" xfId="0" applyFont="1" applyFill="1"/>
    <xf numFmtId="43" fontId="75" fillId="6" borderId="1" xfId="59" applyFont="1" applyFill="1" applyBorder="1" applyAlignment="1">
      <alignment horizontal="center"/>
    </xf>
    <xf numFmtId="0" fontId="75" fillId="6" borderId="6" xfId="0" applyFont="1" applyFill="1" applyBorder="1" applyAlignment="1">
      <alignment horizontal="left" wrapText="1"/>
    </xf>
    <xf numFmtId="43" fontId="75" fillId="6" borderId="1" xfId="0" applyNumberFormat="1" applyFont="1" applyFill="1" applyBorder="1" applyAlignment="1">
      <alignment horizontal="center"/>
    </xf>
    <xf numFmtId="0" fontId="83" fillId="6" borderId="1" xfId="0" applyFont="1" applyFill="1" applyBorder="1" applyAlignment="1">
      <alignment horizontal="center"/>
    </xf>
    <xf numFmtId="0" fontId="79" fillId="6" borderId="6" xfId="0" applyFont="1" applyFill="1" applyBorder="1" applyAlignment="1">
      <alignment horizontal="left" wrapText="1"/>
    </xf>
    <xf numFmtId="0" fontId="79" fillId="6" borderId="1" xfId="0" applyFont="1" applyFill="1" applyBorder="1" applyAlignment="1">
      <alignment horizontal="center"/>
    </xf>
    <xf numFmtId="43" fontId="3" fillId="6" borderId="1" xfId="0" applyNumberFormat="1" applyFont="1" applyFill="1" applyBorder="1" applyAlignment="1">
      <alignment vertical="center" wrapText="1"/>
    </xf>
    <xf numFmtId="1" fontId="0" fillId="0" borderId="0" xfId="0" applyNumberFormat="1"/>
    <xf numFmtId="166" fontId="0" fillId="0" borderId="0" xfId="0" applyNumberFormat="1"/>
    <xf numFmtId="166" fontId="3" fillId="6" borderId="1" xfId="59" applyNumberFormat="1" applyFont="1" applyFill="1" applyBorder="1" applyAlignment="1">
      <alignment vertical="center" wrapText="1"/>
    </xf>
    <xf numFmtId="166" fontId="75" fillId="6" borderId="1" xfId="0" applyNumberFormat="1" applyFont="1" applyFill="1" applyBorder="1" applyAlignment="1">
      <alignment horizontal="center"/>
    </xf>
    <xf numFmtId="43" fontId="47" fillId="0" borderId="0" xfId="59" applyFont="1" applyFill="1" applyAlignment="1">
      <alignment vertical="center"/>
    </xf>
    <xf numFmtId="43" fontId="46" fillId="0" borderId="0" xfId="59" applyFont="1"/>
    <xf numFmtId="43" fontId="23" fillId="0" borderId="0" xfId="59" applyFont="1" applyFill="1" applyAlignment="1">
      <alignment vertical="center"/>
    </xf>
    <xf numFmtId="168" fontId="7" fillId="5" borderId="1" xfId="59" applyNumberFormat="1" applyFont="1" applyFill="1" applyBorder="1" applyAlignment="1">
      <alignment horizontal="center" vertical="center" wrapText="1"/>
    </xf>
    <xf numFmtId="43" fontId="7" fillId="2" borderId="1" xfId="0" applyNumberFormat="1" applyFont="1" applyFill="1" applyBorder="1" applyAlignment="1">
      <alignment vertical="center" wrapText="1"/>
    </xf>
    <xf numFmtId="0" fontId="75" fillId="6" borderId="1" xfId="0" applyFont="1" applyFill="1" applyBorder="1" applyAlignment="1">
      <alignment horizontal="center"/>
    </xf>
    <xf numFmtId="16" fontId="0" fillId="0" borderId="0" xfId="0" applyNumberFormat="1"/>
    <xf numFmtId="43" fontId="75" fillId="0" borderId="0" xfId="0" applyNumberFormat="1" applyFont="1"/>
    <xf numFmtId="0" fontId="71" fillId="6" borderId="2" xfId="0" applyFont="1" applyFill="1" applyBorder="1" applyAlignment="1">
      <alignment vertical="center" wrapText="1"/>
    </xf>
    <xf numFmtId="0" fontId="71" fillId="6" borderId="8" xfId="0" applyFont="1" applyFill="1" applyBorder="1" applyAlignment="1">
      <alignment vertical="center" wrapText="1"/>
    </xf>
    <xf numFmtId="43" fontId="7" fillId="6" borderId="1" xfId="0" applyNumberFormat="1" applyFont="1" applyFill="1" applyBorder="1" applyAlignment="1">
      <alignment vertical="center" wrapText="1"/>
    </xf>
    <xf numFmtId="43" fontId="7" fillId="9" borderId="1" xfId="0" applyNumberFormat="1" applyFont="1" applyFill="1" applyBorder="1" applyAlignment="1">
      <alignment vertical="center" wrapText="1"/>
    </xf>
    <xf numFmtId="43" fontId="7" fillId="6" borderId="1" xfId="0" applyNumberFormat="1" applyFont="1" applyFill="1" applyBorder="1" applyAlignment="1">
      <alignment horizontal="justify" vertical="center" wrapText="1"/>
    </xf>
    <xf numFmtId="43" fontId="7" fillId="2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vertical="center" wrapText="1"/>
    </xf>
    <xf numFmtId="0" fontId="84" fillId="0" borderId="0" xfId="0" applyFont="1" applyFill="1"/>
    <xf numFmtId="0" fontId="85" fillId="6" borderId="1" xfId="0" applyFont="1" applyFill="1" applyBorder="1" applyAlignment="1">
      <alignment vertical="center" wrapText="1"/>
    </xf>
    <xf numFmtId="0" fontId="86" fillId="6" borderId="1" xfId="0" applyFont="1" applyFill="1" applyBorder="1" applyAlignment="1">
      <alignment horizontal="right" vertical="center" wrapText="1"/>
    </xf>
    <xf numFmtId="0" fontId="86" fillId="6" borderId="1" xfId="0" applyFont="1" applyFill="1" applyBorder="1" applyAlignment="1">
      <alignment vertical="center" wrapText="1"/>
    </xf>
    <xf numFmtId="43" fontId="10" fillId="6" borderId="1" xfId="0" applyNumberFormat="1" applyFont="1" applyFill="1" applyBorder="1" applyAlignment="1">
      <alignment vertical="center" wrapText="1"/>
    </xf>
    <xf numFmtId="166" fontId="58" fillId="0" borderId="0" xfId="59" applyNumberFormat="1" applyFont="1" applyFill="1" applyAlignment="1" applyProtection="1">
      <alignment horizontal="center"/>
    </xf>
    <xf numFmtId="0" fontId="10" fillId="6" borderId="1" xfId="0" applyFont="1" applyFill="1" applyBorder="1" applyAlignment="1">
      <alignment horizontal="center" vertical="center" wrapText="1"/>
    </xf>
    <xf numFmtId="43" fontId="10" fillId="6" borderId="1" xfId="59" applyFont="1" applyFill="1" applyBorder="1" applyAlignment="1">
      <alignment vertical="center" wrapText="1"/>
    </xf>
    <xf numFmtId="43" fontId="13" fillId="6" borderId="1" xfId="0" applyNumberFormat="1" applyFont="1" applyFill="1" applyBorder="1" applyAlignment="1">
      <alignment horizontal="center" vertical="center" wrapText="1"/>
    </xf>
    <xf numFmtId="0" fontId="43" fillId="4" borderId="0" xfId="0" applyFont="1" applyFill="1"/>
    <xf numFmtId="43" fontId="13" fillId="5" borderId="1" xfId="59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54" fillId="0" borderId="0" xfId="0" applyFont="1" applyBorder="1" applyAlignment="1"/>
    <xf numFmtId="0" fontId="45" fillId="5" borderId="15" xfId="0" applyFont="1" applyFill="1" applyBorder="1" applyAlignment="1">
      <alignment horizontal="center" vertical="center" wrapText="1"/>
    </xf>
    <xf numFmtId="0" fontId="45" fillId="5" borderId="18" xfId="0" applyFont="1" applyFill="1" applyBorder="1" applyAlignment="1">
      <alignment horizontal="center" vertical="center" wrapText="1"/>
    </xf>
    <xf numFmtId="0" fontId="45" fillId="5" borderId="16" xfId="0" applyFont="1" applyFill="1" applyBorder="1" applyAlignment="1">
      <alignment horizontal="center" vertical="center" wrapText="1"/>
    </xf>
    <xf numFmtId="0" fontId="45" fillId="5" borderId="1" xfId="0" applyFont="1" applyFill="1" applyBorder="1" applyAlignment="1">
      <alignment horizontal="center" vertical="center" wrapText="1"/>
    </xf>
    <xf numFmtId="0" fontId="45" fillId="5" borderId="17" xfId="0" applyFont="1" applyFill="1" applyBorder="1" applyAlignment="1">
      <alignment horizontal="center" vertical="center" wrapText="1"/>
    </xf>
    <xf numFmtId="0" fontId="45" fillId="5" borderId="19" xfId="0" applyFont="1" applyFill="1" applyBorder="1" applyAlignment="1">
      <alignment horizontal="center" vertical="center" wrapText="1"/>
    </xf>
    <xf numFmtId="49" fontId="70" fillId="2" borderId="15" xfId="0" applyNumberFormat="1" applyFont="1" applyFill="1" applyBorder="1" applyAlignment="1">
      <alignment horizontal="center" vertical="center" wrapText="1"/>
    </xf>
    <xf numFmtId="49" fontId="70" fillId="2" borderId="20" xfId="0" applyNumberFormat="1" applyFont="1" applyFill="1" applyBorder="1" applyAlignment="1">
      <alignment horizontal="center" vertical="center" wrapText="1"/>
    </xf>
    <xf numFmtId="49" fontId="70" fillId="2" borderId="16" xfId="0" applyNumberFormat="1" applyFont="1" applyFill="1" applyBorder="1" applyAlignment="1">
      <alignment horizontal="center" vertical="center" wrapText="1"/>
    </xf>
    <xf numFmtId="49" fontId="70" fillId="2" borderId="7" xfId="0" applyNumberFormat="1" applyFont="1" applyFill="1" applyBorder="1" applyAlignment="1">
      <alignment horizontal="center" vertical="center" wrapText="1"/>
    </xf>
    <xf numFmtId="0" fontId="10" fillId="5" borderId="32" xfId="0" applyFont="1" applyFill="1" applyBorder="1" applyAlignment="1">
      <alignment horizontal="center" vertical="center" wrapText="1"/>
    </xf>
    <xf numFmtId="0" fontId="10" fillId="5" borderId="34" xfId="0" applyFont="1" applyFill="1" applyBorder="1" applyAlignment="1">
      <alignment horizontal="center" vertical="center" wrapText="1"/>
    </xf>
    <xf numFmtId="49" fontId="70" fillId="2" borderId="17" xfId="0" applyNumberFormat="1" applyFont="1" applyFill="1" applyBorder="1" applyAlignment="1">
      <alignment horizontal="center" vertical="center" wrapText="1"/>
    </xf>
    <xf numFmtId="49" fontId="70" fillId="2" borderId="33" xfId="0" applyNumberFormat="1" applyFont="1" applyFill="1" applyBorder="1" applyAlignment="1">
      <alignment horizontal="center" vertical="center" wrapText="1"/>
    </xf>
    <xf numFmtId="49" fontId="70" fillId="2" borderId="31" xfId="0" applyNumberFormat="1" applyFont="1" applyFill="1" applyBorder="1" applyAlignment="1">
      <alignment horizontal="center" vertical="center" wrapText="1"/>
    </xf>
    <xf numFmtId="49" fontId="70" fillId="2" borderId="11" xfId="0" applyNumberFormat="1" applyFont="1" applyFill="1" applyBorder="1" applyAlignment="1">
      <alignment horizontal="center" vertical="center" wrapText="1"/>
    </xf>
    <xf numFmtId="0" fontId="10" fillId="5" borderId="31" xfId="0" applyFont="1" applyFill="1" applyBorder="1" applyAlignment="1">
      <alignment horizontal="center" wrapText="1"/>
    </xf>
    <xf numFmtId="0" fontId="10" fillId="5" borderId="36" xfId="0" applyFont="1" applyFill="1" applyBorder="1" applyAlignment="1">
      <alignment horizontal="center" wrapText="1"/>
    </xf>
    <xf numFmtId="0" fontId="10" fillId="5" borderId="37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48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9" fontId="4" fillId="6" borderId="7" xfId="0" applyNumberFormat="1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79" fillId="43" borderId="35" xfId="0" applyFont="1" applyFill="1" applyBorder="1" applyAlignment="1">
      <alignment horizontal="center" vertical="top" wrapText="1"/>
    </xf>
    <xf numFmtId="0" fontId="79" fillId="43" borderId="0" xfId="0" applyFont="1" applyFill="1" applyBorder="1" applyAlignment="1">
      <alignment horizontal="center" vertical="top" wrapText="1"/>
    </xf>
    <xf numFmtId="0" fontId="79" fillId="43" borderId="1" xfId="0" applyFont="1" applyFill="1" applyBorder="1" applyAlignment="1">
      <alignment horizontal="center" vertical="center" wrapText="1"/>
    </xf>
    <xf numFmtId="0" fontId="75" fillId="6" borderId="1" xfId="0" applyFont="1" applyFill="1" applyBorder="1" applyAlignment="1">
      <alignment horizontal="center" wrapText="1"/>
    </xf>
    <xf numFmtId="0" fontId="75" fillId="6" borderId="1" xfId="0" applyFont="1" applyFill="1" applyBorder="1" applyAlignment="1">
      <alignment horizontal="center"/>
    </xf>
    <xf numFmtId="0" fontId="75" fillId="6" borderId="2" xfId="0" applyFont="1" applyFill="1" applyBorder="1" applyAlignment="1">
      <alignment horizontal="right" vertical="center"/>
    </xf>
    <xf numFmtId="0" fontId="75" fillId="6" borderId="3" xfId="0" applyFont="1" applyFill="1" applyBorder="1" applyAlignment="1">
      <alignment horizontal="right" vertical="center"/>
    </xf>
    <xf numFmtId="0" fontId="75" fillId="6" borderId="8" xfId="0" applyFont="1" applyFill="1" applyBorder="1" applyAlignment="1">
      <alignment horizontal="right" vertical="center"/>
    </xf>
    <xf numFmtId="0" fontId="81" fillId="0" borderId="0" xfId="0" applyFont="1" applyAlignment="1">
      <alignment horizontal="left" vertical="top"/>
    </xf>
    <xf numFmtId="0" fontId="75" fillId="6" borderId="1" xfId="0" applyFont="1" applyFill="1" applyBorder="1" applyAlignment="1">
      <alignment horizontal="left" wrapText="1"/>
    </xf>
    <xf numFmtId="0" fontId="75" fillId="6" borderId="1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48" fillId="2" borderId="16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8" fillId="2" borderId="15" xfId="0" applyFont="1" applyFill="1" applyBorder="1" applyAlignment="1">
      <alignment horizontal="center" vertical="center" wrapText="1"/>
    </xf>
    <xf numFmtId="0" fontId="48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0" fontId="68" fillId="0" borderId="0" xfId="0" applyFont="1" applyBorder="1" applyAlignment="1">
      <alignment horizontal="left" wrapText="1"/>
    </xf>
    <xf numFmtId="0" fontId="46" fillId="0" borderId="0" xfId="0" applyFont="1" applyBorder="1" applyAlignment="1">
      <alignment horizontal="center"/>
    </xf>
    <xf numFmtId="0" fontId="67" fillId="0" borderId="12" xfId="0" applyFont="1" applyBorder="1" applyAlignment="1">
      <alignment horizontal="left" vertical="center" wrapText="1"/>
    </xf>
    <xf numFmtId="0" fontId="67" fillId="0" borderId="0" xfId="0" applyFont="1" applyBorder="1" applyAlignment="1">
      <alignment horizontal="left" vertical="center" wrapText="1"/>
    </xf>
    <xf numFmtId="0" fontId="48" fillId="0" borderId="0" xfId="0" applyFont="1" applyBorder="1" applyAlignment="1">
      <alignment horizontal="left" wrapText="1"/>
    </xf>
    <xf numFmtId="0" fontId="22" fillId="0" borderId="0" xfId="0" applyFont="1" applyBorder="1" applyAlignment="1">
      <alignment horizontal="center" wrapText="1"/>
    </xf>
    <xf numFmtId="0" fontId="48" fillId="0" borderId="0" xfId="0" applyFont="1" applyBorder="1" applyAlignment="1">
      <alignment horizontal="center" wrapText="1"/>
    </xf>
    <xf numFmtId="0" fontId="48" fillId="0" borderId="4" xfId="0" applyFont="1" applyBorder="1" applyAlignment="1">
      <alignment horizontal="left" wrapText="1"/>
    </xf>
    <xf numFmtId="0" fontId="68" fillId="0" borderId="0" xfId="0" applyFont="1" applyBorder="1" applyAlignment="1">
      <alignment horizontal="center" wrapText="1"/>
    </xf>
    <xf numFmtId="0" fontId="48" fillId="0" borderId="4" xfId="0" applyFont="1" applyBorder="1" applyAlignment="1">
      <alignment horizontal="left"/>
    </xf>
    <xf numFmtId="0" fontId="48" fillId="0" borderId="0" xfId="0" applyFont="1" applyBorder="1" applyAlignment="1">
      <alignment horizontal="left"/>
    </xf>
    <xf numFmtId="0" fontId="48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68" fillId="4" borderId="0" xfId="0" applyFont="1" applyFill="1" applyBorder="1" applyAlignment="1">
      <alignment horizontal="left" wrapText="1"/>
    </xf>
    <xf numFmtId="0" fontId="61" fillId="0" borderId="0" xfId="0" applyFont="1" applyBorder="1" applyAlignment="1">
      <alignment horizontal="left" wrapText="1"/>
    </xf>
    <xf numFmtId="0" fontId="21" fillId="0" borderId="0" xfId="0" applyFont="1" applyBorder="1" applyAlignment="1">
      <alignment horizontal="center"/>
    </xf>
    <xf numFmtId="0" fontId="63" fillId="0" borderId="0" xfId="0" applyFont="1" applyBorder="1" applyAlignment="1">
      <alignment horizontal="center" vertical="top" wrapText="1"/>
    </xf>
    <xf numFmtId="0" fontId="63" fillId="0" borderId="0" xfId="0" applyFont="1" applyBorder="1" applyAlignment="1">
      <alignment horizontal="center" wrapText="1"/>
    </xf>
    <xf numFmtId="0" fontId="23" fillId="0" borderId="0" xfId="0" applyFont="1" applyAlignment="1">
      <alignment horizontal="center" vertical="center"/>
    </xf>
    <xf numFmtId="0" fontId="69" fillId="0" borderId="4" xfId="0" applyFont="1" applyBorder="1" applyAlignment="1">
      <alignment horizontal="left" wrapText="1"/>
    </xf>
    <xf numFmtId="0" fontId="69" fillId="0" borderId="0" xfId="0" applyFont="1" applyBorder="1" applyAlignment="1">
      <alignment horizontal="left" wrapText="1"/>
    </xf>
    <xf numFmtId="0" fontId="62" fillId="0" borderId="0" xfId="0" applyFont="1" applyBorder="1" applyAlignment="1">
      <alignment horizontal="center" wrapText="1"/>
    </xf>
    <xf numFmtId="0" fontId="71" fillId="0" borderId="0" xfId="0" applyFont="1" applyBorder="1" applyAlignment="1">
      <alignment wrapText="1"/>
    </xf>
    <xf numFmtId="0" fontId="71" fillId="0" borderId="0" xfId="0" applyFont="1" applyBorder="1" applyAlignment="1">
      <alignment horizontal="left" wrapText="1"/>
    </xf>
    <xf numFmtId="0" fontId="23" fillId="0" borderId="0" xfId="0" applyFont="1" applyAlignment="1">
      <alignment horizontal="left" vertical="center"/>
    </xf>
    <xf numFmtId="0" fontId="68" fillId="0" borderId="4" xfId="0" applyFont="1" applyBorder="1" applyAlignment="1">
      <alignment horizontal="left" wrapText="1"/>
    </xf>
    <xf numFmtId="0" fontId="46" fillId="0" borderId="0" xfId="0" applyFont="1" applyAlignment="1">
      <alignment horizontal="center"/>
    </xf>
    <xf numFmtId="0" fontId="69" fillId="0" borderId="4" xfId="0" applyFont="1" applyBorder="1" applyAlignment="1">
      <alignment horizontal="center" wrapText="1"/>
    </xf>
    <xf numFmtId="0" fontId="69" fillId="0" borderId="0" xfId="0" applyFont="1" applyBorder="1" applyAlignment="1">
      <alignment horizontal="center" wrapText="1"/>
    </xf>
    <xf numFmtId="0" fontId="71" fillId="0" borderId="0" xfId="0" applyFont="1" applyBorder="1" applyAlignment="1">
      <alignment vertical="top" wrapText="1"/>
    </xf>
    <xf numFmtId="0" fontId="71" fillId="0" borderId="0" xfId="0" applyFont="1" applyBorder="1" applyAlignment="1">
      <alignment horizontal="left" vertical="top" wrapText="1"/>
    </xf>
    <xf numFmtId="0" fontId="48" fillId="0" borderId="0" xfId="0" applyFont="1" applyBorder="1" applyAlignment="1">
      <alignment wrapText="1"/>
    </xf>
  </cellXfs>
  <cellStyles count="62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F000000}"/>
    <cellStyle name="Comma 2 6" xfId="61" xr:uid="{00000000-0005-0000-0000-000020000000}"/>
    <cellStyle name="Normal" xfId="0" builtinId="0"/>
    <cellStyle name="Normal 3" xfId="1" xr:uid="{00000000-0005-0000-0000-000022000000}"/>
    <cellStyle name="Note" xfId="2" builtinId="10" customBuiltin="1"/>
    <cellStyle name="Note 2" xfId="45" xr:uid="{00000000-0005-0000-0000-000024000000}"/>
    <cellStyle name="SN_241" xfId="44" xr:uid="{00000000-0005-0000-0000-000025000000}"/>
    <cellStyle name="SN_b" xfId="60" xr:uid="{00000000-0005-0000-0000-000026000000}"/>
    <cellStyle name="Акцент1 2" xfId="20" xr:uid="{00000000-0005-0000-0000-000027000000}"/>
    <cellStyle name="Акцент2 2" xfId="24" xr:uid="{00000000-0005-0000-0000-000028000000}"/>
    <cellStyle name="Акцент3 2" xfId="28" xr:uid="{00000000-0005-0000-0000-000029000000}"/>
    <cellStyle name="Акцент4 2" xfId="32" xr:uid="{00000000-0005-0000-0000-00002A000000}"/>
    <cellStyle name="Акцент5 2" xfId="36" xr:uid="{00000000-0005-0000-0000-00002B000000}"/>
    <cellStyle name="Акцент6 2" xfId="40" xr:uid="{00000000-0005-0000-0000-00002C000000}"/>
    <cellStyle name="Ввод  2" xfId="12" xr:uid="{00000000-0005-0000-0000-00002D000000}"/>
    <cellStyle name="Вывод 2" xfId="13" xr:uid="{00000000-0005-0000-0000-00002E000000}"/>
    <cellStyle name="Вычисление 2" xfId="14" xr:uid="{00000000-0005-0000-0000-00002F000000}"/>
    <cellStyle name="Заголовок 1 2" xfId="5" xr:uid="{00000000-0005-0000-0000-000030000000}"/>
    <cellStyle name="Заголовок 2 2" xfId="6" xr:uid="{00000000-0005-0000-0000-000031000000}"/>
    <cellStyle name="Заголовок 3 2" xfId="7" xr:uid="{00000000-0005-0000-0000-000032000000}"/>
    <cellStyle name="Заголовок 4 2" xfId="8" xr:uid="{00000000-0005-0000-0000-000033000000}"/>
    <cellStyle name="Итог 2" xfId="19" xr:uid="{00000000-0005-0000-0000-000034000000}"/>
    <cellStyle name="Контрольная ячейка 2" xfId="16" xr:uid="{00000000-0005-0000-0000-000035000000}"/>
    <cellStyle name="Название 2" xfId="4" xr:uid="{00000000-0005-0000-0000-000036000000}"/>
    <cellStyle name="Нейтральный 2" xfId="11" xr:uid="{00000000-0005-0000-0000-000037000000}"/>
    <cellStyle name="Обычный 2" xfId="3" xr:uid="{00000000-0005-0000-0000-000038000000}"/>
    <cellStyle name="Плохой 2" xfId="10" xr:uid="{00000000-0005-0000-0000-000039000000}"/>
    <cellStyle name="Пояснение 2" xfId="18" xr:uid="{00000000-0005-0000-0000-00003A000000}"/>
    <cellStyle name="Связанная ячейка 2" xfId="15" xr:uid="{00000000-0005-0000-0000-00003B000000}"/>
    <cellStyle name="Текст предупреждения 2" xfId="17" xr:uid="{00000000-0005-0000-0000-00003C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344;&#1377;&#1406;&#1381;&#1388;&#1406;&#1377;&#1390;%201-2_2026_2028_M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Հ1_Մ6 ԱԶԲ "/>
      <sheetName val="Հ1_Tranche 2"/>
      <sheetName val="Հ1_Tranche 3"/>
      <sheetName val="Հ1_Tranche 4"/>
      <sheetName val="Լրացման պահանջներ"/>
      <sheetName val="Հ2 Ձև1 "/>
      <sheetName val="Հ2 Ձև2 (Կամուրջ)"/>
      <sheetName val="Հ2 Ձև2 (Ս-Ք_հյուսիս_ADBկապ)"/>
      <sheetName val="Հ2 Ձև2 (Ս-Ք_հյուսիս_EIBկապ) "/>
      <sheetName val="Հ2 Ձև2 (Ս-Ք_Բարգ_ընթ)"/>
      <sheetName val="Հ2 Ձև2 (Ս-Ք_Բարգ_կապ) "/>
      <sheetName val="Հ2 Ձև2 (Ս-Ք_հարավ_ընթ)"/>
      <sheetName val="Հ2 Ձև2 (Ս-Ք_հարավ_ՎԶԵԲկապ) "/>
      <sheetName val="Հ2 Ձև2 (Ս-Ք_հարավ_ԵՆԲկապ)"/>
      <sheetName val="Հ2 Ձև2 (Տ5_Գյումրի_կապ)"/>
      <sheetName val="Հ2 Ձև2 (Մ6 և Թունելներ)"/>
      <sheetName val="Լրացման պահանջներ (2)"/>
    </sheetNames>
    <sheetDataSet>
      <sheetData sheetId="0"/>
      <sheetData sheetId="1"/>
      <sheetData sheetId="2"/>
      <sheetData sheetId="3"/>
      <sheetData sheetId="4"/>
      <sheetData sheetId="5">
        <row r="17">
          <cell r="F17">
            <v>43468020.299999997</v>
          </cell>
          <cell r="G17">
            <v>55179265.299999997</v>
          </cell>
          <cell r="H17">
            <v>71825916.039833337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workbookViewId="0">
      <selection activeCell="C26" sqref="C26:C27"/>
    </sheetView>
  </sheetViews>
  <sheetFormatPr defaultRowHeight="14.4" x14ac:dyDescent="0.3"/>
  <cols>
    <col min="3" max="3" width="14.6640625" customWidth="1"/>
    <col min="9" max="9" width="29.5546875" customWidth="1"/>
  </cols>
  <sheetData>
    <row r="2" spans="1:12" ht="15" x14ac:dyDescent="0.3">
      <c r="A2" s="4" t="s">
        <v>45</v>
      </c>
    </row>
    <row r="3" spans="1:12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ht="35.4" customHeight="1" x14ac:dyDescent="0.3">
      <c r="B4" s="256" t="s">
        <v>62</v>
      </c>
      <c r="C4" s="257"/>
      <c r="D4" s="258" t="s">
        <v>322</v>
      </c>
      <c r="E4" s="259"/>
      <c r="F4" s="259"/>
      <c r="G4" s="259"/>
      <c r="H4" s="259"/>
      <c r="I4" s="260"/>
    </row>
    <row r="6" spans="1:12" ht="15" x14ac:dyDescent="0.3">
      <c r="A6" s="10" t="s">
        <v>0</v>
      </c>
      <c r="B6" s="11"/>
      <c r="C6" s="11"/>
      <c r="D6" s="12"/>
      <c r="E6" s="12"/>
      <c r="F6" s="12"/>
      <c r="G6" s="12"/>
      <c r="H6" s="12"/>
      <c r="I6" s="12"/>
      <c r="J6" s="9"/>
      <c r="K6" s="9"/>
      <c r="L6" s="9"/>
    </row>
    <row r="8" spans="1:12" ht="16.2" x14ac:dyDescent="0.3">
      <c r="A8" s="13" t="s">
        <v>63</v>
      </c>
    </row>
    <row r="9" spans="1:12" ht="31.5" customHeight="1" x14ac:dyDescent="0.3">
      <c r="B9" s="258"/>
      <c r="C9" s="259"/>
      <c r="D9" s="259"/>
      <c r="E9" s="259"/>
      <c r="F9" s="259"/>
      <c r="G9" s="259"/>
      <c r="H9" s="259"/>
      <c r="I9" s="260"/>
    </row>
    <row r="11" spans="1:12" ht="16.2" x14ac:dyDescent="0.3">
      <c r="A11" s="13" t="s">
        <v>93</v>
      </c>
    </row>
    <row r="12" spans="1:12" ht="37.5" customHeight="1" x14ac:dyDescent="0.3">
      <c r="B12" s="258"/>
      <c r="C12" s="259"/>
      <c r="D12" s="259"/>
      <c r="E12" s="259"/>
      <c r="F12" s="259"/>
      <c r="G12" s="259"/>
      <c r="H12" s="259"/>
      <c r="I12" s="260"/>
    </row>
    <row r="14" spans="1:12" ht="16.2" x14ac:dyDescent="0.3">
      <c r="A14" s="13" t="s">
        <v>94</v>
      </c>
    </row>
    <row r="15" spans="1:12" ht="36.75" customHeight="1" x14ac:dyDescent="0.3">
      <c r="B15" s="258"/>
      <c r="C15" s="259"/>
      <c r="D15" s="259"/>
      <c r="E15" s="259"/>
      <c r="F15" s="259"/>
      <c r="G15" s="259"/>
      <c r="H15" s="259"/>
      <c r="I15" s="260"/>
    </row>
    <row r="17" spans="1:9" ht="16.2" x14ac:dyDescent="0.3">
      <c r="A17" s="13" t="s">
        <v>197</v>
      </c>
    </row>
    <row r="18" spans="1:9" ht="30.75" customHeight="1" x14ac:dyDescent="0.3">
      <c r="B18" s="258"/>
      <c r="C18" s="259"/>
      <c r="D18" s="259"/>
      <c r="E18" s="259"/>
      <c r="F18" s="259"/>
      <c r="G18" s="259"/>
      <c r="H18" s="259"/>
      <c r="I18" s="260"/>
    </row>
    <row r="22" spans="1:9" x14ac:dyDescent="0.3">
      <c r="B22" s="97" t="s">
        <v>226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73D74-BF82-4BF9-9C5B-92A5F85D3259}">
  <sheetPr>
    <tabColor theme="0" tint="-0.14999847407452621"/>
  </sheetPr>
  <dimension ref="A1:AW33"/>
  <sheetViews>
    <sheetView tabSelected="1" topLeftCell="I16" workbookViewId="0">
      <selection activeCell="Q11" sqref="Q11"/>
    </sheetView>
  </sheetViews>
  <sheetFormatPr defaultRowHeight="14.4" x14ac:dyDescent="0.3"/>
  <cols>
    <col min="1" max="1" width="3.88671875" customWidth="1"/>
    <col min="2" max="2" width="10.6640625" customWidth="1"/>
    <col min="3" max="3" width="12.6640625" customWidth="1"/>
    <col min="4" max="4" width="25.109375" customWidth="1"/>
    <col min="5" max="5" width="13.33203125" customWidth="1"/>
    <col min="6" max="6" width="11.5546875" customWidth="1"/>
    <col min="7" max="7" width="11.109375" customWidth="1"/>
    <col min="8" max="9" width="11.33203125" customWidth="1"/>
    <col min="10" max="10" width="11.21875" customWidth="1"/>
    <col min="11" max="11" width="12.44140625" customWidth="1"/>
    <col min="12" max="12" width="11.44140625" customWidth="1"/>
    <col min="13" max="13" width="12.109375" customWidth="1"/>
    <col min="14" max="14" width="11.21875" customWidth="1"/>
    <col min="15" max="15" width="11.6640625" customWidth="1"/>
    <col min="16" max="16" width="10.88671875" customWidth="1"/>
    <col min="17" max="18" width="11.88671875" customWidth="1"/>
    <col min="19" max="19" width="11.77734375" customWidth="1"/>
    <col min="20" max="20" width="11.88671875" customWidth="1"/>
    <col min="21" max="21" width="12.88671875" customWidth="1"/>
    <col min="22" max="22" width="10.88671875" customWidth="1"/>
    <col min="23" max="23" width="11.77734375" customWidth="1"/>
    <col min="24" max="24" width="11.5546875" customWidth="1"/>
    <col min="25" max="25" width="11.77734375" customWidth="1"/>
    <col min="26" max="26" width="11.44140625" customWidth="1"/>
    <col min="27" max="27" width="10.88671875" customWidth="1"/>
    <col min="28" max="28" width="10.6640625" customWidth="1"/>
    <col min="29" max="29" width="12.6640625" customWidth="1"/>
    <col min="30" max="30" width="12.88671875" customWidth="1"/>
    <col min="31" max="31" width="11" customWidth="1"/>
    <col min="32" max="32" width="12.21875" customWidth="1"/>
    <col min="33" max="34" width="12.88671875" bestFit="1" customWidth="1"/>
    <col min="35" max="35" width="12.77734375" customWidth="1"/>
    <col min="36" max="36" width="12.6640625" customWidth="1"/>
    <col min="37" max="37" width="11.77734375" customWidth="1"/>
    <col min="38" max="38" width="12.88671875" customWidth="1"/>
    <col min="39" max="39" width="13.109375" customWidth="1"/>
    <col min="40" max="40" width="11.44140625" customWidth="1"/>
    <col min="41" max="41" width="11.6640625" customWidth="1"/>
    <col min="42" max="42" width="11.6640625" bestFit="1" customWidth="1"/>
    <col min="43" max="43" width="11.33203125" bestFit="1" customWidth="1"/>
    <col min="44" max="44" width="12.88671875" bestFit="1" customWidth="1"/>
    <col min="45" max="45" width="12.44140625" bestFit="1" customWidth="1"/>
    <col min="46" max="46" width="11.5546875" bestFit="1" customWidth="1"/>
  </cols>
  <sheetData>
    <row r="1" spans="1:49" ht="18" x14ac:dyDescent="0.3">
      <c r="A1" s="79" t="s">
        <v>130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</row>
    <row r="2" spans="1:49" ht="18" x14ac:dyDescent="0.3">
      <c r="A2" s="79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</row>
    <row r="3" spans="1:49" s="65" customFormat="1" ht="18" x14ac:dyDescent="0.3">
      <c r="A3" s="79" t="s">
        <v>315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</row>
    <row r="4" spans="1:49" x14ac:dyDescent="0.3">
      <c r="A4" s="81"/>
      <c r="B4" s="85"/>
      <c r="C4" s="85"/>
      <c r="D4" s="85"/>
      <c r="E4" s="81"/>
      <c r="F4" s="81"/>
      <c r="I4" s="81"/>
      <c r="J4" s="81"/>
      <c r="K4" s="81"/>
      <c r="L4" s="81"/>
      <c r="M4" s="81"/>
      <c r="P4" s="174"/>
      <c r="Q4" s="154"/>
      <c r="S4" s="155"/>
      <c r="T4" s="154"/>
      <c r="AC4" s="65"/>
      <c r="AD4" s="65"/>
      <c r="AE4" s="65"/>
    </row>
    <row r="5" spans="1:49" ht="15" thickBot="1" x14ac:dyDescent="0.35">
      <c r="A5" s="81"/>
      <c r="B5" s="81"/>
      <c r="C5" s="81"/>
      <c r="D5" s="85"/>
      <c r="E5" s="81"/>
      <c r="F5" s="81"/>
      <c r="G5" s="81"/>
      <c r="H5" s="81"/>
      <c r="I5" s="81"/>
      <c r="J5" s="81"/>
      <c r="K5" s="81"/>
      <c r="L5" s="81"/>
      <c r="M5" s="81"/>
      <c r="U5" s="227"/>
      <c r="AC5" s="65"/>
      <c r="AD5" s="65"/>
      <c r="AE5" s="65"/>
      <c r="AU5" s="85" t="s">
        <v>118</v>
      </c>
      <c r="AV5" s="73"/>
    </row>
    <row r="6" spans="1:49" ht="40.5" customHeight="1" x14ac:dyDescent="0.3">
      <c r="A6" s="81"/>
      <c r="B6" s="321" t="s">
        <v>8</v>
      </c>
      <c r="C6" s="316"/>
      <c r="D6" s="316" t="s">
        <v>52</v>
      </c>
      <c r="E6" s="316" t="s">
        <v>314</v>
      </c>
      <c r="F6" s="316"/>
      <c r="G6" s="316"/>
      <c r="H6" s="316" t="s">
        <v>141</v>
      </c>
      <c r="I6" s="316"/>
      <c r="J6" s="316"/>
      <c r="K6" s="316" t="s">
        <v>142</v>
      </c>
      <c r="L6" s="316"/>
      <c r="M6" s="316"/>
      <c r="N6" s="319" t="s">
        <v>143</v>
      </c>
      <c r="O6" s="319"/>
      <c r="P6" s="319"/>
      <c r="Q6" s="319" t="s">
        <v>22</v>
      </c>
      <c r="R6" s="319"/>
      <c r="S6" s="319"/>
      <c r="T6" s="319" t="s">
        <v>16</v>
      </c>
      <c r="U6" s="319"/>
      <c r="V6" s="319"/>
      <c r="W6" s="319"/>
      <c r="X6" s="319"/>
      <c r="Y6" s="319"/>
      <c r="Z6" s="319"/>
      <c r="AA6" s="319"/>
      <c r="AB6" s="320"/>
      <c r="AC6" s="312" t="s">
        <v>145</v>
      </c>
      <c r="AD6" s="313"/>
      <c r="AE6" s="313"/>
      <c r="AF6" s="313" t="s">
        <v>146</v>
      </c>
      <c r="AG6" s="313"/>
      <c r="AH6" s="313"/>
      <c r="AI6" s="313"/>
      <c r="AJ6" s="313"/>
      <c r="AK6" s="313"/>
      <c r="AL6" s="313"/>
      <c r="AM6" s="313"/>
      <c r="AN6" s="313"/>
      <c r="AO6" s="313"/>
      <c r="AP6" s="313"/>
      <c r="AQ6" s="313"/>
      <c r="AR6" s="313"/>
      <c r="AS6" s="313"/>
      <c r="AT6" s="324"/>
      <c r="AU6" s="325" t="s">
        <v>28</v>
      </c>
      <c r="AV6" s="327" t="s">
        <v>29</v>
      </c>
      <c r="AW6" s="329" t="s">
        <v>147</v>
      </c>
    </row>
    <row r="7" spans="1:49" ht="25.5" customHeight="1" x14ac:dyDescent="0.3">
      <c r="A7" s="81"/>
      <c r="B7" s="322"/>
      <c r="C7" s="282"/>
      <c r="D7" s="282"/>
      <c r="E7" s="282"/>
      <c r="F7" s="282"/>
      <c r="G7" s="282"/>
      <c r="H7" s="282"/>
      <c r="I7" s="282"/>
      <c r="J7" s="282"/>
      <c r="K7" s="282"/>
      <c r="L7" s="282"/>
      <c r="M7" s="282"/>
      <c r="N7" s="305"/>
      <c r="O7" s="305"/>
      <c r="P7" s="305"/>
      <c r="Q7" s="305"/>
      <c r="R7" s="305"/>
      <c r="S7" s="305"/>
      <c r="T7" s="305" t="s">
        <v>17</v>
      </c>
      <c r="U7" s="305"/>
      <c r="V7" s="305"/>
      <c r="W7" s="305" t="s">
        <v>116</v>
      </c>
      <c r="X7" s="305"/>
      <c r="Y7" s="305"/>
      <c r="Z7" s="305" t="s">
        <v>137</v>
      </c>
      <c r="AA7" s="305"/>
      <c r="AB7" s="323"/>
      <c r="AC7" s="314"/>
      <c r="AD7" s="315"/>
      <c r="AE7" s="315"/>
      <c r="AF7" s="315" t="s">
        <v>30</v>
      </c>
      <c r="AG7" s="315"/>
      <c r="AH7" s="315"/>
      <c r="AI7" s="315" t="s">
        <v>31</v>
      </c>
      <c r="AJ7" s="315"/>
      <c r="AK7" s="315"/>
      <c r="AL7" s="315" t="s">
        <v>32</v>
      </c>
      <c r="AM7" s="315"/>
      <c r="AN7" s="315"/>
      <c r="AO7" s="315" t="s">
        <v>33</v>
      </c>
      <c r="AP7" s="315"/>
      <c r="AQ7" s="315"/>
      <c r="AR7" s="315" t="s">
        <v>34</v>
      </c>
      <c r="AS7" s="315"/>
      <c r="AT7" s="331"/>
      <c r="AU7" s="326"/>
      <c r="AV7" s="328"/>
      <c r="AW7" s="330"/>
    </row>
    <row r="8" spans="1:49" ht="126" customHeight="1" x14ac:dyDescent="0.3">
      <c r="A8" s="81"/>
      <c r="B8" s="86" t="s">
        <v>2</v>
      </c>
      <c r="C8" s="87" t="s">
        <v>25</v>
      </c>
      <c r="D8" s="282"/>
      <c r="E8" s="88" t="s">
        <v>12</v>
      </c>
      <c r="F8" s="88" t="s">
        <v>20</v>
      </c>
      <c r="G8" s="88" t="s">
        <v>21</v>
      </c>
      <c r="H8" s="88" t="s">
        <v>12</v>
      </c>
      <c r="I8" s="88" t="s">
        <v>20</v>
      </c>
      <c r="J8" s="88" t="s">
        <v>21</v>
      </c>
      <c r="K8" s="88" t="s">
        <v>12</v>
      </c>
      <c r="L8" s="88" t="s">
        <v>20</v>
      </c>
      <c r="M8" s="88" t="s">
        <v>21</v>
      </c>
      <c r="N8" s="35" t="s">
        <v>12</v>
      </c>
      <c r="O8" s="35" t="s">
        <v>20</v>
      </c>
      <c r="P8" s="35" t="s">
        <v>21</v>
      </c>
      <c r="Q8" s="35" t="s">
        <v>12</v>
      </c>
      <c r="R8" s="35" t="s">
        <v>20</v>
      </c>
      <c r="S8" s="35" t="s">
        <v>21</v>
      </c>
      <c r="T8" s="35" t="s">
        <v>12</v>
      </c>
      <c r="U8" s="35" t="s">
        <v>20</v>
      </c>
      <c r="V8" s="35" t="s">
        <v>21</v>
      </c>
      <c r="W8" s="35" t="s">
        <v>12</v>
      </c>
      <c r="X8" s="35" t="s">
        <v>20</v>
      </c>
      <c r="Y8" s="35" t="s">
        <v>21</v>
      </c>
      <c r="Z8" s="35" t="s">
        <v>12</v>
      </c>
      <c r="AA8" s="35" t="s">
        <v>20</v>
      </c>
      <c r="AB8" s="149" t="s">
        <v>21</v>
      </c>
      <c r="AC8" s="48" t="s">
        <v>12</v>
      </c>
      <c r="AD8" s="47" t="s">
        <v>20</v>
      </c>
      <c r="AE8" s="47" t="s">
        <v>21</v>
      </c>
      <c r="AF8" s="47" t="s">
        <v>12</v>
      </c>
      <c r="AG8" s="47" t="s">
        <v>20</v>
      </c>
      <c r="AH8" s="47" t="s">
        <v>21</v>
      </c>
      <c r="AI8" s="47" t="s">
        <v>12</v>
      </c>
      <c r="AJ8" s="47" t="s">
        <v>20</v>
      </c>
      <c r="AK8" s="47" t="s">
        <v>21</v>
      </c>
      <c r="AL8" s="47" t="s">
        <v>12</v>
      </c>
      <c r="AM8" s="47" t="s">
        <v>20</v>
      </c>
      <c r="AN8" s="47" t="s">
        <v>21</v>
      </c>
      <c r="AO8" s="47" t="s">
        <v>12</v>
      </c>
      <c r="AP8" s="47" t="s">
        <v>20</v>
      </c>
      <c r="AQ8" s="47" t="s">
        <v>21</v>
      </c>
      <c r="AR8" s="47" t="s">
        <v>12</v>
      </c>
      <c r="AS8" s="47" t="s">
        <v>20</v>
      </c>
      <c r="AT8" s="49" t="s">
        <v>21</v>
      </c>
      <c r="AU8" s="326"/>
      <c r="AV8" s="328"/>
      <c r="AW8" s="330"/>
    </row>
    <row r="9" spans="1:49" ht="97.8" customHeight="1" x14ac:dyDescent="0.3">
      <c r="B9" s="54">
        <v>1049</v>
      </c>
      <c r="C9" s="150">
        <v>11007</v>
      </c>
      <c r="D9" s="19" t="s">
        <v>241</v>
      </c>
      <c r="E9" s="176">
        <f>F9+G9</f>
        <v>2546880.5</v>
      </c>
      <c r="F9" s="177">
        <f>'Հ7 Ձև1 EURO'!H9*'Հ7 Ձև1 EURO'!J4</f>
        <v>748233.75</v>
      </c>
      <c r="G9" s="177">
        <f>'Հ7 Ձև1 EURO'!I9*'Հ7 Ձև1 EURO'!J4</f>
        <v>1798646.75</v>
      </c>
      <c r="H9" s="176">
        <f>I9+J9</f>
        <v>2165194.7149999999</v>
      </c>
      <c r="I9" s="177">
        <f>+'Հ7 Ձև1 EURO'!K9*'Հ7 Ձև1 EURO'!J4</f>
        <v>480629.90749999997</v>
      </c>
      <c r="J9" s="177">
        <f>+'Հ7 Ձև1 EURO'!L9*'Հ7 Ձև1 EURO'!J4</f>
        <v>1684564.8074999999</v>
      </c>
      <c r="K9" s="176">
        <f>L9+M9</f>
        <v>130085.80839999994</v>
      </c>
      <c r="L9" s="177">
        <v>128487.30369999993</v>
      </c>
      <c r="M9" s="177">
        <v>1598.5047</v>
      </c>
      <c r="N9" s="176">
        <f>O9+P9</f>
        <v>124860.2</v>
      </c>
      <c r="O9" s="169">
        <f>121680.2</f>
        <v>121680.2</v>
      </c>
      <c r="P9" s="169">
        <f>3180</f>
        <v>3180</v>
      </c>
      <c r="Q9" s="176">
        <f>R9+S9</f>
        <v>126739.77660000022</v>
      </c>
      <c r="R9" s="177">
        <f t="shared" ref="R9:R19" si="0">+F9-I9-L9-O9</f>
        <v>17436.3388000001</v>
      </c>
      <c r="S9" s="177">
        <f t="shared" ref="S9:S19" si="1">+G9-J9-M9-P9</f>
        <v>109303.43780000012</v>
      </c>
      <c r="T9" s="176">
        <f>U9+V9</f>
        <v>18160.436999999998</v>
      </c>
      <c r="U9" s="177">
        <f>+'Հ7 Ձև1 EURO'!W9*'Հ7 Ձև1 EURO'!J4</f>
        <v>17438.174999999999</v>
      </c>
      <c r="V9" s="177">
        <f>+'Հ7 Ձև1 EURO'!X9*'Հ7 Ձև1 EURO'!J4</f>
        <v>722.26200000000006</v>
      </c>
      <c r="W9" s="176">
        <f>X9+Y9</f>
        <v>0</v>
      </c>
      <c r="X9" s="177"/>
      <c r="Y9" s="177"/>
      <c r="Z9" s="176">
        <f>AA9+AB9</f>
        <v>0</v>
      </c>
      <c r="AA9" s="177"/>
      <c r="AB9" s="178"/>
      <c r="AC9" s="193">
        <f>AD9+AE9</f>
        <v>18160.436999999998</v>
      </c>
      <c r="AD9" s="188">
        <f>+U9</f>
        <v>17438.174999999999</v>
      </c>
      <c r="AE9" s="188">
        <f>+V9</f>
        <v>722.26200000000006</v>
      </c>
      <c r="AF9" s="170">
        <f>AG9+AH9</f>
        <v>8095</v>
      </c>
      <c r="AG9" s="169">
        <v>8095</v>
      </c>
      <c r="AH9" s="169">
        <v>0</v>
      </c>
      <c r="AI9" s="170">
        <f>AJ9+AK9</f>
        <v>10065.437</v>
      </c>
      <c r="AJ9" s="169">
        <v>9343.1749999999993</v>
      </c>
      <c r="AK9" s="169">
        <f>+AE9</f>
        <v>722.26200000000006</v>
      </c>
      <c r="AL9" s="170">
        <f>AM9+AN9</f>
        <v>0</v>
      </c>
      <c r="AM9" s="169"/>
      <c r="AN9" s="169"/>
      <c r="AO9" s="170">
        <f>AP9+AQ9</f>
        <v>0</v>
      </c>
      <c r="AP9" s="169"/>
      <c r="AQ9" s="169"/>
      <c r="AR9" s="170">
        <f>AS9+AT9</f>
        <v>18160.436999999998</v>
      </c>
      <c r="AS9" s="169">
        <f>+AG9+AJ9+AM9+AP9</f>
        <v>17438.174999999999</v>
      </c>
      <c r="AT9" s="169">
        <f>+AH9+AK9+AN9+AQ9</f>
        <v>722.26200000000006</v>
      </c>
      <c r="AU9" s="53"/>
      <c r="AV9" s="91"/>
      <c r="AW9" s="51"/>
    </row>
    <row r="10" spans="1:49" ht="64.8" x14ac:dyDescent="0.3">
      <c r="B10" s="54">
        <v>1049</v>
      </c>
      <c r="C10" s="150">
        <v>11009</v>
      </c>
      <c r="D10" s="19" t="s">
        <v>231</v>
      </c>
      <c r="E10" s="176">
        <f t="shared" ref="E10:E19" si="2">F10+G10</f>
        <v>2003297.2922065004</v>
      </c>
      <c r="F10" s="177">
        <f>+'Հ7 Ձև1 USD'!H9*'Հ7 Ձև1 USD'!I4-148.6</f>
        <v>51180.592206499998</v>
      </c>
      <c r="G10" s="177">
        <f>+'Հ7 Ձև1 USD'!I9*'Հ7 Ձև1 USD'!I4</f>
        <v>1952116.7000000004</v>
      </c>
      <c r="H10" s="176">
        <f t="shared" ref="H10:H19" si="3">I10+J10</f>
        <v>1157816.7001530002</v>
      </c>
      <c r="I10" s="177">
        <f>+'Հ7 Ձև1 USD'!K9*'Հ7 Ձև1 USD'!I4</f>
        <v>45781.069652999999</v>
      </c>
      <c r="J10" s="177">
        <f>+'Հ7 Ձև1 USD'!L9*'Հ7 Ձև1 USD'!I4</f>
        <v>1112035.6305000002</v>
      </c>
      <c r="K10" s="176">
        <f t="shared" ref="K10:K19" si="4">L10+M10</f>
        <v>521089.4</v>
      </c>
      <c r="L10" s="177">
        <v>2699.5</v>
      </c>
      <c r="M10" s="177">
        <v>518389.9</v>
      </c>
      <c r="N10" s="176">
        <f t="shared" ref="N10:N19" si="5">O10+P10</f>
        <v>238300</v>
      </c>
      <c r="O10" s="169">
        <f>2700</f>
        <v>2700</v>
      </c>
      <c r="P10" s="169">
        <f>235600</f>
        <v>235600</v>
      </c>
      <c r="Q10" s="176">
        <f t="shared" ref="Q10:Q19" si="6">R10+S10</f>
        <v>86091.192053500185</v>
      </c>
      <c r="R10" s="177">
        <f t="shared" si="0"/>
        <v>2.2553499999048654E-2</v>
      </c>
      <c r="S10" s="177">
        <f t="shared" si="1"/>
        <v>86091.169500000193</v>
      </c>
      <c r="T10" s="176">
        <f t="shared" ref="T10:T19" si="7">U10+V10</f>
        <v>82790.256600000008</v>
      </c>
      <c r="U10" s="177">
        <v>0</v>
      </c>
      <c r="V10" s="177">
        <f>'Հ7 Ձև1 USD'!X9*'Հ7 Ձև1 USD'!I4</f>
        <v>82790.256600000008</v>
      </c>
      <c r="W10" s="176">
        <f t="shared" ref="W10:W19" si="8">X10+Y10</f>
        <v>3300.0050000000006</v>
      </c>
      <c r="X10" s="177">
        <v>0</v>
      </c>
      <c r="Y10" s="177">
        <f>+'Հ7 Ձև1 USD'!AA9*'Հ7 Ձև1 USD'!I4+2</f>
        <v>3300.0050000000006</v>
      </c>
      <c r="Z10" s="176">
        <f t="shared" ref="Z10:Z19" si="9">AA10+AB10</f>
        <v>0</v>
      </c>
      <c r="AA10" s="177">
        <v>0</v>
      </c>
      <c r="AB10" s="178">
        <v>0</v>
      </c>
      <c r="AC10" s="193">
        <f t="shared" ref="AC10:AC19" si="10">AD10+AE10</f>
        <v>82790.256600000008</v>
      </c>
      <c r="AD10" s="188">
        <f t="shared" ref="AD10:AD19" si="11">+U10</f>
        <v>0</v>
      </c>
      <c r="AE10" s="169">
        <f>+V10</f>
        <v>82790.256600000008</v>
      </c>
      <c r="AF10" s="170">
        <f t="shared" ref="AF10:AF19" si="12">AG10+AH10</f>
        <v>19600</v>
      </c>
      <c r="AG10" s="169"/>
      <c r="AH10" s="169">
        <v>19600</v>
      </c>
      <c r="AI10" s="170">
        <f t="shared" ref="AI10:AI19" si="13">AJ10+AK10</f>
        <v>22875</v>
      </c>
      <c r="AJ10" s="169"/>
      <c r="AK10" s="169">
        <v>22875</v>
      </c>
      <c r="AL10" s="170">
        <f t="shared" ref="AL10:AL19" si="14">AM10+AN10</f>
        <v>19600</v>
      </c>
      <c r="AM10" s="169"/>
      <c r="AN10" s="169">
        <v>19600</v>
      </c>
      <c r="AO10" s="170">
        <f t="shared" ref="AO10:AO19" si="15">AP10+AQ10</f>
        <v>20715</v>
      </c>
      <c r="AP10" s="169"/>
      <c r="AQ10" s="169">
        <v>20715</v>
      </c>
      <c r="AR10" s="233">
        <f t="shared" ref="AR10:AR19" si="16">AS10+AT10</f>
        <v>82790</v>
      </c>
      <c r="AS10" s="169">
        <f>+AG10+AJ10+AM10+AP10</f>
        <v>0</v>
      </c>
      <c r="AT10" s="169">
        <f>+AH10+AK10+AN10+AQ10</f>
        <v>82790</v>
      </c>
      <c r="AU10" s="53"/>
      <c r="AV10" s="91"/>
      <c r="AW10" s="51"/>
    </row>
    <row r="11" spans="1:49" ht="54" x14ac:dyDescent="0.3">
      <c r="B11" s="54">
        <v>1049</v>
      </c>
      <c r="C11" s="150">
        <v>11012</v>
      </c>
      <c r="D11" s="19" t="s">
        <v>294</v>
      </c>
      <c r="E11" s="176">
        <f t="shared" si="2"/>
        <v>8871236.1000000015</v>
      </c>
      <c r="F11" s="177">
        <f>+'Հ7 Ձև1 USD'!H10*'Հ7 Ձև1 USD'!I4</f>
        <v>735097.5</v>
      </c>
      <c r="G11" s="177">
        <f>+'Հ7 Ձև1 USD'!I10*'Հ7 Ձև1 USD'!I4</f>
        <v>8136138.6000000006</v>
      </c>
      <c r="H11" s="176">
        <f t="shared" si="3"/>
        <v>3160680.84</v>
      </c>
      <c r="I11" s="177">
        <f>+'Հ7 Ձև1 USD'!K10*'Հ7 Ձև1 USD'!I4</f>
        <v>34251.57</v>
      </c>
      <c r="J11" s="177">
        <f>+'Հ7 Ձև1 USD'!L10*'Հ7 Ձև1 USD'!I4</f>
        <v>3126429.27</v>
      </c>
      <c r="K11" s="176">
        <f t="shared" si="4"/>
        <v>4267472.7040999997</v>
      </c>
      <c r="L11" s="177">
        <v>155409.84380000003</v>
      </c>
      <c r="M11" s="177">
        <v>4112062.8602999998</v>
      </c>
      <c r="N11" s="176">
        <f t="shared" si="5"/>
        <v>646510</v>
      </c>
      <c r="O11" s="169">
        <f>197410</f>
        <v>197410</v>
      </c>
      <c r="P11" s="169">
        <f>449100</f>
        <v>449100</v>
      </c>
      <c r="Q11" s="176">
        <f t="shared" si="6"/>
        <v>796572.55590000027</v>
      </c>
      <c r="R11" s="177">
        <f t="shared" si="0"/>
        <v>348026.08620000002</v>
      </c>
      <c r="S11" s="177">
        <f t="shared" si="1"/>
        <v>448546.46970000025</v>
      </c>
      <c r="T11" s="176">
        <f t="shared" si="7"/>
        <v>297675</v>
      </c>
      <c r="U11" s="177">
        <f>+'Հ7 Ձև1 USD'!W10*'Հ7 Ձև1 USD'!I4</f>
        <v>198675</v>
      </c>
      <c r="V11" s="177">
        <f>+'Հ7 Ձև1 USD'!X10*'Հ7 Ձև1 USD'!I4-337.5</f>
        <v>99000</v>
      </c>
      <c r="W11" s="176">
        <f t="shared" si="8"/>
        <v>248351.08620000002</v>
      </c>
      <c r="X11" s="177">
        <f>+R11-U11</f>
        <v>149351.08620000002</v>
      </c>
      <c r="Y11" s="177">
        <f>+V11</f>
        <v>99000</v>
      </c>
      <c r="Z11" s="176">
        <f t="shared" si="9"/>
        <v>99000</v>
      </c>
      <c r="AA11" s="177">
        <v>0</v>
      </c>
      <c r="AB11" s="178">
        <f>+Y11</f>
        <v>99000</v>
      </c>
      <c r="AC11" s="193">
        <f t="shared" si="10"/>
        <v>297675</v>
      </c>
      <c r="AD11" s="188">
        <f t="shared" si="11"/>
        <v>198675</v>
      </c>
      <c r="AE11" s="188">
        <f t="shared" ref="AE11:AE19" si="17">+V11</f>
        <v>99000</v>
      </c>
      <c r="AF11" s="170">
        <f t="shared" si="12"/>
        <v>48000</v>
      </c>
      <c r="AG11" s="169">
        <v>40000</v>
      </c>
      <c r="AH11" s="169">
        <f>+AG11*1.2/6</f>
        <v>8000</v>
      </c>
      <c r="AI11" s="170">
        <f t="shared" si="13"/>
        <v>80000</v>
      </c>
      <c r="AJ11" s="169">
        <v>55000</v>
      </c>
      <c r="AK11" s="169">
        <v>25000</v>
      </c>
      <c r="AL11" s="170">
        <f t="shared" si="14"/>
        <v>86000</v>
      </c>
      <c r="AM11" s="169">
        <v>53000</v>
      </c>
      <c r="AN11" s="169">
        <v>33000</v>
      </c>
      <c r="AO11" s="170">
        <f t="shared" si="15"/>
        <v>83675</v>
      </c>
      <c r="AP11" s="169">
        <v>50675</v>
      </c>
      <c r="AQ11" s="169">
        <v>33000</v>
      </c>
      <c r="AR11" s="170">
        <f t="shared" si="16"/>
        <v>297675</v>
      </c>
      <c r="AS11" s="169">
        <f t="shared" ref="AS11:AS19" si="18">+AG11+AJ11+AM11+AP11</f>
        <v>198675</v>
      </c>
      <c r="AT11" s="169">
        <f t="shared" ref="AT11:AT19" si="19">+AH11+AK11+AN11+AQ11</f>
        <v>99000</v>
      </c>
      <c r="AU11" s="53"/>
      <c r="AV11" s="91"/>
      <c r="AW11" s="51"/>
    </row>
    <row r="12" spans="1:49" ht="86.4" x14ac:dyDescent="0.3">
      <c r="B12" s="54">
        <v>1049</v>
      </c>
      <c r="C12" s="150">
        <v>11016</v>
      </c>
      <c r="D12" s="19" t="s">
        <v>320</v>
      </c>
      <c r="E12" s="176">
        <f t="shared" si="2"/>
        <v>2354772</v>
      </c>
      <c r="F12" s="177">
        <f>+'Հ7 Ձև1 EURO'!H10*'Հ7 Ձև1 EURO'!J4</f>
        <v>519435</v>
      </c>
      <c r="G12" s="177">
        <f>+'Հ7 Ձև1 EURO'!I10*'Հ7 Ձև1 EURO'!J4</f>
        <v>1835337</v>
      </c>
      <c r="H12" s="176">
        <f t="shared" si="3"/>
        <v>0</v>
      </c>
      <c r="I12" s="177">
        <v>0</v>
      </c>
      <c r="J12" s="177">
        <v>0</v>
      </c>
      <c r="K12" s="176">
        <f t="shared" si="4"/>
        <v>628947.9</v>
      </c>
      <c r="L12" s="177">
        <v>0</v>
      </c>
      <c r="M12" s="177">
        <f>628947.9</f>
        <v>628947.9</v>
      </c>
      <c r="N12" s="176">
        <f t="shared" si="5"/>
        <v>814604.9</v>
      </c>
      <c r="O12" s="177">
        <v>45640</v>
      </c>
      <c r="P12" s="177">
        <v>768964.9</v>
      </c>
      <c r="Q12" s="176">
        <f t="shared" si="6"/>
        <v>911219.20000000007</v>
      </c>
      <c r="R12" s="177">
        <f t="shared" si="0"/>
        <v>473795</v>
      </c>
      <c r="S12" s="177">
        <f t="shared" si="1"/>
        <v>437424.20000000007</v>
      </c>
      <c r="T12" s="176">
        <f t="shared" si="7"/>
        <v>432862.5</v>
      </c>
      <c r="U12" s="177">
        <f>+'Հ7 Ձև1 EURO'!W10*'Հ7 Ձև1 EURO'!J4</f>
        <v>103062.5</v>
      </c>
      <c r="V12" s="177">
        <f>+'Հ7 Ձև1 EURO'!X10*'Հ7 Ձև1 EURO'!J4</f>
        <v>329800</v>
      </c>
      <c r="W12" s="176">
        <f t="shared" si="8"/>
        <v>124062.5</v>
      </c>
      <c r="X12" s="177">
        <f>+'Հ7 Ձև1 EURO'!Z10*'Հ7 Ձև1 EURO'!J4</f>
        <v>103062.5</v>
      </c>
      <c r="Y12" s="177">
        <v>21000</v>
      </c>
      <c r="Z12" s="176">
        <f t="shared" si="9"/>
        <v>148175</v>
      </c>
      <c r="AA12" s="177">
        <f>+'Հ7 Ձև1 EURO'!AC10*'Հ7 Ձև1 EURO'!J4</f>
        <v>123675</v>
      </c>
      <c r="AB12" s="178">
        <v>24500</v>
      </c>
      <c r="AC12" s="193">
        <f t="shared" si="10"/>
        <v>432862.5</v>
      </c>
      <c r="AD12" s="188">
        <f t="shared" si="11"/>
        <v>103062.5</v>
      </c>
      <c r="AE12" s="188">
        <f t="shared" si="17"/>
        <v>329800</v>
      </c>
      <c r="AF12" s="170">
        <f t="shared" si="12"/>
        <v>25000</v>
      </c>
      <c r="AG12" s="169">
        <v>20000</v>
      </c>
      <c r="AH12" s="169">
        <v>5000</v>
      </c>
      <c r="AI12" s="170">
        <f t="shared" si="13"/>
        <v>175000</v>
      </c>
      <c r="AJ12" s="169">
        <v>25000</v>
      </c>
      <c r="AK12" s="169">
        <v>150000</v>
      </c>
      <c r="AL12" s="170">
        <f t="shared" si="14"/>
        <v>127000</v>
      </c>
      <c r="AM12" s="169">
        <v>27000</v>
      </c>
      <c r="AN12" s="169">
        <v>100000</v>
      </c>
      <c r="AO12" s="170">
        <f t="shared" si="15"/>
        <v>105862.5</v>
      </c>
      <c r="AP12" s="169">
        <v>31062.5</v>
      </c>
      <c r="AQ12" s="169">
        <v>74800</v>
      </c>
      <c r="AR12" s="170">
        <f t="shared" si="16"/>
        <v>432862.5</v>
      </c>
      <c r="AS12" s="169">
        <f t="shared" si="18"/>
        <v>103062.5</v>
      </c>
      <c r="AT12" s="169">
        <f t="shared" si="19"/>
        <v>329800</v>
      </c>
      <c r="AU12" s="53"/>
      <c r="AV12" s="91"/>
      <c r="AW12" s="51"/>
    </row>
    <row r="13" spans="1:49" ht="58.2" customHeight="1" x14ac:dyDescent="0.3">
      <c r="B13" s="54">
        <v>1049</v>
      </c>
      <c r="C13" s="150">
        <v>11017</v>
      </c>
      <c r="D13" s="19" t="s">
        <v>299</v>
      </c>
      <c r="E13" s="176">
        <f t="shared" si="2"/>
        <v>6477872.5</v>
      </c>
      <c r="F13" s="177">
        <f>'Հ7 Ձև1 USD'!H11*'Հ7 Ձև1 USD'!I4</f>
        <v>4251645</v>
      </c>
      <c r="G13" s="177">
        <f>+'Հ7 Ձև1 USD'!I11*'Հ7 Ձև1 USD'!I3</f>
        <v>2226227.5</v>
      </c>
      <c r="H13" s="176">
        <f t="shared" si="3"/>
        <v>176189.7074322</v>
      </c>
      <c r="I13" s="177">
        <v>0</v>
      </c>
      <c r="J13" s="177">
        <f>'Հ7 Ձև1 USD'!L11*'Հ7 Ձև1 USD'!I3</f>
        <v>176189.7074322</v>
      </c>
      <c r="K13" s="176">
        <f t="shared" si="4"/>
        <v>1300584.1000000001</v>
      </c>
      <c r="L13" s="177"/>
      <c r="M13" s="177">
        <f>1300584.1</f>
        <v>1300584.1000000001</v>
      </c>
      <c r="N13" s="176">
        <f t="shared" si="5"/>
        <v>213260</v>
      </c>
      <c r="O13" s="177">
        <v>56470</v>
      </c>
      <c r="P13" s="177">
        <v>156790</v>
      </c>
      <c r="Q13" s="176">
        <f t="shared" si="6"/>
        <v>4787838.6925678002</v>
      </c>
      <c r="R13" s="177">
        <f t="shared" si="0"/>
        <v>4195175</v>
      </c>
      <c r="S13" s="177">
        <f t="shared" si="1"/>
        <v>592663.69256779994</v>
      </c>
      <c r="T13" s="176">
        <f t="shared" si="7"/>
        <v>102714.97500000001</v>
      </c>
      <c r="U13" s="177">
        <f>+'Հ7 Ձև1 USD'!W11*'Հ7 Ձև1 USD'!I4</f>
        <v>71920.350000000006</v>
      </c>
      <c r="V13" s="177">
        <f>+'Հ7 Ձև1 USD'!X11*'Հ7 Ձև1 USD'!I4</f>
        <v>30794.625</v>
      </c>
      <c r="W13" s="176">
        <f t="shared" si="8"/>
        <v>159615.495</v>
      </c>
      <c r="X13" s="177">
        <f>+'Հ7 Ձև1 USD'!Z11*'Հ7 Ձև1 USD'!I4</f>
        <v>107284.5</v>
      </c>
      <c r="Y13" s="177">
        <f>+'Հ7 Ձև1 USD'!AA11*'Հ7 Ձև1 USD'!I4</f>
        <v>52330.994999999995</v>
      </c>
      <c r="Z13" s="176">
        <f t="shared" si="9"/>
        <v>216376.9425</v>
      </c>
      <c r="AA13" s="177">
        <f>+'Հ7 Ձև1 USD'!AC11*'Հ7 Ձև1 USD'!I4</f>
        <v>147019.5</v>
      </c>
      <c r="AB13" s="178">
        <f>+'Հ7 Ձև1 USD'!AD11*'Հ7 Ձև1 USD'!I4</f>
        <v>69357.442500000005</v>
      </c>
      <c r="AC13" s="193">
        <f t="shared" si="10"/>
        <v>102714.97500000001</v>
      </c>
      <c r="AD13" s="169">
        <f t="shared" si="11"/>
        <v>71920.350000000006</v>
      </c>
      <c r="AE13" s="169">
        <f t="shared" si="17"/>
        <v>30794.625</v>
      </c>
      <c r="AF13" s="170">
        <f t="shared" si="12"/>
        <v>23000</v>
      </c>
      <c r="AG13" s="169">
        <v>18000</v>
      </c>
      <c r="AH13" s="169">
        <v>5000</v>
      </c>
      <c r="AI13" s="170">
        <f t="shared" si="13"/>
        <v>26500</v>
      </c>
      <c r="AJ13" s="169">
        <v>18000</v>
      </c>
      <c r="AK13" s="169">
        <v>8500</v>
      </c>
      <c r="AL13" s="170">
        <f t="shared" si="14"/>
        <v>26000</v>
      </c>
      <c r="AM13" s="169">
        <v>18000</v>
      </c>
      <c r="AN13" s="169">
        <v>8000</v>
      </c>
      <c r="AO13" s="170">
        <f t="shared" si="15"/>
        <v>27214.979999999996</v>
      </c>
      <c r="AP13" s="169">
        <v>17920.349999999999</v>
      </c>
      <c r="AQ13" s="169">
        <v>9294.6299999999992</v>
      </c>
      <c r="AR13" s="170">
        <f t="shared" si="16"/>
        <v>102714.98000000001</v>
      </c>
      <c r="AS13" s="169">
        <f t="shared" si="18"/>
        <v>71920.350000000006</v>
      </c>
      <c r="AT13" s="169">
        <f t="shared" si="19"/>
        <v>30794.629999999997</v>
      </c>
      <c r="AU13" s="53"/>
      <c r="AV13" s="91"/>
      <c r="AW13" s="51"/>
    </row>
    <row r="14" spans="1:49" ht="54" x14ac:dyDescent="0.3">
      <c r="B14" s="54">
        <v>1049</v>
      </c>
      <c r="C14" s="19">
        <v>11020</v>
      </c>
      <c r="D14" s="19" t="s">
        <v>301</v>
      </c>
      <c r="E14" s="176">
        <f t="shared" ref="E14" si="20">F14+G14</f>
        <v>1100000</v>
      </c>
      <c r="F14" s="177">
        <v>0</v>
      </c>
      <c r="G14" s="177">
        <v>1100000</v>
      </c>
      <c r="H14" s="176">
        <f t="shared" ref="H14" si="21">I14+J14</f>
        <v>0</v>
      </c>
      <c r="I14" s="177">
        <v>0</v>
      </c>
      <c r="J14" s="177">
        <v>0</v>
      </c>
      <c r="K14" s="176">
        <f t="shared" ref="K14" si="22">L14+M14</f>
        <v>0</v>
      </c>
      <c r="L14" s="177">
        <v>0</v>
      </c>
      <c r="M14" s="177">
        <v>0</v>
      </c>
      <c r="N14" s="176">
        <f t="shared" ref="N14" si="23">O14+P14</f>
        <v>100000</v>
      </c>
      <c r="O14" s="177"/>
      <c r="P14" s="177">
        <v>100000</v>
      </c>
      <c r="Q14" s="176">
        <f t="shared" ref="Q14" si="24">R14+S14</f>
        <v>1000000</v>
      </c>
      <c r="R14" s="177">
        <f t="shared" si="0"/>
        <v>0</v>
      </c>
      <c r="S14" s="177">
        <f t="shared" si="1"/>
        <v>1000000</v>
      </c>
      <c r="T14" s="176">
        <f t="shared" ref="T14" si="25">U14+V14</f>
        <v>700000</v>
      </c>
      <c r="U14" s="177">
        <v>0</v>
      </c>
      <c r="V14" s="177">
        <v>700000</v>
      </c>
      <c r="W14" s="176">
        <f t="shared" ref="W14" si="26">X14+Y14</f>
        <v>300000</v>
      </c>
      <c r="X14" s="177"/>
      <c r="Y14" s="177">
        <v>300000</v>
      </c>
      <c r="Z14" s="176">
        <f t="shared" ref="Z14" si="27">AA14+AB14</f>
        <v>0</v>
      </c>
      <c r="AA14" s="177"/>
      <c r="AB14" s="178"/>
      <c r="AC14" s="193">
        <f t="shared" ref="AC14" si="28">AD14+AE14</f>
        <v>700000</v>
      </c>
      <c r="AD14" s="188">
        <f t="shared" ref="AD14" si="29">+U14</f>
        <v>0</v>
      </c>
      <c r="AE14" s="188">
        <f t="shared" ref="AE14" si="30">+V14</f>
        <v>700000</v>
      </c>
      <c r="AF14" s="170">
        <f t="shared" ref="AF14" si="31">AG14+AH14</f>
        <v>0</v>
      </c>
      <c r="AG14" s="169"/>
      <c r="AH14" s="169"/>
      <c r="AI14" s="170">
        <f t="shared" ref="AI14" si="32">AJ14+AK14</f>
        <v>300000</v>
      </c>
      <c r="AJ14" s="169"/>
      <c r="AK14" s="169">
        <v>300000</v>
      </c>
      <c r="AL14" s="170">
        <f t="shared" ref="AL14" si="33">AM14+AN14</f>
        <v>300000</v>
      </c>
      <c r="AM14" s="169"/>
      <c r="AN14" s="169">
        <v>300000</v>
      </c>
      <c r="AO14" s="170">
        <f t="shared" ref="AO14" si="34">AP14+AQ14</f>
        <v>100000</v>
      </c>
      <c r="AP14" s="169"/>
      <c r="AQ14" s="169">
        <v>100000</v>
      </c>
      <c r="AR14" s="170">
        <f t="shared" ref="AR14" si="35">AS14+AT14</f>
        <v>700000</v>
      </c>
      <c r="AS14" s="169">
        <f t="shared" si="18"/>
        <v>0</v>
      </c>
      <c r="AT14" s="169">
        <f t="shared" si="19"/>
        <v>700000</v>
      </c>
      <c r="AU14" s="53"/>
      <c r="AV14" s="91"/>
      <c r="AW14" s="51"/>
    </row>
    <row r="15" spans="1:49" ht="75.599999999999994" x14ac:dyDescent="0.3">
      <c r="B15" s="54">
        <v>1049</v>
      </c>
      <c r="C15" s="19">
        <v>21004</v>
      </c>
      <c r="D15" s="19" t="s">
        <v>272</v>
      </c>
      <c r="E15" s="176">
        <f t="shared" si="2"/>
        <v>19297643.465999998</v>
      </c>
      <c r="F15" s="177">
        <f>+'Հ7 Ձև1 EURO'!H12*'Հ7 Ձև1 EURO'!J4</f>
        <v>16081369.555</v>
      </c>
      <c r="G15" s="177">
        <f>+'Հ7 Ձև1 EURO'!I12*'Հ7 Ձև1 EURO'!J4</f>
        <v>3216273.9110000003</v>
      </c>
      <c r="H15" s="176">
        <f t="shared" si="3"/>
        <v>17538445.743000001</v>
      </c>
      <c r="I15" s="177">
        <f>+'Հ7 Ձև1 EURO'!K12*'Հ7 Ձև1 EURO'!J4</f>
        <v>14615371.452500001</v>
      </c>
      <c r="J15" s="177">
        <f>+'Հ7 Ձև1 EURO'!L12*'Հ7 Ձև1 EURO'!J4</f>
        <v>2923074.2905000001</v>
      </c>
      <c r="K15" s="176">
        <f t="shared" si="4"/>
        <v>463903.51696929999</v>
      </c>
      <c r="L15" s="177">
        <v>405935.33006930002</v>
      </c>
      <c r="M15" s="177">
        <v>57968.186900000001</v>
      </c>
      <c r="N15" s="176">
        <f t="shared" si="5"/>
        <v>1000533.2</v>
      </c>
      <c r="O15" s="169">
        <f>833777.7</f>
        <v>833777.7</v>
      </c>
      <c r="P15" s="169">
        <f>166755.5</f>
        <v>166755.5</v>
      </c>
      <c r="Q15" s="176">
        <f t="shared" si="6"/>
        <v>294761.00603069935</v>
      </c>
      <c r="R15" s="177">
        <f t="shared" si="0"/>
        <v>226285.07243069913</v>
      </c>
      <c r="S15" s="177">
        <f t="shared" si="1"/>
        <v>68475.933600000193</v>
      </c>
      <c r="T15" s="176">
        <f t="shared" si="7"/>
        <v>174800</v>
      </c>
      <c r="U15" s="177">
        <v>125000</v>
      </c>
      <c r="V15" s="177">
        <f>25000+24800</f>
        <v>49800</v>
      </c>
      <c r="W15" s="176">
        <f t="shared" si="8"/>
        <v>0</v>
      </c>
      <c r="X15" s="177"/>
      <c r="Y15" s="177"/>
      <c r="Z15" s="176">
        <f t="shared" si="9"/>
        <v>0</v>
      </c>
      <c r="AA15" s="177"/>
      <c r="AB15" s="178"/>
      <c r="AC15" s="193">
        <f t="shared" si="10"/>
        <v>174800</v>
      </c>
      <c r="AD15" s="188">
        <f t="shared" si="11"/>
        <v>125000</v>
      </c>
      <c r="AE15" s="188">
        <f t="shared" si="17"/>
        <v>49800</v>
      </c>
      <c r="AF15" s="170">
        <f t="shared" si="12"/>
        <v>150000</v>
      </c>
      <c r="AG15" s="169">
        <v>125000</v>
      </c>
      <c r="AH15" s="169">
        <v>25000</v>
      </c>
      <c r="AI15" s="170">
        <f t="shared" si="13"/>
        <v>0</v>
      </c>
      <c r="AJ15" s="169"/>
      <c r="AK15" s="169"/>
      <c r="AL15" s="170">
        <f t="shared" si="14"/>
        <v>24800</v>
      </c>
      <c r="AM15" s="169"/>
      <c r="AN15" s="169">
        <v>24800</v>
      </c>
      <c r="AO15" s="170">
        <f t="shared" si="15"/>
        <v>0</v>
      </c>
      <c r="AP15" s="169"/>
      <c r="AQ15" s="169"/>
      <c r="AR15" s="170">
        <f t="shared" si="16"/>
        <v>174800</v>
      </c>
      <c r="AS15" s="169">
        <f t="shared" si="18"/>
        <v>125000</v>
      </c>
      <c r="AT15" s="169">
        <f t="shared" si="19"/>
        <v>49800</v>
      </c>
      <c r="AU15" s="53"/>
      <c r="AV15" s="91"/>
      <c r="AW15" s="51"/>
    </row>
    <row r="16" spans="1:49" ht="54" x14ac:dyDescent="0.3">
      <c r="B16" s="54">
        <v>1049</v>
      </c>
      <c r="C16" s="19">
        <v>21006</v>
      </c>
      <c r="D16" s="19" t="s">
        <v>234</v>
      </c>
      <c r="E16" s="176">
        <f t="shared" si="2"/>
        <v>81032199.962400004</v>
      </c>
      <c r="F16" s="177">
        <f>+'Հ7 Ձև1 USD'!H12*'Հ7 Ձև1 USD'!I4</f>
        <v>65908770.327000007</v>
      </c>
      <c r="G16" s="177">
        <f>+'Հ7 Ձև1 USD'!I12*'Հ7 Ձև1 USD'!I4+856910.07</f>
        <v>15123429.635399999</v>
      </c>
      <c r="H16" s="176">
        <f t="shared" si="3"/>
        <v>58698131.400000006</v>
      </c>
      <c r="I16" s="177">
        <f>+'Հ7 Ձև1 USD'!K12*'Հ7 Ձև1 USD'!I4</f>
        <v>50763051.900000006</v>
      </c>
      <c r="J16" s="177">
        <f>+'Հ7 Ձև1 USD'!L12*'Հ7 Ձև1 USD'!I4</f>
        <v>7935079.5</v>
      </c>
      <c r="K16" s="176">
        <f t="shared" si="4"/>
        <v>12039678.1374528</v>
      </c>
      <c r="L16" s="177">
        <v>9959159.5574527998</v>
      </c>
      <c r="M16" s="177">
        <v>2080518.5799999998</v>
      </c>
      <c r="N16" s="176">
        <f t="shared" si="5"/>
        <v>3757815.2</v>
      </c>
      <c r="O16" s="169">
        <f>1725527.4</f>
        <v>1725527.4</v>
      </c>
      <c r="P16" s="169">
        <f>2032287.8</f>
        <v>2032287.8</v>
      </c>
      <c r="Q16" s="176">
        <f t="shared" si="6"/>
        <v>6536575.2249472011</v>
      </c>
      <c r="R16" s="177">
        <f t="shared" si="0"/>
        <v>3461031.4695472014</v>
      </c>
      <c r="S16" s="177">
        <f t="shared" si="1"/>
        <v>3075543.7553999992</v>
      </c>
      <c r="T16" s="176">
        <f t="shared" si="7"/>
        <v>3075543.7553999992</v>
      </c>
      <c r="U16" s="177">
        <v>0</v>
      </c>
      <c r="V16" s="177">
        <f>+S16</f>
        <v>3075543.7553999992</v>
      </c>
      <c r="W16" s="176">
        <f t="shared" si="8"/>
        <v>0</v>
      </c>
      <c r="X16" s="177">
        <v>0</v>
      </c>
      <c r="Y16" s="177">
        <v>0</v>
      </c>
      <c r="Z16" s="176">
        <f t="shared" si="9"/>
        <v>0</v>
      </c>
      <c r="AA16" s="177">
        <v>0</v>
      </c>
      <c r="AB16" s="178">
        <v>0</v>
      </c>
      <c r="AC16" s="193">
        <f t="shared" si="10"/>
        <v>3075543.7553999992</v>
      </c>
      <c r="AD16" s="188">
        <f t="shared" si="11"/>
        <v>0</v>
      </c>
      <c r="AE16" s="188">
        <f t="shared" si="17"/>
        <v>3075543.7553999992</v>
      </c>
      <c r="AF16" s="170">
        <f t="shared" si="12"/>
        <v>1500000</v>
      </c>
      <c r="AG16" s="169"/>
      <c r="AH16" s="169">
        <v>1500000</v>
      </c>
      <c r="AI16" s="170">
        <f t="shared" si="13"/>
        <v>1575543.76</v>
      </c>
      <c r="AJ16" s="169"/>
      <c r="AK16" s="169">
        <v>1575543.76</v>
      </c>
      <c r="AL16" s="170">
        <f t="shared" si="14"/>
        <v>0</v>
      </c>
      <c r="AM16" s="169"/>
      <c r="AN16" s="169"/>
      <c r="AO16" s="170">
        <f t="shared" si="15"/>
        <v>0</v>
      </c>
      <c r="AP16" s="169"/>
      <c r="AQ16" s="169"/>
      <c r="AR16" s="170">
        <f t="shared" si="16"/>
        <v>3075543.76</v>
      </c>
      <c r="AS16" s="169">
        <f t="shared" si="18"/>
        <v>0</v>
      </c>
      <c r="AT16" s="169">
        <f t="shared" si="19"/>
        <v>3075543.76</v>
      </c>
      <c r="AU16" s="53"/>
      <c r="AV16" s="91"/>
      <c r="AW16" s="51"/>
    </row>
    <row r="17" spans="1:49" ht="63.6" customHeight="1" x14ac:dyDescent="0.3">
      <c r="B17" s="54">
        <v>1049</v>
      </c>
      <c r="C17" s="19">
        <v>21009</v>
      </c>
      <c r="D17" s="19" t="s">
        <v>317</v>
      </c>
      <c r="E17" s="176">
        <f t="shared" si="2"/>
        <v>29948284.642499998</v>
      </c>
      <c r="F17" s="177">
        <f>+'Հ7 Ձև1 EURO'!H13*'Հ7 Ձև1 EURO'!J4</f>
        <v>24735000</v>
      </c>
      <c r="G17" s="177">
        <f>+'Հ7 Ձև1 EURO'!I13*'Հ7 Ձև1 EURO'!J4</f>
        <v>5213284.6425000001</v>
      </c>
      <c r="H17" s="176">
        <f t="shared" si="3"/>
        <v>21623122.335975111</v>
      </c>
      <c r="I17" s="177">
        <f>+'Հ7 Ձև1 EURO'!K13*'Հ7 Ձև1 EURO'!J4</f>
        <v>18600937.4577525</v>
      </c>
      <c r="J17" s="177">
        <f>+'Հ7 Ձև1 EURO'!L13*'Հ7 Ձև1 EURO'!J4</f>
        <v>3022184.8782226089</v>
      </c>
      <c r="K17" s="176">
        <f t="shared" si="4"/>
        <v>1615396.9384000001</v>
      </c>
      <c r="L17" s="177">
        <v>735015.74210000003</v>
      </c>
      <c r="M17" s="177">
        <v>880381.19630000007</v>
      </c>
      <c r="N17" s="176">
        <f t="shared" si="5"/>
        <v>1246490.8</v>
      </c>
      <c r="O17" s="177">
        <v>1037022</v>
      </c>
      <c r="P17" s="177">
        <v>209468.79999999999</v>
      </c>
      <c r="Q17" s="176">
        <f t="shared" si="6"/>
        <v>5463274.5681248913</v>
      </c>
      <c r="R17" s="177">
        <f t="shared" si="0"/>
        <v>4362024.8001474999</v>
      </c>
      <c r="S17" s="177">
        <f t="shared" si="1"/>
        <v>1101249.7679773911</v>
      </c>
      <c r="T17" s="176">
        <f t="shared" si="7"/>
        <v>1346500</v>
      </c>
      <c r="U17" s="177">
        <v>1121500</v>
      </c>
      <c r="V17" s="177">
        <v>225000</v>
      </c>
      <c r="W17" s="176">
        <f t="shared" si="8"/>
        <v>0</v>
      </c>
      <c r="X17" s="177"/>
      <c r="Y17" s="177"/>
      <c r="Z17" s="176">
        <f t="shared" si="9"/>
        <v>0</v>
      </c>
      <c r="AA17" s="177"/>
      <c r="AB17" s="178"/>
      <c r="AC17" s="193">
        <f t="shared" si="10"/>
        <v>1346500</v>
      </c>
      <c r="AD17" s="188">
        <f t="shared" si="11"/>
        <v>1121500</v>
      </c>
      <c r="AE17" s="188">
        <f t="shared" si="17"/>
        <v>225000</v>
      </c>
      <c r="AF17" s="170">
        <f t="shared" si="12"/>
        <v>1200000</v>
      </c>
      <c r="AG17" s="169">
        <v>1000000</v>
      </c>
      <c r="AH17" s="169">
        <f>+AG17*1.2/6</f>
        <v>200000</v>
      </c>
      <c r="AI17" s="170">
        <f t="shared" si="13"/>
        <v>146500</v>
      </c>
      <c r="AJ17" s="169">
        <v>121500</v>
      </c>
      <c r="AK17" s="169">
        <v>25000</v>
      </c>
      <c r="AL17" s="170">
        <f t="shared" si="14"/>
        <v>0</v>
      </c>
      <c r="AM17" s="169"/>
      <c r="AN17" s="169"/>
      <c r="AO17" s="170">
        <f t="shared" si="15"/>
        <v>0</v>
      </c>
      <c r="AP17" s="169"/>
      <c r="AQ17" s="169"/>
      <c r="AR17" s="170">
        <f t="shared" si="16"/>
        <v>1346500</v>
      </c>
      <c r="AS17" s="169">
        <f t="shared" si="18"/>
        <v>1121500</v>
      </c>
      <c r="AT17" s="169">
        <f t="shared" si="19"/>
        <v>225000</v>
      </c>
      <c r="AU17" s="53"/>
      <c r="AV17" s="91"/>
      <c r="AW17" s="51"/>
    </row>
    <row r="18" spans="1:49" ht="43.2" x14ac:dyDescent="0.3">
      <c r="B18" s="54">
        <v>1049</v>
      </c>
      <c r="C18" s="19">
        <v>21012</v>
      </c>
      <c r="D18" s="168" t="s">
        <v>306</v>
      </c>
      <c r="E18" s="176">
        <f t="shared" si="2"/>
        <v>104769274.5</v>
      </c>
      <c r="F18" s="177">
        <f>+'Հ7 Ձև1 USD'!H13*'Հ7 Ձև1 USD'!I4</f>
        <v>58867402.5</v>
      </c>
      <c r="G18" s="177">
        <f>+'Հ7 Ձև1 USD'!I13*'Հ7 Ձև1 USD'!I4</f>
        <v>45901872</v>
      </c>
      <c r="H18" s="176">
        <f t="shared" si="3"/>
        <v>6262832.0250000004</v>
      </c>
      <c r="I18" s="177">
        <f>+'Հ7 Ձև1 USD'!K13*'Հ7 Ձև1 USD'!I4</f>
        <v>6084898.6950000003</v>
      </c>
      <c r="J18" s="177">
        <f>+'Հ7 Ձև1 USD'!L13*'Հ7 Ձև1 USD'!I4</f>
        <v>177933.33000000002</v>
      </c>
      <c r="K18" s="176">
        <f t="shared" si="4"/>
        <v>6744476.1698000003</v>
      </c>
      <c r="L18" s="177">
        <v>5516941.7765000006</v>
      </c>
      <c r="M18" s="177">
        <v>1227534.3933000001</v>
      </c>
      <c r="N18" s="176">
        <f t="shared" si="5"/>
        <v>10585075.199999999</v>
      </c>
      <c r="O18" s="169">
        <f>8820896</f>
        <v>8820896</v>
      </c>
      <c r="P18" s="169">
        <f>1764179.2</f>
        <v>1764179.2</v>
      </c>
      <c r="Q18" s="176">
        <f t="shared" si="6"/>
        <v>81176891.105199993</v>
      </c>
      <c r="R18" s="177">
        <f t="shared" si="0"/>
        <v>38444666.028499998</v>
      </c>
      <c r="S18" s="177">
        <f t="shared" si="1"/>
        <v>42732225.076700002</v>
      </c>
      <c r="T18" s="176">
        <f t="shared" si="7"/>
        <v>34331040</v>
      </c>
      <c r="U18" s="177">
        <f>+'Հ7 Ձև1 USD'!W13*'Հ7 Ձև1 USD'!I4</f>
        <v>28609200</v>
      </c>
      <c r="V18" s="177">
        <f>+'Հ7 Ձև1 USD'!X13*'Հ7 Ձև1 USD'!I4</f>
        <v>5721840</v>
      </c>
      <c r="W18" s="176">
        <f t="shared" si="8"/>
        <v>12516525</v>
      </c>
      <c r="X18" s="177">
        <f>+'Հ7 Ձև1 USD'!Z13*'Հ7 Ձև1 USD'!I4</f>
        <v>596025</v>
      </c>
      <c r="Y18" s="177">
        <f>+'Հ7 Ձև1 USD'!AA13*'Հ7 Ձև1 USD'!I4</f>
        <v>11920500</v>
      </c>
      <c r="Z18" s="176">
        <f t="shared" si="9"/>
        <v>10927125</v>
      </c>
      <c r="AA18" s="177">
        <f>'Հ7 Ձև1 USD'!AC13*'Հ7 Ձև1 USD'!I4</f>
        <v>596025</v>
      </c>
      <c r="AB18" s="178">
        <f>'Հ7 Ձև1 USD'!AD13*'Հ7 Ձև1 USD'!I4</f>
        <v>10331100</v>
      </c>
      <c r="AC18" s="193">
        <f t="shared" si="10"/>
        <v>34331040</v>
      </c>
      <c r="AD18" s="188">
        <f t="shared" si="11"/>
        <v>28609200</v>
      </c>
      <c r="AE18" s="188">
        <f t="shared" si="17"/>
        <v>5721840</v>
      </c>
      <c r="AF18" s="170">
        <f t="shared" si="12"/>
        <v>7800000</v>
      </c>
      <c r="AG18" s="169">
        <v>6500000</v>
      </c>
      <c r="AH18" s="169">
        <f>+AG18*1.2/6</f>
        <v>1300000</v>
      </c>
      <c r="AI18" s="170">
        <f t="shared" si="13"/>
        <v>7152300</v>
      </c>
      <c r="AJ18" s="169">
        <v>5960250</v>
      </c>
      <c r="AK18" s="169">
        <f>+AJ18*1.2/6</f>
        <v>1192050</v>
      </c>
      <c r="AL18" s="170">
        <f t="shared" si="14"/>
        <v>9536400</v>
      </c>
      <c r="AM18" s="169">
        <v>7947000</v>
      </c>
      <c r="AN18" s="169">
        <f>+AM18*1.2/6</f>
        <v>1589400</v>
      </c>
      <c r="AO18" s="170">
        <f t="shared" si="15"/>
        <v>9842340</v>
      </c>
      <c r="AP18" s="169">
        <v>8201950</v>
      </c>
      <c r="AQ18" s="169">
        <v>1640390</v>
      </c>
      <c r="AR18" s="170">
        <f t="shared" si="16"/>
        <v>34331040</v>
      </c>
      <c r="AS18" s="169">
        <f>+AG18+AJ18+AM18+AP18</f>
        <v>28609200</v>
      </c>
      <c r="AT18" s="169">
        <f t="shared" si="19"/>
        <v>5721840</v>
      </c>
      <c r="AU18" s="53"/>
      <c r="AV18" s="91"/>
      <c r="AW18" s="51"/>
    </row>
    <row r="19" spans="1:49" ht="51.6" customHeight="1" x14ac:dyDescent="0.3">
      <c r="B19" s="54">
        <v>1049</v>
      </c>
      <c r="C19" s="19">
        <v>21018</v>
      </c>
      <c r="D19" s="19" t="s">
        <v>308</v>
      </c>
      <c r="E19" s="176">
        <f t="shared" si="2"/>
        <v>124231477.5</v>
      </c>
      <c r="F19" s="177">
        <f>+'Հ7 Ձև1 USD'!H14*'Հ7 Ձև1 USD'!I4</f>
        <v>75218355</v>
      </c>
      <c r="G19" s="177">
        <f>+'Հ7 Ձև1 USD'!I14*'Հ7 Ձև1 USD'!I4</f>
        <v>49013122.5</v>
      </c>
      <c r="H19" s="176">
        <f t="shared" si="3"/>
        <v>0</v>
      </c>
      <c r="I19" s="177">
        <v>0</v>
      </c>
      <c r="J19" s="177">
        <v>0</v>
      </c>
      <c r="K19" s="176">
        <f t="shared" si="4"/>
        <v>0</v>
      </c>
      <c r="L19" s="177">
        <v>0</v>
      </c>
      <c r="M19" s="177">
        <v>0</v>
      </c>
      <c r="N19" s="176">
        <f t="shared" si="5"/>
        <v>7707355.7000000002</v>
      </c>
      <c r="O19" s="177">
        <v>6422796.4000000004</v>
      </c>
      <c r="P19" s="177">
        <v>1284559.3</v>
      </c>
      <c r="Q19" s="176">
        <f t="shared" si="6"/>
        <v>116524121.8</v>
      </c>
      <c r="R19" s="177">
        <f t="shared" si="0"/>
        <v>68795558.599999994</v>
      </c>
      <c r="S19" s="177">
        <f t="shared" si="1"/>
        <v>47728563.200000003</v>
      </c>
      <c r="T19" s="176">
        <f t="shared" si="7"/>
        <v>18119160</v>
      </c>
      <c r="U19" s="177">
        <f>+'Հ7 Ձև1 USD'!W14*'Հ7 Ձև1 USD'!I4</f>
        <v>15099300</v>
      </c>
      <c r="V19" s="177">
        <f>+'Հ7 Ձև1 USD'!X14*'Հ7 Ձև1 USD'!I4</f>
        <v>3019860</v>
      </c>
      <c r="W19" s="176">
        <f t="shared" si="8"/>
        <v>27139005</v>
      </c>
      <c r="X19" s="177">
        <f>+'Հ7 Ձև1 USD'!Z14*'Հ7 Ձև1 USD'!I4</f>
        <v>22648950</v>
      </c>
      <c r="Y19" s="177">
        <f>+'Հ7 Ձև1 USD'!AA14*'Հ7 Ձև1 USD'!I4</f>
        <v>4490055</v>
      </c>
      <c r="Z19" s="176">
        <f t="shared" si="9"/>
        <v>35443620</v>
      </c>
      <c r="AA19" s="177">
        <f>+'Հ7 Ձև1 USD'!AC14*'Հ7 Ձև1 USD'!I4</f>
        <v>29602575</v>
      </c>
      <c r="AB19" s="178">
        <f>+'Հ7 Ձև1 USD'!AD14*'Հ7 Ձև1 USD'!I4</f>
        <v>5841045</v>
      </c>
      <c r="AC19" s="193">
        <f t="shared" si="10"/>
        <v>18119160</v>
      </c>
      <c r="AD19" s="169">
        <f t="shared" si="11"/>
        <v>15099300</v>
      </c>
      <c r="AE19" s="169">
        <f t="shared" si="17"/>
        <v>3019860</v>
      </c>
      <c r="AF19" s="170">
        <f t="shared" si="12"/>
        <v>4560000</v>
      </c>
      <c r="AG19" s="169">
        <v>3800000</v>
      </c>
      <c r="AH19" s="169">
        <f>+AG19*1.2/6</f>
        <v>760000</v>
      </c>
      <c r="AI19" s="170">
        <f t="shared" si="13"/>
        <v>4800000</v>
      </c>
      <c r="AJ19" s="169">
        <v>4000000</v>
      </c>
      <c r="AK19" s="169">
        <f>+AJ19*1.2/6</f>
        <v>800000</v>
      </c>
      <c r="AL19" s="170">
        <f t="shared" si="14"/>
        <v>4800000</v>
      </c>
      <c r="AM19" s="169">
        <v>4000000</v>
      </c>
      <c r="AN19" s="169">
        <f>+AM19*1.2/6</f>
        <v>800000</v>
      </c>
      <c r="AO19" s="170">
        <f t="shared" si="15"/>
        <v>3959160</v>
      </c>
      <c r="AP19" s="169">
        <v>3299300</v>
      </c>
      <c r="AQ19" s="169">
        <v>659860</v>
      </c>
      <c r="AR19" s="170">
        <f t="shared" si="16"/>
        <v>18119160</v>
      </c>
      <c r="AS19" s="169">
        <f t="shared" si="18"/>
        <v>15099300</v>
      </c>
      <c r="AT19" s="169">
        <f t="shared" si="19"/>
        <v>3019860</v>
      </c>
      <c r="AU19" s="53"/>
      <c r="AV19" s="91"/>
      <c r="AW19" s="51"/>
    </row>
    <row r="20" spans="1:49" ht="18" x14ac:dyDescent="0.3">
      <c r="A20" s="34"/>
      <c r="B20" s="317" t="s">
        <v>41</v>
      </c>
      <c r="C20" s="318"/>
      <c r="D20" s="318"/>
      <c r="E20" s="179">
        <f t="shared" ref="E20:AT20" si="36">SUM(E9:E19)</f>
        <v>382632938.46310651</v>
      </c>
      <c r="F20" s="179">
        <f t="shared" si="36"/>
        <v>247116489.22420651</v>
      </c>
      <c r="G20" s="179">
        <f t="shared" si="36"/>
        <v>135516449.23890001</v>
      </c>
      <c r="H20" s="179">
        <f t="shared" si="36"/>
        <v>110782413.46656032</v>
      </c>
      <c r="I20" s="179">
        <f t="shared" si="36"/>
        <v>90624922.052405506</v>
      </c>
      <c r="J20" s="179">
        <f t="shared" si="36"/>
        <v>20157491.414154805</v>
      </c>
      <c r="K20" s="179">
        <f t="shared" si="36"/>
        <v>27711634.675122097</v>
      </c>
      <c r="L20" s="179">
        <f t="shared" si="36"/>
        <v>16903649.053622101</v>
      </c>
      <c r="M20" s="179">
        <f t="shared" si="36"/>
        <v>10807985.6215</v>
      </c>
      <c r="N20" s="179">
        <f t="shared" si="36"/>
        <v>26434805.199999999</v>
      </c>
      <c r="O20" s="179">
        <f t="shared" si="36"/>
        <v>19263919.700000003</v>
      </c>
      <c r="P20" s="179">
        <f t="shared" si="36"/>
        <v>7170885.5</v>
      </c>
      <c r="Q20" s="179">
        <f t="shared" si="36"/>
        <v>217704085.12142408</v>
      </c>
      <c r="R20" s="179">
        <f t="shared" si="36"/>
        <v>120323998.41817889</v>
      </c>
      <c r="S20" s="179">
        <f t="shared" si="36"/>
        <v>97380086.703245193</v>
      </c>
      <c r="T20" s="179">
        <f t="shared" si="36"/>
        <v>58681246.923999995</v>
      </c>
      <c r="U20" s="179">
        <f t="shared" si="36"/>
        <v>45346096.024999999</v>
      </c>
      <c r="V20" s="179">
        <f t="shared" si="36"/>
        <v>13335150.899</v>
      </c>
      <c r="W20" s="179">
        <f t="shared" si="36"/>
        <v>40490859.086199999</v>
      </c>
      <c r="X20" s="179">
        <f t="shared" si="36"/>
        <v>23604673.086199999</v>
      </c>
      <c r="Y20" s="179">
        <f t="shared" si="36"/>
        <v>16886186</v>
      </c>
      <c r="Z20" s="179">
        <f t="shared" si="36"/>
        <v>46834296.942500003</v>
      </c>
      <c r="AA20" s="179">
        <f t="shared" si="36"/>
        <v>30469294.5</v>
      </c>
      <c r="AB20" s="180">
        <f t="shared" si="36"/>
        <v>16365002.442500001</v>
      </c>
      <c r="AC20" s="193">
        <f t="shared" si="36"/>
        <v>58681246.923999995</v>
      </c>
      <c r="AD20" s="38">
        <f t="shared" si="36"/>
        <v>45346096.024999999</v>
      </c>
      <c r="AE20" s="38">
        <f t="shared" si="36"/>
        <v>13335150.899</v>
      </c>
      <c r="AF20" s="172">
        <f t="shared" si="36"/>
        <v>15333695</v>
      </c>
      <c r="AG20" s="172">
        <f t="shared" si="36"/>
        <v>11511095</v>
      </c>
      <c r="AH20" s="172">
        <f t="shared" si="36"/>
        <v>3822600</v>
      </c>
      <c r="AI20" s="172">
        <f t="shared" si="36"/>
        <v>14288784.197000001</v>
      </c>
      <c r="AJ20" s="172">
        <f t="shared" si="36"/>
        <v>10189093.175000001</v>
      </c>
      <c r="AK20" s="172">
        <f t="shared" si="36"/>
        <v>4099691.0219999999</v>
      </c>
      <c r="AL20" s="172">
        <f t="shared" si="36"/>
        <v>14919800</v>
      </c>
      <c r="AM20" s="172">
        <f t="shared" si="36"/>
        <v>12045000</v>
      </c>
      <c r="AN20" s="172">
        <f t="shared" si="36"/>
        <v>2874800</v>
      </c>
      <c r="AO20" s="172">
        <f t="shared" si="36"/>
        <v>14138967.48</v>
      </c>
      <c r="AP20" s="172">
        <f t="shared" si="36"/>
        <v>11600907.85</v>
      </c>
      <c r="AQ20" s="172">
        <f t="shared" si="36"/>
        <v>2538059.63</v>
      </c>
      <c r="AR20" s="172">
        <f t="shared" si="36"/>
        <v>58681246.677000001</v>
      </c>
      <c r="AS20" s="172">
        <f t="shared" si="36"/>
        <v>45346096.024999999</v>
      </c>
      <c r="AT20" s="194">
        <f t="shared" si="36"/>
        <v>13335150.651999999</v>
      </c>
      <c r="AU20" s="50" t="s">
        <v>44</v>
      </c>
      <c r="AV20" s="38" t="s">
        <v>44</v>
      </c>
      <c r="AW20" s="52" t="s">
        <v>44</v>
      </c>
    </row>
    <row r="21" spans="1:49" ht="17.25" customHeight="1" x14ac:dyDescent="0.3">
      <c r="U21" s="182"/>
    </row>
    <row r="22" spans="1:49" x14ac:dyDescent="0.3">
      <c r="U22" s="191"/>
      <c r="V22" s="191"/>
      <c r="AG22" s="155"/>
      <c r="AH22" s="155"/>
      <c r="AR22" s="154"/>
      <c r="AS22" s="154"/>
      <c r="AT22" s="154"/>
    </row>
    <row r="23" spans="1:49" x14ac:dyDescent="0.3">
      <c r="B23" s="97"/>
      <c r="C23" s="73"/>
      <c r="D23" s="74"/>
      <c r="E23" s="76"/>
      <c r="F23" s="76"/>
      <c r="U23" s="191"/>
      <c r="V23" s="191"/>
      <c r="AG23" s="155"/>
      <c r="AH23" s="155"/>
    </row>
    <row r="24" spans="1:49" x14ac:dyDescent="0.3">
      <c r="AJ24" s="191"/>
      <c r="AK24" s="191"/>
      <c r="AL24" s="191"/>
      <c r="AM24" s="191"/>
      <c r="AN24" s="191"/>
      <c r="AO24" s="191"/>
      <c r="AP24" s="191"/>
    </row>
    <row r="25" spans="1:49" x14ac:dyDescent="0.3">
      <c r="AJ25" s="191"/>
      <c r="AK25" s="191"/>
      <c r="AL25" s="191"/>
      <c r="AM25" s="191"/>
      <c r="AN25" s="191"/>
      <c r="AO25" s="191"/>
      <c r="AP25" s="191"/>
    </row>
    <row r="26" spans="1:49" x14ac:dyDescent="0.3">
      <c r="AJ26" s="191"/>
      <c r="AK26" s="191"/>
      <c r="AL26" s="191"/>
      <c r="AM26" s="191"/>
      <c r="AN26" s="191"/>
      <c r="AO26" s="191"/>
      <c r="AP26" s="191"/>
    </row>
    <row r="27" spans="1:49" x14ac:dyDescent="0.3">
      <c r="AJ27" s="191"/>
      <c r="AK27" s="191"/>
      <c r="AL27" s="191"/>
      <c r="AM27" s="191"/>
      <c r="AN27" s="191"/>
      <c r="AO27" s="191"/>
      <c r="AP27" s="191"/>
    </row>
    <row r="28" spans="1:49" x14ac:dyDescent="0.3">
      <c r="AJ28" s="191"/>
      <c r="AK28" s="191"/>
      <c r="AL28" s="191"/>
      <c r="AM28" s="191"/>
      <c r="AN28" s="191"/>
      <c r="AO28" s="191"/>
      <c r="AP28" s="191"/>
    </row>
    <row r="29" spans="1:49" x14ac:dyDescent="0.3">
      <c r="AJ29" s="191"/>
      <c r="AK29" s="191"/>
      <c r="AL29" s="191"/>
      <c r="AM29" s="191"/>
      <c r="AN29" s="191"/>
      <c r="AO29" s="191"/>
      <c r="AP29" s="191"/>
    </row>
    <row r="30" spans="1:49" x14ac:dyDescent="0.3">
      <c r="AJ30" s="191"/>
      <c r="AK30" s="191"/>
      <c r="AL30" s="191"/>
      <c r="AM30" s="191"/>
      <c r="AN30" s="191"/>
      <c r="AO30" s="191"/>
      <c r="AP30" s="191"/>
    </row>
    <row r="31" spans="1:49" x14ac:dyDescent="0.3">
      <c r="AJ31" s="191"/>
      <c r="AK31" s="191"/>
      <c r="AL31" s="191"/>
      <c r="AM31" s="191"/>
      <c r="AN31" s="191"/>
      <c r="AO31" s="191"/>
      <c r="AP31" s="191"/>
    </row>
    <row r="32" spans="1:49" x14ac:dyDescent="0.3">
      <c r="AJ32" s="191"/>
      <c r="AK32" s="191"/>
      <c r="AL32" s="191"/>
      <c r="AM32" s="191"/>
      <c r="AN32" s="191"/>
      <c r="AO32" s="191"/>
      <c r="AP32" s="191"/>
    </row>
    <row r="33" spans="36:42" x14ac:dyDescent="0.3">
      <c r="AJ33" s="191"/>
      <c r="AK33" s="191"/>
      <c r="AL33" s="191"/>
      <c r="AM33" s="191"/>
      <c r="AN33" s="191"/>
      <c r="AO33" s="191"/>
      <c r="AP33" s="191"/>
    </row>
  </sheetData>
  <mergeCells count="22">
    <mergeCell ref="B20:D20"/>
    <mergeCell ref="AU6:AU8"/>
    <mergeCell ref="AV6:AV8"/>
    <mergeCell ref="K6:M7"/>
    <mergeCell ref="N6:P7"/>
    <mergeCell ref="Q6:S7"/>
    <mergeCell ref="B6:C7"/>
    <mergeCell ref="D6:D8"/>
    <mergeCell ref="E6:G7"/>
    <mergeCell ref="H6:J7"/>
    <mergeCell ref="AW6:AW8"/>
    <mergeCell ref="T7:V7"/>
    <mergeCell ref="W7:Y7"/>
    <mergeCell ref="Z7:AB7"/>
    <mergeCell ref="AF7:AH7"/>
    <mergeCell ref="AI7:AK7"/>
    <mergeCell ref="AL7:AN7"/>
    <mergeCell ref="AO7:AQ7"/>
    <mergeCell ref="T6:AB6"/>
    <mergeCell ref="AC6:AE7"/>
    <mergeCell ref="AF6:AT6"/>
    <mergeCell ref="AR7:AT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</sheetPr>
  <dimension ref="A1:S30"/>
  <sheetViews>
    <sheetView workbookViewId="0">
      <selection activeCell="F14" sqref="F14"/>
    </sheetView>
  </sheetViews>
  <sheetFormatPr defaultRowHeight="14.4" x14ac:dyDescent="0.3"/>
  <cols>
    <col min="1" max="1" width="4.33203125" customWidth="1"/>
    <col min="2" max="2" width="9.44140625" customWidth="1"/>
    <col min="3" max="3" width="10.6640625" customWidth="1"/>
    <col min="4" max="4" width="26.33203125" customWidth="1"/>
    <col min="5" max="5" width="37.88671875" customWidth="1"/>
    <col min="6" max="6" width="14.88671875" customWidth="1"/>
    <col min="7" max="7" width="15.6640625" customWidth="1"/>
    <col min="8" max="8" width="17" customWidth="1"/>
    <col min="9" max="9" width="16.6640625" customWidth="1"/>
    <col min="10" max="10" width="13.6640625" customWidth="1"/>
    <col min="11" max="13" width="13" customWidth="1"/>
    <col min="14" max="18" width="11.6640625" customWidth="1"/>
    <col min="19" max="19" width="7.5546875" customWidth="1"/>
    <col min="20" max="22" width="10.6640625" customWidth="1"/>
  </cols>
  <sheetData>
    <row r="1" spans="1:19" ht="15" x14ac:dyDescent="0.3">
      <c r="A1" s="79" t="s">
        <v>130</v>
      </c>
      <c r="B1" s="80"/>
      <c r="C1" s="80"/>
      <c r="D1" s="80"/>
      <c r="E1" s="80"/>
      <c r="F1" s="80"/>
      <c r="G1" s="80"/>
      <c r="H1" s="80"/>
      <c r="I1" s="80"/>
      <c r="J1" s="80"/>
      <c r="K1" s="75"/>
    </row>
    <row r="2" spans="1:19" x14ac:dyDescent="0.3">
      <c r="A2" s="81"/>
      <c r="B2" s="81"/>
      <c r="C2" s="81"/>
      <c r="D2" s="81"/>
      <c r="E2" s="81"/>
      <c r="F2" s="81"/>
      <c r="G2" s="81"/>
      <c r="H2" s="81"/>
      <c r="I2" s="81"/>
      <c r="J2" s="81"/>
    </row>
    <row r="3" spans="1:19" s="65" customFormat="1" ht="18" x14ac:dyDescent="0.3">
      <c r="A3" s="79" t="s">
        <v>126</v>
      </c>
      <c r="B3" s="82"/>
      <c r="C3" s="82"/>
      <c r="D3" s="82"/>
      <c r="E3" s="82"/>
      <c r="F3" s="82"/>
      <c r="G3" s="82"/>
      <c r="H3" s="82"/>
      <c r="I3" s="82"/>
      <c r="J3" s="82"/>
      <c r="K3" s="69"/>
      <c r="L3" s="69"/>
      <c r="M3" s="69"/>
    </row>
    <row r="4" spans="1:19" ht="18" x14ac:dyDescent="0.3">
      <c r="A4" s="4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9" x14ac:dyDescent="0.3">
      <c r="A5" s="75"/>
      <c r="B5" s="339"/>
      <c r="C5" s="339"/>
      <c r="D5" s="339"/>
      <c r="E5" s="339"/>
      <c r="F5" s="339"/>
      <c r="G5" s="339"/>
      <c r="H5" s="339"/>
      <c r="I5" s="339"/>
      <c r="J5" s="339"/>
      <c r="K5" s="339"/>
      <c r="L5" s="339"/>
      <c r="M5" s="339"/>
      <c r="N5" s="339"/>
      <c r="O5" s="339"/>
      <c r="P5" s="339"/>
      <c r="Q5" s="334" t="s">
        <v>122</v>
      </c>
      <c r="R5" s="334"/>
      <c r="S5" s="334"/>
    </row>
    <row r="6" spans="1:19" ht="33" customHeight="1" x14ac:dyDescent="0.3">
      <c r="B6" s="305" t="s">
        <v>8</v>
      </c>
      <c r="C6" s="305"/>
      <c r="D6" s="305" t="s">
        <v>52</v>
      </c>
      <c r="E6" s="282" t="s">
        <v>121</v>
      </c>
      <c r="F6" s="305" t="s">
        <v>123</v>
      </c>
      <c r="G6" s="305" t="s">
        <v>124</v>
      </c>
      <c r="H6" s="305" t="s">
        <v>142</v>
      </c>
      <c r="I6" s="305" t="s">
        <v>143</v>
      </c>
      <c r="J6" s="305" t="s">
        <v>22</v>
      </c>
      <c r="K6" s="305" t="s">
        <v>16</v>
      </c>
      <c r="L6" s="305"/>
      <c r="M6" s="305"/>
      <c r="N6" s="335" t="s">
        <v>148</v>
      </c>
      <c r="O6" s="336"/>
      <c r="P6" s="336"/>
      <c r="Q6" s="336"/>
      <c r="R6" s="337"/>
      <c r="S6" s="332" t="s">
        <v>125</v>
      </c>
    </row>
    <row r="7" spans="1:19" ht="23.25" customHeight="1" x14ac:dyDescent="0.3">
      <c r="B7" s="305"/>
      <c r="C7" s="305"/>
      <c r="D7" s="305"/>
      <c r="E7" s="338"/>
      <c r="F7" s="305"/>
      <c r="G7" s="305"/>
      <c r="H7" s="305"/>
      <c r="I7" s="305"/>
      <c r="J7" s="305"/>
      <c r="K7" s="90" t="s">
        <v>7</v>
      </c>
      <c r="L7" s="90" t="s">
        <v>117</v>
      </c>
      <c r="M7" s="56" t="s">
        <v>144</v>
      </c>
      <c r="N7" s="70" t="s">
        <v>30</v>
      </c>
      <c r="O7" s="70" t="s">
        <v>31</v>
      </c>
      <c r="P7" s="70" t="s">
        <v>32</v>
      </c>
      <c r="Q7" s="70" t="s">
        <v>120</v>
      </c>
      <c r="R7" s="70" t="s">
        <v>34</v>
      </c>
      <c r="S7" s="333"/>
    </row>
    <row r="8" spans="1:19" ht="110.25" customHeight="1" x14ac:dyDescent="0.3">
      <c r="B8" s="55" t="s">
        <v>2</v>
      </c>
      <c r="C8" s="55" t="s">
        <v>25</v>
      </c>
      <c r="D8" s="305"/>
      <c r="E8" s="338"/>
      <c r="F8" s="66"/>
      <c r="G8" s="66"/>
      <c r="H8" s="59" t="s">
        <v>12</v>
      </c>
      <c r="I8" s="59" t="s">
        <v>12</v>
      </c>
      <c r="J8" s="64" t="s">
        <v>12</v>
      </c>
      <c r="K8" s="59" t="s">
        <v>12</v>
      </c>
      <c r="L8" s="59" t="s">
        <v>12</v>
      </c>
      <c r="M8" s="59" t="s">
        <v>12</v>
      </c>
      <c r="N8" s="64" t="s">
        <v>12</v>
      </c>
      <c r="O8" s="64" t="s">
        <v>12</v>
      </c>
      <c r="P8" s="64" t="s">
        <v>12</v>
      </c>
      <c r="Q8" s="64" t="s">
        <v>12</v>
      </c>
      <c r="R8" s="64" t="s">
        <v>12</v>
      </c>
      <c r="S8" s="333"/>
    </row>
    <row r="9" spans="1:19" x14ac:dyDescent="0.3">
      <c r="B9" s="19"/>
      <c r="C9" s="19"/>
      <c r="D9" s="19"/>
      <c r="E9" s="19"/>
      <c r="F9" s="19"/>
      <c r="G9" s="19"/>
      <c r="H9" s="58">
        <f>+H10</f>
        <v>0</v>
      </c>
      <c r="I9" s="58">
        <f t="shared" ref="I9:R11" si="0">+I10</f>
        <v>0</v>
      </c>
      <c r="J9" s="62">
        <f t="shared" si="0"/>
        <v>0</v>
      </c>
      <c r="K9" s="58">
        <f t="shared" si="0"/>
        <v>0</v>
      </c>
      <c r="L9" s="58">
        <f t="shared" si="0"/>
        <v>0</v>
      </c>
      <c r="M9" s="58">
        <f t="shared" si="0"/>
        <v>0</v>
      </c>
      <c r="N9" s="62">
        <f t="shared" si="0"/>
        <v>0</v>
      </c>
      <c r="O9" s="62">
        <f t="shared" si="0"/>
        <v>0</v>
      </c>
      <c r="P9" s="62">
        <f t="shared" si="0"/>
        <v>0</v>
      </c>
      <c r="Q9" s="62">
        <f t="shared" si="0"/>
        <v>0</v>
      </c>
      <c r="R9" s="62">
        <f t="shared" si="0"/>
        <v>0</v>
      </c>
      <c r="S9" s="71"/>
    </row>
    <row r="10" spans="1:19" ht="33.75" customHeight="1" x14ac:dyDescent="0.3">
      <c r="B10" s="19"/>
      <c r="C10" s="19"/>
      <c r="D10" s="19"/>
      <c r="E10" s="19"/>
      <c r="F10" s="19"/>
      <c r="G10" s="19"/>
      <c r="H10" s="58">
        <f>+H11</f>
        <v>0</v>
      </c>
      <c r="I10" s="58">
        <f t="shared" si="0"/>
        <v>0</v>
      </c>
      <c r="J10" s="62">
        <f t="shared" si="0"/>
        <v>0</v>
      </c>
      <c r="K10" s="58">
        <f t="shared" si="0"/>
        <v>0</v>
      </c>
      <c r="L10" s="58">
        <f t="shared" si="0"/>
        <v>0</v>
      </c>
      <c r="M10" s="58">
        <f t="shared" si="0"/>
        <v>0</v>
      </c>
      <c r="N10" s="62">
        <f t="shared" si="0"/>
        <v>0</v>
      </c>
      <c r="O10" s="62">
        <f t="shared" si="0"/>
        <v>0</v>
      </c>
      <c r="P10" s="62">
        <f t="shared" si="0"/>
        <v>0</v>
      </c>
      <c r="Q10" s="62">
        <f t="shared" si="0"/>
        <v>0</v>
      </c>
      <c r="R10" s="62">
        <f t="shared" si="0"/>
        <v>0</v>
      </c>
      <c r="S10" s="71"/>
    </row>
    <row r="11" spans="1:19" x14ac:dyDescent="0.3">
      <c r="B11" s="19"/>
      <c r="C11" s="19"/>
      <c r="D11" s="19"/>
      <c r="E11" s="19"/>
      <c r="F11" s="19"/>
      <c r="G11" s="19"/>
      <c r="H11" s="58">
        <f>+H12</f>
        <v>0</v>
      </c>
      <c r="I11" s="58">
        <f t="shared" si="0"/>
        <v>0</v>
      </c>
      <c r="J11" s="62">
        <f t="shared" si="0"/>
        <v>0</v>
      </c>
      <c r="K11" s="58">
        <f t="shared" si="0"/>
        <v>0</v>
      </c>
      <c r="L11" s="58">
        <f t="shared" si="0"/>
        <v>0</v>
      </c>
      <c r="M11" s="58">
        <f t="shared" si="0"/>
        <v>0</v>
      </c>
      <c r="N11" s="62">
        <f t="shared" si="0"/>
        <v>0</v>
      </c>
      <c r="O11" s="62">
        <f t="shared" si="0"/>
        <v>0</v>
      </c>
      <c r="P11" s="62">
        <f t="shared" si="0"/>
        <v>0</v>
      </c>
      <c r="Q11" s="62">
        <f t="shared" si="0"/>
        <v>0</v>
      </c>
      <c r="R11" s="62">
        <f t="shared" si="0"/>
        <v>0</v>
      </c>
      <c r="S11" s="71"/>
    </row>
    <row r="12" spans="1:19" x14ac:dyDescent="0.3">
      <c r="B12" s="19"/>
      <c r="C12" s="19"/>
      <c r="D12" s="19"/>
      <c r="E12" s="19"/>
      <c r="F12" s="19"/>
      <c r="G12" s="19"/>
      <c r="H12" s="58">
        <v>0</v>
      </c>
      <c r="I12" s="58">
        <v>0</v>
      </c>
      <c r="J12" s="62">
        <v>0</v>
      </c>
      <c r="K12" s="58">
        <v>0</v>
      </c>
      <c r="L12" s="58">
        <v>0</v>
      </c>
      <c r="M12" s="58">
        <v>0</v>
      </c>
      <c r="N12" s="62">
        <v>0</v>
      </c>
      <c r="O12" s="62">
        <v>0</v>
      </c>
      <c r="P12" s="62">
        <v>0</v>
      </c>
      <c r="Q12" s="62">
        <v>0</v>
      </c>
      <c r="R12" s="62">
        <f>+N12+O12+P12+Q12</f>
        <v>0</v>
      </c>
      <c r="S12" s="71"/>
    </row>
    <row r="13" spans="1:19" x14ac:dyDescent="0.3">
      <c r="B13" s="19"/>
      <c r="C13" s="19"/>
      <c r="D13" s="19"/>
      <c r="E13" s="19"/>
      <c r="F13" s="19"/>
      <c r="G13" s="19"/>
      <c r="H13" s="58"/>
      <c r="I13" s="58"/>
      <c r="J13" s="62"/>
      <c r="K13" s="58"/>
      <c r="L13" s="58"/>
      <c r="M13" s="58"/>
      <c r="N13" s="62"/>
      <c r="O13" s="62"/>
      <c r="P13" s="62"/>
      <c r="Q13" s="62"/>
      <c r="R13" s="62"/>
      <c r="S13" s="71"/>
    </row>
    <row r="14" spans="1:19" x14ac:dyDescent="0.3">
      <c r="B14" s="19"/>
      <c r="C14" s="19"/>
      <c r="D14" s="19"/>
      <c r="E14" s="19"/>
      <c r="F14" s="19"/>
      <c r="G14" s="19"/>
      <c r="H14" s="58"/>
      <c r="I14" s="58"/>
      <c r="J14" s="62"/>
      <c r="K14" s="58"/>
      <c r="L14" s="58"/>
      <c r="M14" s="58"/>
      <c r="N14" s="62"/>
      <c r="O14" s="62"/>
      <c r="P14" s="62"/>
      <c r="Q14" s="62"/>
      <c r="R14" s="62"/>
      <c r="S14" s="71"/>
    </row>
    <row r="15" spans="1:19" x14ac:dyDescent="0.3">
      <c r="B15" s="19"/>
      <c r="C15" s="19"/>
      <c r="D15" s="19"/>
      <c r="E15" s="19"/>
      <c r="F15" s="19"/>
      <c r="G15" s="19"/>
      <c r="H15" s="58"/>
      <c r="I15" s="58"/>
      <c r="J15" s="62"/>
      <c r="K15" s="58"/>
      <c r="L15" s="58"/>
      <c r="M15" s="58"/>
      <c r="N15" s="62"/>
      <c r="O15" s="62"/>
      <c r="P15" s="62"/>
      <c r="Q15" s="62"/>
      <c r="R15" s="62"/>
      <c r="S15" s="71"/>
    </row>
    <row r="16" spans="1:19" x14ac:dyDescent="0.3">
      <c r="B16" s="19"/>
      <c r="C16" s="19"/>
      <c r="D16" s="19"/>
      <c r="E16" s="19"/>
      <c r="F16" s="19"/>
      <c r="G16" s="19"/>
      <c r="H16" s="58"/>
      <c r="I16" s="58"/>
      <c r="J16" s="62"/>
      <c r="K16" s="58"/>
      <c r="L16" s="58"/>
      <c r="M16" s="58"/>
      <c r="N16" s="62"/>
      <c r="O16" s="62"/>
      <c r="P16" s="62"/>
      <c r="Q16" s="62"/>
      <c r="R16" s="62"/>
      <c r="S16" s="71"/>
    </row>
    <row r="17" spans="1:19" x14ac:dyDescent="0.3">
      <c r="B17" s="36"/>
      <c r="C17" s="36"/>
      <c r="D17" s="36"/>
      <c r="E17" s="36"/>
      <c r="F17" s="36"/>
      <c r="G17" s="36"/>
      <c r="H17" s="58"/>
      <c r="I17" s="58"/>
      <c r="J17" s="62"/>
      <c r="K17" s="58"/>
      <c r="L17" s="58"/>
      <c r="M17" s="58"/>
      <c r="N17" s="62"/>
      <c r="O17" s="62"/>
      <c r="P17" s="62"/>
      <c r="Q17" s="62"/>
      <c r="R17" s="62"/>
      <c r="S17" s="71"/>
    </row>
    <row r="18" spans="1:19" ht="17.25" customHeight="1" x14ac:dyDescent="0.3">
      <c r="A18" s="34"/>
      <c r="B18" s="306" t="s">
        <v>12</v>
      </c>
      <c r="C18" s="307"/>
      <c r="D18" s="308"/>
      <c r="E18" s="57"/>
      <c r="F18" s="61"/>
      <c r="G18" s="61"/>
      <c r="H18" s="38"/>
      <c r="I18" s="38"/>
      <c r="J18" s="38"/>
      <c r="K18" s="38"/>
      <c r="L18" s="38"/>
      <c r="M18" s="38"/>
      <c r="N18" s="62"/>
      <c r="O18" s="38"/>
      <c r="P18" s="38"/>
      <c r="Q18" s="38"/>
      <c r="R18" s="38"/>
      <c r="S18" s="38" t="s">
        <v>44</v>
      </c>
    </row>
    <row r="24" spans="1:19" ht="57" customHeight="1" x14ac:dyDescent="0.3"/>
    <row r="25" spans="1:19" ht="36.75" customHeight="1" x14ac:dyDescent="0.3"/>
    <row r="29" spans="1:19" ht="15" customHeight="1" x14ac:dyDescent="0.3"/>
    <row r="30" spans="1:19" ht="15" customHeight="1" x14ac:dyDescent="0.3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16"/>
  <sheetViews>
    <sheetView workbookViewId="0">
      <selection activeCell="F10" sqref="F10"/>
    </sheetView>
  </sheetViews>
  <sheetFormatPr defaultColWidth="9.109375" defaultRowHeight="15.6" x14ac:dyDescent="0.35"/>
  <cols>
    <col min="1" max="1" width="4.88671875" style="95" customWidth="1"/>
    <col min="2" max="2" width="92.6640625" style="95" customWidth="1"/>
    <col min="3" max="3" width="14.33203125" style="95" customWidth="1"/>
    <col min="4" max="4" width="13.5546875" style="95" bestFit="1" customWidth="1"/>
    <col min="5" max="5" width="13.6640625" style="95" bestFit="1" customWidth="1"/>
    <col min="6" max="6" width="14.6640625" style="95" customWidth="1"/>
    <col min="7" max="7" width="8.44140625" style="95" customWidth="1"/>
    <col min="8" max="11" width="9.109375" style="95"/>
    <col min="12" max="12" width="21" style="95" customWidth="1"/>
    <col min="13" max="16" width="9.109375" style="95"/>
    <col min="17" max="17" width="0" style="95" hidden="1" customWidth="1"/>
    <col min="18" max="16384" width="9.109375" style="95"/>
  </cols>
  <sheetData>
    <row r="1" spans="1:12" ht="30" customHeight="1" x14ac:dyDescent="0.35">
      <c r="A1" s="4" t="s">
        <v>53</v>
      </c>
      <c r="B1" s="13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 x14ac:dyDescent="0.3"/>
    <row r="3" spans="1:12" ht="38.25" customHeight="1" x14ac:dyDescent="0.35">
      <c r="A3" s="340" t="s">
        <v>156</v>
      </c>
      <c r="B3" s="340"/>
      <c r="C3" s="340"/>
      <c r="D3" s="340"/>
      <c r="E3" s="340"/>
      <c r="F3" s="340"/>
    </row>
    <row r="4" spans="1:12" x14ac:dyDescent="0.35">
      <c r="C4" s="40"/>
      <c r="D4" s="40"/>
      <c r="E4" s="40"/>
      <c r="F4" s="40" t="s">
        <v>14</v>
      </c>
    </row>
    <row r="5" spans="1:12" ht="39.6" x14ac:dyDescent="0.35">
      <c r="B5" s="46"/>
      <c r="C5" s="43" t="s">
        <v>223</v>
      </c>
      <c r="D5" s="41" t="s">
        <v>17</v>
      </c>
      <c r="E5" s="41" t="s">
        <v>116</v>
      </c>
      <c r="F5" s="41" t="s">
        <v>137</v>
      </c>
    </row>
    <row r="6" spans="1:12" ht="26.4" x14ac:dyDescent="0.35">
      <c r="B6" s="94" t="s">
        <v>154</v>
      </c>
      <c r="C6" s="41" t="s">
        <v>13</v>
      </c>
      <c r="D6" s="253">
        <f>+'Հ3 Մաս 2'!I8</f>
        <v>317753.3</v>
      </c>
      <c r="E6" s="253">
        <f>+'Հ3 Մաս 2'!J8</f>
        <v>317753.3</v>
      </c>
      <c r="F6" s="253">
        <f>+'Հ3 Մաս 2'!K8</f>
        <v>317753.3</v>
      </c>
    </row>
    <row r="7" spans="1:12" s="96" customFormat="1" ht="26.4" x14ac:dyDescent="0.35">
      <c r="B7" s="44" t="s">
        <v>149</v>
      </c>
      <c r="C7" s="42"/>
      <c r="D7" s="39" t="s">
        <v>13</v>
      </c>
      <c r="E7" s="39" t="s">
        <v>13</v>
      </c>
      <c r="F7" s="39" t="s">
        <v>13</v>
      </c>
    </row>
    <row r="8" spans="1:12" ht="26.4" x14ac:dyDescent="0.35">
      <c r="B8" s="44" t="s">
        <v>150</v>
      </c>
      <c r="C8" s="41" t="s">
        <v>13</v>
      </c>
      <c r="D8" s="41">
        <f t="shared" ref="D8:F8" si="0">D9+D10+D11</f>
        <v>102149267.22399999</v>
      </c>
      <c r="E8" s="41">
        <f t="shared" si="0"/>
        <v>95670124.386199996</v>
      </c>
      <c r="F8" s="41">
        <f t="shared" si="0"/>
        <v>118660212.98233333</v>
      </c>
    </row>
    <row r="9" spans="1:12" ht="26.4" x14ac:dyDescent="0.35">
      <c r="B9" s="45" t="s">
        <v>151</v>
      </c>
      <c r="C9" s="41" t="s">
        <v>13</v>
      </c>
      <c r="D9" s="253">
        <f>+'Հ7 Ձև2'!T20</f>
        <v>58681246.923999995</v>
      </c>
      <c r="E9" s="253">
        <f>+'Հ7 Ձև2'!W20</f>
        <v>40490859.086199999</v>
      </c>
      <c r="F9" s="253">
        <f>+'Հ7 Ձև2'!Z20</f>
        <v>46834296.942500003</v>
      </c>
    </row>
    <row r="10" spans="1:12" s="96" customFormat="1" x14ac:dyDescent="0.35">
      <c r="B10" s="45" t="s">
        <v>26</v>
      </c>
      <c r="C10" s="41" t="s">
        <v>13</v>
      </c>
      <c r="D10" s="42"/>
      <c r="E10" s="42"/>
      <c r="F10" s="42"/>
    </row>
    <row r="11" spans="1:12" x14ac:dyDescent="0.35">
      <c r="B11" s="45" t="s">
        <v>27</v>
      </c>
      <c r="C11" s="41" t="s">
        <v>13</v>
      </c>
      <c r="D11" s="253">
        <f>+'[1]Հ2 Ձև1 '!$F$17</f>
        <v>43468020.299999997</v>
      </c>
      <c r="E11" s="253">
        <f>+'[1]Հ2 Ձև1 '!$G$17</f>
        <v>55179265.299999997</v>
      </c>
      <c r="F11" s="253">
        <f>+'[1]Հ2 Ձև1 '!$H$17</f>
        <v>71825916.039833337</v>
      </c>
    </row>
    <row r="12" spans="1:12" x14ac:dyDescent="0.35">
      <c r="B12" s="44" t="s">
        <v>114</v>
      </c>
      <c r="C12" s="41" t="s">
        <v>13</v>
      </c>
      <c r="D12" s="255">
        <f>D8-C7</f>
        <v>102149267.22399999</v>
      </c>
      <c r="E12" s="255">
        <f>E8-C7</f>
        <v>95670124.386199996</v>
      </c>
      <c r="F12" s="255">
        <f>F8-C7</f>
        <v>118660212.98233333</v>
      </c>
    </row>
    <row r="13" spans="1:12" ht="26.4" x14ac:dyDescent="0.35">
      <c r="B13" s="44" t="s">
        <v>115</v>
      </c>
      <c r="C13" s="41" t="s">
        <v>13</v>
      </c>
      <c r="D13" s="255">
        <f t="shared" ref="D13:F13" si="1">D8-D6</f>
        <v>101831513.92399999</v>
      </c>
      <c r="E13" s="255">
        <f t="shared" si="1"/>
        <v>95352371.086199999</v>
      </c>
      <c r="F13" s="255">
        <f t="shared" si="1"/>
        <v>118342459.68233334</v>
      </c>
    </row>
    <row r="14" spans="1:12" ht="45.75" customHeight="1" x14ac:dyDescent="0.35"/>
    <row r="15" spans="1:12" x14ac:dyDescent="0.35">
      <c r="B15" s="97" t="s">
        <v>155</v>
      </c>
    </row>
    <row r="16" spans="1:12" x14ac:dyDescent="0.35">
      <c r="B16" s="97" t="s">
        <v>157</v>
      </c>
    </row>
  </sheetData>
  <mergeCells count="1">
    <mergeCell ref="A3:F3"/>
  </mergeCells>
  <pageMargins left="0.18" right="0.23" top="0.75" bottom="0.75" header="0.3" footer="0.3"/>
  <pageSetup scale="8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28"/>
  <sheetViews>
    <sheetView topLeftCell="A19" workbookViewId="0">
      <selection activeCell="H17" sqref="H17"/>
    </sheetView>
  </sheetViews>
  <sheetFormatPr defaultRowHeight="14.4" x14ac:dyDescent="0.3"/>
  <cols>
    <col min="2" max="2" width="16.33203125" customWidth="1"/>
    <col min="3" max="3" width="18.44140625" customWidth="1"/>
    <col min="4" max="4" width="30.6640625" customWidth="1"/>
    <col min="5" max="7" width="13.88671875" bestFit="1" customWidth="1"/>
    <col min="8" max="8" width="36.44140625" customWidth="1"/>
  </cols>
  <sheetData>
    <row r="1" spans="1:15" ht="32.25" customHeight="1" x14ac:dyDescent="0.3">
      <c r="A1" s="340" t="s">
        <v>106</v>
      </c>
      <c r="B1" s="340"/>
      <c r="C1" s="340"/>
      <c r="D1" s="340"/>
      <c r="E1" s="340"/>
      <c r="F1" s="340"/>
      <c r="G1" s="340"/>
      <c r="H1" s="340"/>
      <c r="I1" s="4"/>
      <c r="J1" s="4"/>
      <c r="K1" s="4"/>
      <c r="L1" s="4"/>
      <c r="M1" s="4"/>
      <c r="N1" s="4"/>
      <c r="O1" s="4"/>
    </row>
    <row r="2" spans="1:15" ht="17.25" customHeight="1" x14ac:dyDescent="0.3"/>
    <row r="3" spans="1:15" x14ac:dyDescent="0.3">
      <c r="B3" s="342" t="s">
        <v>107</v>
      </c>
      <c r="C3" s="342"/>
      <c r="D3" s="343"/>
      <c r="E3" s="343"/>
      <c r="F3" s="343"/>
      <c r="G3" s="343"/>
      <c r="H3" s="343"/>
    </row>
    <row r="4" spans="1:15" x14ac:dyDescent="0.3">
      <c r="B4" s="342" t="s">
        <v>108</v>
      </c>
      <c r="C4" s="342"/>
      <c r="D4" s="343" t="s">
        <v>489</v>
      </c>
      <c r="E4" s="343"/>
      <c r="F4" s="343"/>
      <c r="G4" s="343"/>
      <c r="H4" s="343"/>
    </row>
    <row r="5" spans="1:15" x14ac:dyDescent="0.3">
      <c r="B5" s="342" t="s">
        <v>109</v>
      </c>
      <c r="C5" s="342"/>
      <c r="D5" s="343" t="s">
        <v>490</v>
      </c>
      <c r="E5" s="343"/>
      <c r="F5" s="343"/>
      <c r="G5" s="343"/>
      <c r="H5" s="343"/>
    </row>
    <row r="6" spans="1:15" x14ac:dyDescent="0.3">
      <c r="B6" s="342" t="s">
        <v>110</v>
      </c>
      <c r="C6" s="342"/>
      <c r="D6" s="343"/>
      <c r="E6" s="343"/>
      <c r="F6" s="343"/>
      <c r="G6" s="343"/>
      <c r="H6" s="343"/>
    </row>
    <row r="9" spans="1:15" ht="15" x14ac:dyDescent="0.3">
      <c r="A9" s="4" t="s">
        <v>35</v>
      </c>
    </row>
    <row r="10" spans="1:15" ht="15" x14ac:dyDescent="0.3">
      <c r="B10" s="4"/>
    </row>
    <row r="11" spans="1:15" ht="25.5" customHeight="1" x14ac:dyDescent="0.3">
      <c r="B11" s="305" t="s">
        <v>8</v>
      </c>
      <c r="C11" s="305"/>
      <c r="D11" s="305" t="s">
        <v>36</v>
      </c>
      <c r="E11" s="305" t="s">
        <v>111</v>
      </c>
      <c r="F11" s="305"/>
      <c r="G11" s="305"/>
      <c r="H11" s="305" t="s">
        <v>112</v>
      </c>
    </row>
    <row r="12" spans="1:15" ht="28.5" customHeight="1" x14ac:dyDescent="0.3">
      <c r="B12" s="32" t="s">
        <v>2</v>
      </c>
      <c r="C12" s="32" t="s">
        <v>25</v>
      </c>
      <c r="D12" s="305"/>
      <c r="E12" s="32" t="s">
        <v>7</v>
      </c>
      <c r="F12" s="32" t="s">
        <v>117</v>
      </c>
      <c r="G12" s="32" t="s">
        <v>144</v>
      </c>
      <c r="H12" s="305"/>
    </row>
    <row r="13" spans="1:15" ht="64.8" x14ac:dyDescent="0.3">
      <c r="B13" s="14">
        <v>1049</v>
      </c>
      <c r="C13" s="150">
        <v>11007</v>
      </c>
      <c r="D13" s="19" t="s">
        <v>241</v>
      </c>
      <c r="E13" s="240">
        <f>'Հ3 Մաս 2'!I9</f>
        <v>18160.436999999998</v>
      </c>
      <c r="F13" s="240">
        <f>'Հ3 Մաս 2'!J9</f>
        <v>0</v>
      </c>
      <c r="G13" s="240">
        <f>'Հ3 Մաս 2'!K9</f>
        <v>0</v>
      </c>
      <c r="H13" s="20" t="s">
        <v>461</v>
      </c>
    </row>
    <row r="14" spans="1:15" ht="43.2" x14ac:dyDescent="0.3">
      <c r="B14" s="14">
        <v>1049</v>
      </c>
      <c r="C14" s="150">
        <v>11009</v>
      </c>
      <c r="D14" s="19" t="s">
        <v>231</v>
      </c>
      <c r="E14" s="240">
        <f>'Հ3 Մաս 2'!I10</f>
        <v>82790.256600000008</v>
      </c>
      <c r="F14" s="240">
        <f>'Հ3 Մաս 2'!J10</f>
        <v>3300.0050000000006</v>
      </c>
      <c r="G14" s="240">
        <f>'Հ3 Մաս 2'!K10</f>
        <v>0</v>
      </c>
      <c r="H14" s="20" t="s">
        <v>460</v>
      </c>
    </row>
    <row r="15" spans="1:15" ht="43.2" x14ac:dyDescent="0.3">
      <c r="B15" s="14">
        <v>1049</v>
      </c>
      <c r="C15" s="150">
        <v>11012</v>
      </c>
      <c r="D15" s="19" t="s">
        <v>294</v>
      </c>
      <c r="E15" s="240">
        <f>'Հ3 Մաս 2'!I11</f>
        <v>297675</v>
      </c>
      <c r="F15" s="240">
        <f>'Հ3 Մաս 2'!J11</f>
        <v>248351.08620000002</v>
      </c>
      <c r="G15" s="240">
        <f>'Հ3 Մաս 2'!K11</f>
        <v>99000</v>
      </c>
      <c r="H15" s="20" t="s">
        <v>462</v>
      </c>
    </row>
    <row r="16" spans="1:15" ht="75.599999999999994" x14ac:dyDescent="0.3">
      <c r="B16" s="14">
        <v>1049</v>
      </c>
      <c r="C16" s="150">
        <v>11016</v>
      </c>
      <c r="D16" s="19" t="s">
        <v>320</v>
      </c>
      <c r="E16" s="240">
        <f>'Հ3 Մաս 2'!I12</f>
        <v>432862.5</v>
      </c>
      <c r="F16" s="240">
        <f>'Հ3 Մաս 2'!J12</f>
        <v>124062.5</v>
      </c>
      <c r="G16" s="240">
        <f>'Հ3 Մաս 2'!K12</f>
        <v>148175</v>
      </c>
      <c r="H16" s="20" t="s">
        <v>464</v>
      </c>
    </row>
    <row r="17" spans="2:8" ht="43.2" x14ac:dyDescent="0.3">
      <c r="B17" s="14">
        <v>1049</v>
      </c>
      <c r="C17" s="150">
        <v>11017</v>
      </c>
      <c r="D17" s="19" t="s">
        <v>299</v>
      </c>
      <c r="E17" s="240">
        <f>'Հ3 Մաս 2'!I13</f>
        <v>102714.97500000001</v>
      </c>
      <c r="F17" s="240">
        <f>'Հ3 Մաս 2'!J13</f>
        <v>159615.495</v>
      </c>
      <c r="G17" s="240">
        <f>'Հ3 Մաս 2'!K13</f>
        <v>216376.9425</v>
      </c>
      <c r="H17" s="20" t="s">
        <v>465</v>
      </c>
    </row>
    <row r="18" spans="2:8" ht="43.2" x14ac:dyDescent="0.3">
      <c r="B18" s="14">
        <v>1049</v>
      </c>
      <c r="C18" s="19">
        <v>11020</v>
      </c>
      <c r="D18" s="19" t="s">
        <v>301</v>
      </c>
      <c r="E18" s="240">
        <f>'Հ3 Մաս 2'!I14</f>
        <v>700000</v>
      </c>
      <c r="F18" s="240">
        <f>'Հ3 Մաս 2'!J14</f>
        <v>300000</v>
      </c>
      <c r="G18" s="240">
        <f>'Հ3 Մաս 2'!K14</f>
        <v>0</v>
      </c>
      <c r="H18" s="20" t="s">
        <v>466</v>
      </c>
    </row>
    <row r="19" spans="2:8" ht="64.8" x14ac:dyDescent="0.3">
      <c r="B19" s="14">
        <v>1049</v>
      </c>
      <c r="C19" s="19">
        <v>21004</v>
      </c>
      <c r="D19" s="19" t="s">
        <v>272</v>
      </c>
      <c r="E19" s="240">
        <f>'Հ3 Մաս 2'!I15</f>
        <v>174800</v>
      </c>
      <c r="F19" s="240">
        <f>'Հ3 Մաս 2'!J15</f>
        <v>0</v>
      </c>
      <c r="G19" s="240">
        <f>'Հ3 Մաս 2'!K15</f>
        <v>0</v>
      </c>
      <c r="H19" s="20" t="s">
        <v>461</v>
      </c>
    </row>
    <row r="20" spans="2:8" ht="43.2" x14ac:dyDescent="0.3">
      <c r="B20" s="14">
        <v>1049</v>
      </c>
      <c r="C20" s="19">
        <v>21006</v>
      </c>
      <c r="D20" s="19" t="s">
        <v>234</v>
      </c>
      <c r="E20" s="240">
        <f>'Հ3 Մաս 2'!I16</f>
        <v>3075543.7553999992</v>
      </c>
      <c r="F20" s="240">
        <f>'Հ3 Մաս 2'!J16</f>
        <v>0</v>
      </c>
      <c r="G20" s="240">
        <f>'Հ3 Մաս 2'!K16</f>
        <v>0</v>
      </c>
      <c r="H20" s="20" t="s">
        <v>460</v>
      </c>
    </row>
    <row r="21" spans="2:8" ht="43.2" x14ac:dyDescent="0.3">
      <c r="B21" s="14">
        <v>1049</v>
      </c>
      <c r="C21" s="19">
        <v>21009</v>
      </c>
      <c r="D21" s="19" t="s">
        <v>317</v>
      </c>
      <c r="E21" s="240">
        <f>'Հ3 Մաս 2'!I17</f>
        <v>1346500</v>
      </c>
      <c r="F21" s="240">
        <f>'Հ3 Մաս 2'!J17</f>
        <v>0</v>
      </c>
      <c r="G21" s="240">
        <f>'Հ3 Մաս 2'!K17</f>
        <v>0</v>
      </c>
      <c r="H21" s="20" t="s">
        <v>463</v>
      </c>
    </row>
    <row r="22" spans="2:8" ht="44.4" customHeight="1" x14ac:dyDescent="0.3">
      <c r="B22" s="14">
        <v>1049</v>
      </c>
      <c r="C22" s="19">
        <v>21012</v>
      </c>
      <c r="D22" s="168" t="s">
        <v>306</v>
      </c>
      <c r="E22" s="240">
        <f>'Հ3 Մաս 2'!I18</f>
        <v>34331040</v>
      </c>
      <c r="F22" s="240">
        <f>'Հ3 Մաս 2'!J18</f>
        <v>12516525</v>
      </c>
      <c r="G22" s="240">
        <f>'Հ3 Մաս 2'!K18</f>
        <v>10927125</v>
      </c>
      <c r="H22" s="20" t="s">
        <v>462</v>
      </c>
    </row>
    <row r="23" spans="2:8" ht="43.2" x14ac:dyDescent="0.3">
      <c r="B23" s="14">
        <v>1049</v>
      </c>
      <c r="C23" s="19">
        <v>21018</v>
      </c>
      <c r="D23" s="19" t="s">
        <v>308</v>
      </c>
      <c r="E23" s="240">
        <f>'Հ3 Մաս 2'!I19</f>
        <v>18119160</v>
      </c>
      <c r="F23" s="240">
        <f>'Հ3 Մաս 2'!J19</f>
        <v>27139005</v>
      </c>
      <c r="G23" s="240">
        <f>'Հ3 Մաս 2'!K19</f>
        <v>35443620</v>
      </c>
      <c r="H23" s="20" t="s">
        <v>462</v>
      </c>
    </row>
    <row r="24" spans="2:8" x14ac:dyDescent="0.3">
      <c r="B24" s="341" t="s">
        <v>12</v>
      </c>
      <c r="C24" s="341"/>
      <c r="D24" s="341"/>
      <c r="E24" s="243">
        <f>SUM(E13:E23)</f>
        <v>58681246.923999995</v>
      </c>
      <c r="F24" s="32">
        <f>SUM(F13:F23)</f>
        <v>40490859.086199999</v>
      </c>
      <c r="G24" s="32">
        <f>SUM(G13:G23)</f>
        <v>46834296.942500003</v>
      </c>
      <c r="H24" s="32" t="s">
        <v>44</v>
      </c>
    </row>
    <row r="25" spans="2:8" x14ac:dyDescent="0.3">
      <c r="E25" s="154"/>
      <c r="F25" s="154"/>
      <c r="G25" s="154"/>
    </row>
    <row r="26" spans="2:8" x14ac:dyDescent="0.3">
      <c r="B26" s="145" t="s">
        <v>158</v>
      </c>
      <c r="E26" s="154"/>
      <c r="F26" s="154"/>
      <c r="G26" s="154"/>
    </row>
    <row r="27" spans="2:8" x14ac:dyDescent="0.3">
      <c r="E27" s="154"/>
      <c r="F27" s="154"/>
      <c r="G27" s="154"/>
    </row>
    <row r="28" spans="2:8" x14ac:dyDescent="0.3">
      <c r="E28" s="154"/>
      <c r="F28" s="154"/>
      <c r="G28" s="154"/>
    </row>
  </sheetData>
  <mergeCells count="14">
    <mergeCell ref="A1:H1"/>
    <mergeCell ref="B24:D24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honeticPr fontId="82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9"/>
  <sheetViews>
    <sheetView workbookViewId="0">
      <selection activeCell="C21" sqref="C21"/>
    </sheetView>
  </sheetViews>
  <sheetFormatPr defaultRowHeight="14.4" x14ac:dyDescent="0.3"/>
  <cols>
    <col min="1" max="1" width="8.5546875" customWidth="1"/>
    <col min="2" max="2" width="32.44140625" customWidth="1"/>
    <col min="3" max="3" width="28.44140625" customWidth="1"/>
    <col min="4" max="4" width="37.33203125" customWidth="1"/>
    <col min="5" max="5" width="43.88671875" customWidth="1"/>
  </cols>
  <sheetData>
    <row r="1" spans="1:5" ht="15" x14ac:dyDescent="0.3">
      <c r="A1" s="4" t="s">
        <v>54</v>
      </c>
      <c r="B1" s="4"/>
      <c r="C1" s="4"/>
      <c r="D1" s="4"/>
    </row>
    <row r="3" spans="1:5" ht="22.8" x14ac:dyDescent="0.3">
      <c r="B3" s="32" t="s">
        <v>38</v>
      </c>
      <c r="C3" s="32" t="s">
        <v>113</v>
      </c>
      <c r="D3" s="32" t="s">
        <v>39</v>
      </c>
      <c r="E3" s="32" t="s">
        <v>40</v>
      </c>
    </row>
    <row r="4" spans="1:5" ht="52.2" customHeight="1" x14ac:dyDescent="0.3">
      <c r="B4" s="24" t="s">
        <v>467</v>
      </c>
      <c r="C4" s="91">
        <v>3</v>
      </c>
      <c r="D4" s="91">
        <v>3</v>
      </c>
      <c r="E4" s="24" t="s">
        <v>468</v>
      </c>
    </row>
    <row r="5" spans="1:5" ht="43.2" customHeight="1" x14ac:dyDescent="0.3">
      <c r="B5" s="24" t="s">
        <v>469</v>
      </c>
      <c r="C5" s="91">
        <v>3</v>
      </c>
      <c r="D5" s="91">
        <v>3</v>
      </c>
      <c r="E5" s="24" t="s">
        <v>470</v>
      </c>
    </row>
    <row r="6" spans="1:5" ht="33.6" customHeight="1" x14ac:dyDescent="0.3">
      <c r="B6" s="24" t="s">
        <v>471</v>
      </c>
      <c r="C6" s="91">
        <v>3</v>
      </c>
      <c r="D6" s="91">
        <v>3</v>
      </c>
      <c r="E6" s="24" t="s">
        <v>472</v>
      </c>
    </row>
    <row r="7" spans="1:5" ht="60.6" customHeight="1" x14ac:dyDescent="0.3">
      <c r="B7" s="24" t="s">
        <v>473</v>
      </c>
      <c r="C7" s="91">
        <v>3</v>
      </c>
      <c r="D7" s="91">
        <v>3</v>
      </c>
      <c r="E7" s="24" t="s">
        <v>474</v>
      </c>
    </row>
    <row r="9" spans="1:5" x14ac:dyDescent="0.3">
      <c r="B9" s="97" t="s">
        <v>158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R20"/>
  <sheetViews>
    <sheetView topLeftCell="A4" zoomScale="82" zoomScaleNormal="82" zoomScaleSheetLayoutView="50" workbookViewId="0">
      <selection activeCell="I13" sqref="I13"/>
    </sheetView>
  </sheetViews>
  <sheetFormatPr defaultColWidth="9.109375" defaultRowHeight="15.6" x14ac:dyDescent="0.35"/>
  <cols>
    <col min="1" max="1" width="9.109375" style="100"/>
    <col min="2" max="2" width="11.5546875" style="101" customWidth="1"/>
    <col min="3" max="3" width="7.6640625" style="101" bestFit="1" customWidth="1"/>
    <col min="4" max="4" width="40.109375" style="102" customWidth="1"/>
    <col min="5" max="5" width="27.6640625" style="102" customWidth="1"/>
    <col min="6" max="6" width="16.77734375" style="103" customWidth="1"/>
    <col min="7" max="7" width="12.5546875" style="103" bestFit="1" customWidth="1"/>
    <col min="8" max="8" width="22.5546875" style="102" customWidth="1"/>
    <col min="9" max="9" width="19" style="106" bestFit="1" customWidth="1"/>
    <col min="10" max="10" width="25.6640625" style="106" customWidth="1"/>
    <col min="11" max="11" width="17" style="106" customWidth="1"/>
    <col min="12" max="12" width="26" style="107" customWidth="1"/>
    <col min="13" max="13" width="19.88671875" style="107" customWidth="1"/>
    <col min="14" max="14" width="15.88671875" style="108" customWidth="1"/>
    <col min="15" max="15" width="22" style="108" customWidth="1"/>
    <col min="16" max="16" width="16.109375" style="110" bestFit="1" customWidth="1"/>
    <col min="17" max="17" width="16.5546875" style="100" bestFit="1" customWidth="1"/>
    <col min="18" max="18" width="16.33203125" style="100" bestFit="1" customWidth="1"/>
    <col min="19" max="19" width="21.109375" style="100" customWidth="1"/>
    <col min="20" max="20" width="37.5546875" style="100" customWidth="1"/>
    <col min="21" max="16384" width="9.109375" style="100"/>
  </cols>
  <sheetData>
    <row r="1" spans="2:18" x14ac:dyDescent="0.35">
      <c r="B1" s="112" t="s">
        <v>188</v>
      </c>
      <c r="D1" s="101"/>
      <c r="E1" s="100"/>
      <c r="F1" s="102"/>
      <c r="H1" s="100"/>
      <c r="I1" s="113"/>
      <c r="J1" s="250"/>
      <c r="K1" s="114"/>
      <c r="L1" s="114"/>
      <c r="M1" s="115"/>
      <c r="N1" s="115"/>
      <c r="O1" s="116"/>
      <c r="P1" s="117"/>
    </row>
    <row r="2" spans="2:18" x14ac:dyDescent="0.35">
      <c r="B2" s="100"/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109"/>
    </row>
    <row r="3" spans="2:18" x14ac:dyDescent="0.35">
      <c r="B3" s="100"/>
      <c r="D3" s="101"/>
      <c r="F3" s="102"/>
      <c r="H3" s="104"/>
      <c r="I3" s="105"/>
      <c r="L3" s="106"/>
      <c r="N3" s="107"/>
      <c r="P3" s="108"/>
      <c r="Q3" s="110"/>
      <c r="R3" s="100" t="s">
        <v>183</v>
      </c>
    </row>
    <row r="4" spans="2:18" s="111" customFormat="1" ht="62.4" x14ac:dyDescent="0.35">
      <c r="B4" s="118" t="s">
        <v>178</v>
      </c>
      <c r="C4" s="118" t="s">
        <v>179</v>
      </c>
      <c r="D4" s="119" t="s">
        <v>173</v>
      </c>
      <c r="E4" s="119" t="s">
        <v>180</v>
      </c>
      <c r="F4" s="119" t="s">
        <v>207</v>
      </c>
      <c r="G4" s="119" t="s">
        <v>174</v>
      </c>
      <c r="H4" s="119" t="s">
        <v>208</v>
      </c>
      <c r="I4" s="120" t="s">
        <v>211</v>
      </c>
      <c r="J4" s="120" t="s">
        <v>175</v>
      </c>
      <c r="K4" s="120" t="s">
        <v>176</v>
      </c>
      <c r="L4" s="121" t="s">
        <v>181</v>
      </c>
      <c r="M4" s="121" t="s">
        <v>182</v>
      </c>
      <c r="N4" s="122" t="s">
        <v>222</v>
      </c>
      <c r="O4" s="122" t="s">
        <v>184</v>
      </c>
      <c r="P4" s="123" t="s">
        <v>185</v>
      </c>
      <c r="Q4" s="123" t="s">
        <v>186</v>
      </c>
      <c r="R4" s="123" t="s">
        <v>187</v>
      </c>
    </row>
    <row r="5" spans="2:18" s="245" customFormat="1" ht="90" x14ac:dyDescent="0.35">
      <c r="B5" s="246">
        <v>1049</v>
      </c>
      <c r="C5" s="247">
        <v>11007</v>
      </c>
      <c r="D5" s="248" t="s">
        <v>241</v>
      </c>
      <c r="E5" s="244" t="str">
        <f>'Հ3 Մաս 2'!E9</f>
        <v>Խորհրդատվական ծառայություններ և պահպանման ծախսեր</v>
      </c>
      <c r="F5" s="244" t="s">
        <v>475</v>
      </c>
      <c r="G5" s="244" t="s">
        <v>478</v>
      </c>
      <c r="H5" s="244" t="s">
        <v>477</v>
      </c>
      <c r="I5" s="251">
        <v>2017</v>
      </c>
      <c r="J5" s="251">
        <v>2026</v>
      </c>
      <c r="K5" s="244" t="s">
        <v>230</v>
      </c>
      <c r="L5" s="249">
        <f>+'Հ7 Ձև1 EURO'!G9</f>
        <v>6178</v>
      </c>
      <c r="M5" s="249">
        <f>+'Հ7 Ձև1 EURO'!S9-'Հ7 Ձև1 EURO'!V9</f>
        <v>289.59236208413603</v>
      </c>
      <c r="N5" s="249">
        <f>+'Հ3 Մաս 2'!G9</f>
        <v>130085.80839999994</v>
      </c>
      <c r="O5" s="249">
        <f>+'Հ3 Մաս 2'!H9</f>
        <v>124860.2</v>
      </c>
      <c r="P5" s="249">
        <f>+'Հ3 Մաս 2'!I9</f>
        <v>18160.436999999998</v>
      </c>
      <c r="Q5" s="249">
        <f>+'Հ3 Մաս 2'!J9</f>
        <v>0</v>
      </c>
      <c r="R5" s="249">
        <f>+'Հ3 Մաս 2'!K9</f>
        <v>0</v>
      </c>
    </row>
    <row r="6" spans="2:18" s="245" customFormat="1" ht="60" x14ac:dyDescent="0.35">
      <c r="B6" s="246">
        <v>1049</v>
      </c>
      <c r="C6" s="247">
        <v>11009</v>
      </c>
      <c r="D6" s="248" t="s">
        <v>231</v>
      </c>
      <c r="E6" s="244" t="str">
        <f>'Հ3 Մաս 2'!E10</f>
        <v>Խորհրդատվական ծառայություններ և պահպանման ծախսեր</v>
      </c>
      <c r="F6" s="244" t="s">
        <v>475</v>
      </c>
      <c r="G6" s="244" t="s">
        <v>478</v>
      </c>
      <c r="H6" s="244" t="s">
        <v>477</v>
      </c>
      <c r="I6" s="251">
        <v>2011</v>
      </c>
      <c r="J6" s="251">
        <v>2027</v>
      </c>
      <c r="K6" s="244" t="s">
        <v>321</v>
      </c>
      <c r="L6" s="249">
        <f>+'Հ7 Ձև1 USD'!G9</f>
        <v>5042.01810043161</v>
      </c>
      <c r="M6" s="249">
        <f>+'Հ7 Ձև1 USD'!S9-'Հ7 Ձև1 USD'!V9</f>
        <v>814.7575595214214</v>
      </c>
      <c r="N6" s="249">
        <f>+'Հ3 Մաս 2'!G10</f>
        <v>521089.4</v>
      </c>
      <c r="O6" s="249">
        <f>+'Հ3 Մաս 2'!H10</f>
        <v>238300</v>
      </c>
      <c r="P6" s="249">
        <f>+'Հ3 Մաս 2'!I10</f>
        <v>82790.256600000008</v>
      </c>
      <c r="Q6" s="249">
        <f>+'Հ3 Մաս 2'!J10</f>
        <v>3300.0050000000006</v>
      </c>
      <c r="R6" s="249">
        <f>+'Հ3 Մաս 2'!K10</f>
        <v>0</v>
      </c>
    </row>
    <row r="7" spans="2:18" s="245" customFormat="1" ht="60" x14ac:dyDescent="0.35">
      <c r="B7" s="246">
        <v>1049</v>
      </c>
      <c r="C7" s="247">
        <v>11012</v>
      </c>
      <c r="D7" s="248" t="s">
        <v>294</v>
      </c>
      <c r="E7" s="244" t="str">
        <f>'Հ3 Մաս 2'!E11</f>
        <v>Խորհրդատվական ծառայություններ և պահպանման ծախսեր</v>
      </c>
      <c r="F7" s="244" t="s">
        <v>475</v>
      </c>
      <c r="G7" s="244" t="s">
        <v>479</v>
      </c>
      <c r="H7" s="244" t="s">
        <v>477</v>
      </c>
      <c r="I7" s="251">
        <v>2015</v>
      </c>
      <c r="J7" s="251">
        <v>2029</v>
      </c>
      <c r="K7" s="244" t="s">
        <v>321</v>
      </c>
      <c r="L7" s="249">
        <f>+'Հ7 Ձև1 USD'!G10</f>
        <v>22326</v>
      </c>
      <c r="M7" s="249">
        <f>+'Հ7 Ձև1 USD'!S10-'Հ7 Ձև1 USD'!V10</f>
        <v>972.96504377921838</v>
      </c>
      <c r="N7" s="249">
        <f>+'Հ3 Մաս 2'!G11</f>
        <v>4267472.7040999997</v>
      </c>
      <c r="O7" s="249">
        <f>+'Հ3 Մաս 2'!H11</f>
        <v>646510</v>
      </c>
      <c r="P7" s="249">
        <f>+'Հ3 Մաս 2'!I11</f>
        <v>297675</v>
      </c>
      <c r="Q7" s="249">
        <f>+'Հ3 Մաս 2'!J11</f>
        <v>248351.08620000002</v>
      </c>
      <c r="R7" s="249">
        <f>+'Հ3 Մաս 2'!K11</f>
        <v>99000</v>
      </c>
    </row>
    <row r="8" spans="2:18" s="245" customFormat="1" ht="105" x14ac:dyDescent="0.35">
      <c r="B8" s="246">
        <v>1049</v>
      </c>
      <c r="C8" s="247">
        <v>11016</v>
      </c>
      <c r="D8" s="248" t="s">
        <v>320</v>
      </c>
      <c r="E8" s="244" t="str">
        <f>'Հ3 Մաս 2'!E12</f>
        <v>Խորհրդատվական ծառայություններ և պահպանման ծախսեր</v>
      </c>
      <c r="F8" s="244" t="s">
        <v>475</v>
      </c>
      <c r="G8" s="244" t="s">
        <v>480</v>
      </c>
      <c r="H8" s="244" t="s">
        <v>477</v>
      </c>
      <c r="I8" s="251" t="s">
        <v>484</v>
      </c>
      <c r="J8" s="251">
        <v>2033</v>
      </c>
      <c r="K8" s="244" t="s">
        <v>230</v>
      </c>
      <c r="L8" s="252">
        <f>+'Հ7 Ձև1 EURO'!G10</f>
        <v>5712</v>
      </c>
      <c r="M8" s="252">
        <f>+'Հ7 Ձև1 EURO'!S10-'Հ7 Ձև1 EURO'!V10</f>
        <v>1199.170001421503</v>
      </c>
      <c r="N8" s="249">
        <f>+'Հ3 Մաս 2'!G12</f>
        <v>628947.9</v>
      </c>
      <c r="O8" s="249">
        <f>+'Հ3 Մաս 2'!H12</f>
        <v>814604.9</v>
      </c>
      <c r="P8" s="249">
        <f>+'Հ3 Մաս 2'!I12</f>
        <v>432862.5</v>
      </c>
      <c r="Q8" s="249">
        <f>+'Հ3 Մաս 2'!J12</f>
        <v>124062.5</v>
      </c>
      <c r="R8" s="249">
        <f>+'Հ3 Մաս 2'!K12</f>
        <v>148175</v>
      </c>
    </row>
    <row r="9" spans="2:18" s="245" customFormat="1" ht="60" x14ac:dyDescent="0.35">
      <c r="B9" s="246">
        <v>1049</v>
      </c>
      <c r="C9" s="247">
        <v>11017</v>
      </c>
      <c r="D9" s="248" t="s">
        <v>299</v>
      </c>
      <c r="E9" s="244" t="str">
        <f>'Հ3 Մաս 2'!E13</f>
        <v>Խորհրդատվական ծառայություններ և պահպանման ծախսեր</v>
      </c>
      <c r="F9" s="244" t="s">
        <v>475</v>
      </c>
      <c r="G9" s="244" t="s">
        <v>479</v>
      </c>
      <c r="H9" s="244" t="s">
        <v>477</v>
      </c>
      <c r="I9" s="251">
        <v>2025</v>
      </c>
      <c r="J9" s="251">
        <v>2032</v>
      </c>
      <c r="K9" s="244" t="s">
        <v>321</v>
      </c>
      <c r="L9" s="249">
        <f>+'Հ7 Ձև1 USD'!G11</f>
        <v>16450</v>
      </c>
      <c r="M9" s="249">
        <f>+'Հ7 Ձև1 USD'!S11-'Հ7 Ձև1 USD'!V11</f>
        <v>12074.440077800136</v>
      </c>
      <c r="N9" s="249">
        <f>+'Հ3 Մաս 2'!G13</f>
        <v>1300584.1000000001</v>
      </c>
      <c r="O9" s="249">
        <f>+'Հ3 Մաս 2'!H13</f>
        <v>213260</v>
      </c>
      <c r="P9" s="249">
        <f>+'Հ3 Մաս 2'!I13</f>
        <v>102714.97500000001</v>
      </c>
      <c r="Q9" s="249">
        <f>+'Հ3 Մաս 2'!J13</f>
        <v>159615.495</v>
      </c>
      <c r="R9" s="249">
        <f>+'Հ3 Մաս 2'!K13</f>
        <v>216376.9425</v>
      </c>
    </row>
    <row r="10" spans="2:18" s="245" customFormat="1" ht="93.6" customHeight="1" x14ac:dyDescent="0.35">
      <c r="B10" s="246">
        <v>1049</v>
      </c>
      <c r="C10" s="248">
        <v>11020</v>
      </c>
      <c r="D10" s="248" t="s">
        <v>301</v>
      </c>
      <c r="E10" s="244" t="str">
        <f>'Հ3 Մաս 2'!E14</f>
        <v>Հյուսիս-հարավ ճանապարհային միջանցքի զարգացման ծրագրի Գյումրու շրջանցիկ ճանապարհի շրջանակներում հողերի օտարում</v>
      </c>
      <c r="F10" s="244" t="s">
        <v>476</v>
      </c>
      <c r="G10" s="244" t="s">
        <v>481</v>
      </c>
      <c r="H10" s="244" t="s">
        <v>482</v>
      </c>
      <c r="I10" s="251"/>
      <c r="J10" s="251">
        <v>2031</v>
      </c>
      <c r="K10" s="244" t="s">
        <v>230</v>
      </c>
      <c r="L10" s="249">
        <f>+'Հ7 Ձև1 EURO'!G11</f>
        <v>2668.2838083687084</v>
      </c>
      <c r="M10" s="252">
        <f>+'Հ7 Ձև1 EURO'!S11-'Հ7 Ձև1 EURO'!V11</f>
        <v>732.47854813278741</v>
      </c>
      <c r="N10" s="249">
        <f>+'Հ3 Մաս 2'!G14</f>
        <v>0</v>
      </c>
      <c r="O10" s="249">
        <f>+'Հ3 Մաս 2'!H14</f>
        <v>100000</v>
      </c>
      <c r="P10" s="249">
        <f>+'Հ3 Մաս 2'!I14</f>
        <v>700000</v>
      </c>
      <c r="Q10" s="249">
        <f>+'Հ3 Մաս 2'!J14</f>
        <v>300000</v>
      </c>
      <c r="R10" s="249">
        <f>+'Հ3 Մաս 2'!K14</f>
        <v>0</v>
      </c>
    </row>
    <row r="11" spans="2:18" s="245" customFormat="1" ht="75" x14ac:dyDescent="0.35">
      <c r="B11" s="246">
        <v>1049</v>
      </c>
      <c r="C11" s="248">
        <v>21004</v>
      </c>
      <c r="D11" s="248" t="s">
        <v>272</v>
      </c>
      <c r="E11" s="244" t="str">
        <f>'Հ3 Մաս 2'!E15</f>
        <v>Ճանապարհաշինական աշխատանքներ</v>
      </c>
      <c r="F11" s="244" t="s">
        <v>476</v>
      </c>
      <c r="G11" s="244" t="s">
        <v>478</v>
      </c>
      <c r="H11" s="244" t="s">
        <v>477</v>
      </c>
      <c r="I11" s="251">
        <v>2017</v>
      </c>
      <c r="J11" s="251">
        <v>2026</v>
      </c>
      <c r="K11" s="244" t="s">
        <v>321</v>
      </c>
      <c r="L11" s="249">
        <f>+'Հ7 Ձև1 EURO'!G12</f>
        <v>46810.536</v>
      </c>
      <c r="M11" s="249">
        <f>+'Հ7 Ձև1 EURO'!S12-'Հ7 Ձև1 EURO'!V12</f>
        <v>286.33693803900201</v>
      </c>
      <c r="N11" s="249">
        <f>+'Հ3 Մաս 2'!G15</f>
        <v>463903.51696929999</v>
      </c>
      <c r="O11" s="249">
        <f>+'Հ3 Մաս 2'!H15</f>
        <v>1000533.2</v>
      </c>
      <c r="P11" s="249">
        <f>+'Հ3 Մաս 2'!I15</f>
        <v>174800</v>
      </c>
      <c r="Q11" s="249">
        <f>+'Հ3 Մաս 2'!J15</f>
        <v>0</v>
      </c>
      <c r="R11" s="249">
        <f>+'Հ3 Մաս 2'!K15</f>
        <v>0</v>
      </c>
    </row>
    <row r="12" spans="2:18" s="245" customFormat="1" ht="60" x14ac:dyDescent="0.35">
      <c r="B12" s="246">
        <v>1049</v>
      </c>
      <c r="C12" s="248">
        <v>21006</v>
      </c>
      <c r="D12" s="248" t="s">
        <v>234</v>
      </c>
      <c r="E12" s="244" t="str">
        <f>'Հ3 Մաս 2'!E16</f>
        <v>Աշտարակ-Թալին 29+600կմ-71+500կմ հատվածի կառուցում</v>
      </c>
      <c r="F12" s="244" t="s">
        <v>476</v>
      </c>
      <c r="G12" s="244" t="s">
        <v>478</v>
      </c>
      <c r="H12" s="244" t="s">
        <v>477</v>
      </c>
      <c r="I12" s="251">
        <v>2011</v>
      </c>
      <c r="J12" s="251">
        <v>2027</v>
      </c>
      <c r="K12" s="244" t="s">
        <v>321</v>
      </c>
      <c r="L12" s="249">
        <f>+'Հ7 Ձև1 USD'!G12</f>
        <v>201774.984</v>
      </c>
      <c r="M12" s="249">
        <f>+'Հ7 Ձև1 USD'!S12-'Հ7 Ձև1 USD'!V12</f>
        <v>28387.512602903236</v>
      </c>
      <c r="N12" s="249">
        <f>+'Հ3 Մաս 2'!G16</f>
        <v>12039678.1374528</v>
      </c>
      <c r="O12" s="249">
        <f>+'Հ3 Մաս 2'!H16</f>
        <v>3757815.2</v>
      </c>
      <c r="P12" s="249">
        <f>+'Հ3 Մաս 2'!I16</f>
        <v>3075543.7553999992</v>
      </c>
      <c r="Q12" s="249">
        <f>+'Հ3 Մաս 2'!J16</f>
        <v>0</v>
      </c>
      <c r="R12" s="249">
        <f>+'Հ3 Մաս 2'!K16</f>
        <v>0</v>
      </c>
    </row>
    <row r="13" spans="2:18" s="245" customFormat="1" ht="75" customHeight="1" x14ac:dyDescent="0.35">
      <c r="B13" s="246">
        <v>1049</v>
      </c>
      <c r="C13" s="248">
        <v>21009</v>
      </c>
      <c r="D13" s="248" t="s">
        <v>317</v>
      </c>
      <c r="E13" s="244" t="str">
        <f>'Հ3 Մաս 2'!E17</f>
        <v>Լանջիկ-Գյումրի 27.47 կմ երկարությամբ ճանապարհային հատվածի կառուցում</v>
      </c>
      <c r="F13" s="244" t="s">
        <v>476</v>
      </c>
      <c r="G13" s="244" t="s">
        <v>483</v>
      </c>
      <c r="H13" s="244" t="s">
        <v>477</v>
      </c>
      <c r="I13" s="251">
        <v>2014</v>
      </c>
      <c r="J13" s="251">
        <v>2026</v>
      </c>
      <c r="K13" s="244" t="s">
        <v>230</v>
      </c>
      <c r="L13" s="249">
        <f>+'Հ7 Ձև1 EURO'!G13</f>
        <v>72645.929999999993</v>
      </c>
      <c r="M13" s="249">
        <f>+'Հ7 Ձև1 EURO'!S13-'Հ7 Ձև1 EURO'!V13</f>
        <v>10146.300106013088</v>
      </c>
      <c r="N13" s="249">
        <f>+'Հ3 Մաս 2'!G17</f>
        <v>1615396.9384000001</v>
      </c>
      <c r="O13" s="249">
        <f>+'Հ3 Մաս 2'!H17</f>
        <v>1246490.8</v>
      </c>
      <c r="P13" s="249">
        <f>+'Հ3 Մաս 2'!I17</f>
        <v>1346500</v>
      </c>
      <c r="Q13" s="249">
        <f>+'Հ3 Մաս 2'!J17</f>
        <v>0</v>
      </c>
      <c r="R13" s="249">
        <f>+'Հ3 Մաս 2'!K17</f>
        <v>0</v>
      </c>
    </row>
    <row r="14" spans="2:18" s="245" customFormat="1" ht="67.8" customHeight="1" x14ac:dyDescent="0.35">
      <c r="B14" s="246">
        <v>1049</v>
      </c>
      <c r="C14" s="248">
        <v>21012</v>
      </c>
      <c r="D14" s="248" t="s">
        <v>306</v>
      </c>
      <c r="E14" s="244" t="str">
        <f>'Հ3 Մաս 2'!E18</f>
        <v>Ճանապարհաշինական աշխատանքներ</v>
      </c>
      <c r="F14" s="244" t="s">
        <v>476</v>
      </c>
      <c r="G14" s="244" t="s">
        <v>479</v>
      </c>
      <c r="H14" s="244" t="s">
        <v>477</v>
      </c>
      <c r="I14" s="251">
        <v>2015</v>
      </c>
      <c r="J14" s="251">
        <v>2029</v>
      </c>
      <c r="K14" s="244" t="s">
        <v>321</v>
      </c>
      <c r="L14" s="249">
        <f>+'Հ7 Ձև1 USD'!G13</f>
        <v>263670</v>
      </c>
      <c r="M14" s="249">
        <f>+'Հ7 Ձև1 USD'!S13-'Հ7 Ձև1 USD'!V13</f>
        <v>117131.09414210811</v>
      </c>
      <c r="N14" s="249">
        <f>+'Հ3 Մաս 2'!G18</f>
        <v>6744476.1698000003</v>
      </c>
      <c r="O14" s="249">
        <f>+'Հ3 Մաս 2'!H18</f>
        <v>10585075.199999999</v>
      </c>
      <c r="P14" s="249">
        <f>+'Հ3 Մաս 2'!I18</f>
        <v>34331040</v>
      </c>
      <c r="Q14" s="249">
        <f>+'Հ3 Մաս 2'!J18</f>
        <v>12516525</v>
      </c>
      <c r="R14" s="249">
        <f>+'Հ3 Մաս 2'!K18</f>
        <v>10927125</v>
      </c>
    </row>
    <row r="15" spans="2:18" s="245" customFormat="1" ht="64.8" customHeight="1" x14ac:dyDescent="0.35">
      <c r="B15" s="246">
        <v>1049</v>
      </c>
      <c r="C15" s="248">
        <v>21018</v>
      </c>
      <c r="D15" s="248" t="s">
        <v>308</v>
      </c>
      <c r="E15" s="244" t="str">
        <f>'Հ3 Մաս 2'!E19</f>
        <v>Քաջարանի թունելի և մոտեցումների շինարարություն</v>
      </c>
      <c r="F15" s="244" t="s">
        <v>476</v>
      </c>
      <c r="G15" s="244" t="s">
        <v>479</v>
      </c>
      <c r="H15" s="244" t="s">
        <v>477</v>
      </c>
      <c r="I15" s="251">
        <v>2024</v>
      </c>
      <c r="J15" s="251">
        <v>2032</v>
      </c>
      <c r="K15" s="244" t="s">
        <v>321</v>
      </c>
      <c r="L15" s="249">
        <f>+'Հ7 Ձև1 USD'!G14</f>
        <v>312650</v>
      </c>
      <c r="M15" s="249">
        <f>+'Հ7 Ձև1 USD'!S14-'Հ7 Ձև1 USD'!V14</f>
        <v>248721.40924115956</v>
      </c>
      <c r="N15" s="249">
        <f>+'Հ3 Մաս 2'!G19</f>
        <v>0</v>
      </c>
      <c r="O15" s="249">
        <f>+'Հ3 Մաս 2'!H19</f>
        <v>7707355.7000000002</v>
      </c>
      <c r="P15" s="249">
        <f>+'Հ3 Մաս 2'!I19</f>
        <v>18119160</v>
      </c>
      <c r="Q15" s="249">
        <f>+'Հ3 Մաս 2'!J19</f>
        <v>27139005</v>
      </c>
      <c r="R15" s="249">
        <f>+'Հ3 Մաս 2'!K19</f>
        <v>35443620</v>
      </c>
    </row>
    <row r="16" spans="2:18" x14ac:dyDescent="0.35">
      <c r="N16" s="108">
        <f>SUM(N5:N15)</f>
        <v>27711634.675122097</v>
      </c>
      <c r="O16" s="108">
        <f t="shared" ref="O16:R16" si="0">SUM(O5:O15)</f>
        <v>26434805.199999999</v>
      </c>
      <c r="P16" s="108">
        <f t="shared" si="0"/>
        <v>58681246.923999995</v>
      </c>
      <c r="Q16" s="108">
        <f t="shared" si="0"/>
        <v>40490859.086199999</v>
      </c>
      <c r="R16" s="108">
        <f t="shared" si="0"/>
        <v>46834296.942500003</v>
      </c>
    </row>
    <row r="17" spans="4:18" x14ac:dyDescent="0.35">
      <c r="N17" s="108">
        <f>+'Հ3 Մաս 2'!G20</f>
        <v>0</v>
      </c>
      <c r="O17" s="108">
        <f>+'Հ3 Մաս 2'!H20</f>
        <v>0</v>
      </c>
      <c r="P17" s="108">
        <f>+'Հ3 Մաս 2'!I20</f>
        <v>0</v>
      </c>
      <c r="Q17" s="108">
        <f>+'Հ3 Մաս 2'!J20</f>
        <v>0</v>
      </c>
      <c r="R17" s="108">
        <f>+'Հ3 Մաս 2'!K20</f>
        <v>0</v>
      </c>
    </row>
    <row r="18" spans="4:18" x14ac:dyDescent="0.35">
      <c r="D18" s="143" t="s">
        <v>177</v>
      </c>
      <c r="N18" s="108">
        <f>+'Հ3 Մաս 2'!G8</f>
        <v>310690.68</v>
      </c>
      <c r="O18" s="108">
        <f>+'Հ3 Մաս 2'!H8</f>
        <v>305043.20000000001</v>
      </c>
      <c r="P18" s="108">
        <f>+'Հ3 Մաս 2'!I8</f>
        <v>317753.3</v>
      </c>
      <c r="Q18" s="108">
        <f>+'Հ3 Մաս 2'!J8</f>
        <v>317753.3</v>
      </c>
      <c r="R18" s="108">
        <f>+'Հ3 Մաս 2'!K8</f>
        <v>317753.3</v>
      </c>
    </row>
    <row r="19" spans="4:18" x14ac:dyDescent="0.35">
      <c r="N19" s="108">
        <f>+N17-N18</f>
        <v>-310690.68</v>
      </c>
      <c r="O19" s="108">
        <f t="shared" ref="O19:R19" si="1">+O17-O18</f>
        <v>-305043.20000000001</v>
      </c>
      <c r="P19" s="108">
        <f t="shared" si="1"/>
        <v>-317753.3</v>
      </c>
      <c r="Q19" s="108">
        <f t="shared" si="1"/>
        <v>-317753.3</v>
      </c>
      <c r="R19" s="108">
        <f t="shared" si="1"/>
        <v>-317753.3</v>
      </c>
    </row>
    <row r="20" spans="4:18" x14ac:dyDescent="0.35">
      <c r="D20" s="145" t="s">
        <v>158</v>
      </c>
      <c r="N20" s="108">
        <f>+N16-N19</f>
        <v>28022325.355122097</v>
      </c>
      <c r="O20" s="108">
        <f t="shared" ref="O20:R20" si="2">+O16-O19</f>
        <v>26739848.399999999</v>
      </c>
      <c r="P20" s="108">
        <f t="shared" si="2"/>
        <v>58999000.223999992</v>
      </c>
      <c r="Q20" s="108">
        <f t="shared" si="2"/>
        <v>40808612.386199996</v>
      </c>
      <c r="R20" s="108">
        <f t="shared" si="2"/>
        <v>47152050.2425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topLeftCell="A64" workbookViewId="0">
      <selection activeCell="A87" sqref="A87:H87"/>
    </sheetView>
  </sheetViews>
  <sheetFormatPr defaultColWidth="9.109375" defaultRowHeight="14.4" x14ac:dyDescent="0.3"/>
  <cols>
    <col min="1" max="5" width="9.109375" style="65"/>
    <col min="6" max="6" width="16.109375" style="65" customWidth="1"/>
    <col min="7" max="7" width="26.33203125" style="65" customWidth="1"/>
    <col min="8" max="8" width="59.44140625" style="65" customWidth="1"/>
    <col min="9" max="9" width="7.6640625" style="65" customWidth="1"/>
    <col min="10" max="16384" width="9.109375" style="65"/>
  </cols>
  <sheetData>
    <row r="1" spans="1:12" ht="21.75" customHeight="1" x14ac:dyDescent="0.3">
      <c r="A1" s="363" t="s">
        <v>37</v>
      </c>
      <c r="B1" s="363"/>
      <c r="C1" s="363"/>
      <c r="D1" s="363"/>
      <c r="E1" s="363"/>
      <c r="F1" s="363"/>
      <c r="G1" s="363"/>
      <c r="H1" s="363"/>
    </row>
    <row r="2" spans="1:12" ht="21.75" customHeight="1" x14ac:dyDescent="0.3">
      <c r="A2" s="369" t="s">
        <v>55</v>
      </c>
      <c r="B2" s="369"/>
      <c r="C2" s="369"/>
      <c r="D2" s="369"/>
      <c r="E2" s="369"/>
      <c r="F2" s="369"/>
      <c r="G2" s="369"/>
      <c r="H2" s="369"/>
    </row>
    <row r="3" spans="1:12" ht="15" customHeight="1" x14ac:dyDescent="0.3">
      <c r="A3" s="363"/>
      <c r="B3" s="363"/>
      <c r="C3" s="363"/>
      <c r="D3" s="363"/>
      <c r="E3" s="363"/>
      <c r="F3" s="363"/>
      <c r="G3" s="363"/>
      <c r="H3" s="363"/>
    </row>
    <row r="4" spans="1:12" x14ac:dyDescent="0.3">
      <c r="A4" s="345" t="s">
        <v>200</v>
      </c>
      <c r="B4" s="345"/>
      <c r="C4" s="345"/>
      <c r="D4" s="345"/>
      <c r="E4" s="345"/>
      <c r="F4" s="345"/>
      <c r="G4" s="345"/>
      <c r="H4" s="345"/>
    </row>
    <row r="5" spans="1:12" x14ac:dyDescent="0.3">
      <c r="A5" s="371"/>
      <c r="B5" s="371"/>
      <c r="C5" s="371"/>
      <c r="D5" s="371"/>
      <c r="E5" s="371"/>
      <c r="F5" s="371"/>
      <c r="G5" s="371"/>
      <c r="H5" s="371"/>
    </row>
    <row r="6" spans="1:12" x14ac:dyDescent="0.3">
      <c r="A6" s="364" t="s">
        <v>56</v>
      </c>
      <c r="B6" s="365"/>
      <c r="C6" s="365"/>
      <c r="D6" s="365"/>
      <c r="E6" s="365"/>
      <c r="F6" s="365"/>
      <c r="G6" s="365"/>
      <c r="H6" s="365"/>
    </row>
    <row r="7" spans="1:12" x14ac:dyDescent="0.3">
      <c r="A7" s="372"/>
      <c r="B7" s="373"/>
      <c r="C7" s="373"/>
      <c r="D7" s="373"/>
      <c r="E7" s="373"/>
      <c r="F7" s="373"/>
      <c r="G7" s="373"/>
      <c r="H7" s="373"/>
    </row>
    <row r="8" spans="1:12" ht="18" customHeight="1" x14ac:dyDescent="0.3">
      <c r="A8" s="370" t="s">
        <v>0</v>
      </c>
      <c r="B8" s="345"/>
      <c r="C8" s="345"/>
      <c r="D8" s="345"/>
      <c r="E8" s="345"/>
      <c r="F8" s="345"/>
      <c r="G8" s="345"/>
      <c r="H8" s="345"/>
    </row>
    <row r="9" spans="1:12" ht="30.75" customHeight="1" x14ac:dyDescent="0.3">
      <c r="A9" s="364" t="s">
        <v>64</v>
      </c>
      <c r="B9" s="365"/>
      <c r="C9" s="365"/>
      <c r="D9" s="365"/>
      <c r="E9" s="365"/>
      <c r="F9" s="365"/>
      <c r="G9" s="365"/>
      <c r="H9" s="365"/>
    </row>
    <row r="10" spans="1:12" ht="42" customHeight="1" x14ac:dyDescent="0.3">
      <c r="A10" s="364" t="s">
        <v>65</v>
      </c>
      <c r="B10" s="365"/>
      <c r="C10" s="365"/>
      <c r="D10" s="365"/>
      <c r="E10" s="365"/>
      <c r="F10" s="365"/>
      <c r="G10" s="365"/>
      <c r="H10" s="365"/>
    </row>
    <row r="11" spans="1:12" ht="28.5" customHeight="1" x14ac:dyDescent="0.3">
      <c r="A11" s="365" t="s">
        <v>66</v>
      </c>
      <c r="B11" s="365"/>
      <c r="C11" s="365"/>
      <c r="D11" s="365"/>
      <c r="E11" s="365"/>
      <c r="F11" s="365"/>
      <c r="G11" s="365"/>
      <c r="H11" s="365"/>
    </row>
    <row r="12" spans="1:12" ht="33" customHeight="1" x14ac:dyDescent="0.3">
      <c r="A12" s="365" t="s">
        <v>201</v>
      </c>
      <c r="B12" s="365"/>
      <c r="C12" s="365"/>
      <c r="D12" s="365"/>
      <c r="E12" s="365"/>
      <c r="F12" s="365"/>
      <c r="G12" s="365"/>
      <c r="H12" s="365"/>
      <c r="I12" s="124"/>
      <c r="J12" s="124"/>
      <c r="K12" s="124"/>
      <c r="L12" s="124"/>
    </row>
    <row r="13" spans="1:12" ht="19.5" customHeight="1" x14ac:dyDescent="0.3">
      <c r="A13" s="366"/>
      <c r="B13" s="366"/>
      <c r="C13" s="366"/>
      <c r="D13" s="366"/>
      <c r="E13" s="366"/>
      <c r="F13" s="366"/>
      <c r="G13" s="366"/>
      <c r="H13" s="366"/>
      <c r="I13" s="124"/>
      <c r="J13" s="124"/>
      <c r="K13" s="124"/>
      <c r="L13" s="124"/>
    </row>
    <row r="14" spans="1:12" ht="16.5" customHeight="1" x14ac:dyDescent="0.3">
      <c r="A14" s="345" t="s">
        <v>1</v>
      </c>
      <c r="B14" s="345"/>
      <c r="C14" s="345"/>
      <c r="D14" s="345"/>
      <c r="E14" s="345"/>
      <c r="F14" s="345"/>
      <c r="G14" s="345"/>
      <c r="H14" s="345"/>
      <c r="I14" s="124"/>
      <c r="J14" s="124"/>
      <c r="K14" s="124"/>
      <c r="L14" s="124"/>
    </row>
    <row r="15" spans="1:12" ht="15.75" customHeight="1" x14ac:dyDescent="0.3">
      <c r="A15" s="360"/>
      <c r="B15" s="360"/>
      <c r="C15" s="360"/>
      <c r="D15" s="360"/>
      <c r="E15" s="360"/>
      <c r="F15" s="360"/>
      <c r="G15" s="360"/>
      <c r="H15" s="360"/>
    </row>
    <row r="16" spans="1:12" ht="15.75" customHeight="1" x14ac:dyDescent="0.3">
      <c r="A16" s="367" t="s">
        <v>213</v>
      </c>
      <c r="B16" s="367"/>
      <c r="C16" s="367"/>
      <c r="D16" s="367"/>
      <c r="E16" s="367"/>
      <c r="F16" s="367"/>
      <c r="G16" s="367"/>
      <c r="H16" s="367"/>
    </row>
    <row r="17" spans="1:9" ht="25.5" customHeight="1" x14ac:dyDescent="0.3">
      <c r="A17" s="367" t="s">
        <v>67</v>
      </c>
      <c r="B17" s="367"/>
      <c r="C17" s="367"/>
      <c r="D17" s="367"/>
      <c r="E17" s="367"/>
      <c r="F17" s="367"/>
      <c r="G17" s="367"/>
      <c r="H17" s="367"/>
    </row>
    <row r="18" spans="1:9" ht="17.25" customHeight="1" x14ac:dyDescent="0.3">
      <c r="A18" s="367" t="s">
        <v>206</v>
      </c>
      <c r="B18" s="367"/>
      <c r="C18" s="367"/>
      <c r="D18" s="367"/>
      <c r="E18" s="367"/>
      <c r="F18" s="367"/>
      <c r="G18" s="367"/>
      <c r="H18" s="367"/>
    </row>
    <row r="19" spans="1:9" ht="17.25" customHeight="1" x14ac:dyDescent="0.3">
      <c r="A19" s="368" t="s">
        <v>217</v>
      </c>
      <c r="B19" s="368"/>
      <c r="C19" s="368"/>
      <c r="D19" s="368"/>
      <c r="E19" s="368"/>
      <c r="F19" s="368"/>
      <c r="G19" s="368"/>
      <c r="H19" s="368"/>
    </row>
    <row r="20" spans="1:9" ht="41.25" customHeight="1" x14ac:dyDescent="0.3">
      <c r="A20" s="367" t="s">
        <v>216</v>
      </c>
      <c r="B20" s="367"/>
      <c r="C20" s="367"/>
      <c r="D20" s="367"/>
      <c r="E20" s="367"/>
      <c r="F20" s="367"/>
      <c r="G20" s="367"/>
      <c r="H20" s="367"/>
    </row>
    <row r="21" spans="1:9" ht="10.5" customHeight="1" x14ac:dyDescent="0.3">
      <c r="A21" s="362"/>
      <c r="B21" s="362"/>
      <c r="C21" s="362"/>
      <c r="D21" s="362"/>
      <c r="E21" s="362"/>
      <c r="F21" s="362"/>
      <c r="G21" s="362"/>
      <c r="H21" s="362"/>
    </row>
    <row r="22" spans="1:9" x14ac:dyDescent="0.3">
      <c r="A22" s="345" t="s">
        <v>57</v>
      </c>
      <c r="B22" s="345"/>
      <c r="C22" s="345"/>
      <c r="D22" s="345"/>
      <c r="E22" s="345"/>
      <c r="F22" s="345"/>
      <c r="G22" s="345"/>
      <c r="H22" s="345"/>
      <c r="I22" s="125"/>
    </row>
    <row r="23" spans="1:9" ht="12" customHeight="1" x14ac:dyDescent="0.3">
      <c r="A23" s="371"/>
      <c r="B23" s="371"/>
      <c r="C23" s="371"/>
      <c r="D23" s="371"/>
      <c r="E23" s="371"/>
      <c r="F23" s="371"/>
      <c r="G23" s="371"/>
      <c r="H23" s="371"/>
      <c r="I23" s="126"/>
    </row>
    <row r="24" spans="1:9" ht="12" customHeight="1" x14ac:dyDescent="0.3">
      <c r="A24" s="375" t="s">
        <v>68</v>
      </c>
      <c r="B24" s="375"/>
      <c r="C24" s="375"/>
      <c r="D24" s="375"/>
      <c r="E24" s="375"/>
      <c r="F24" s="375"/>
      <c r="G24" s="375"/>
      <c r="H24" s="375"/>
      <c r="I24" s="126"/>
    </row>
    <row r="25" spans="1:9" ht="12" customHeight="1" x14ac:dyDescent="0.3">
      <c r="A25" s="375" t="s">
        <v>69</v>
      </c>
      <c r="B25" s="375"/>
      <c r="C25" s="375"/>
      <c r="D25" s="375"/>
      <c r="E25" s="375"/>
      <c r="F25" s="375"/>
      <c r="G25" s="375"/>
      <c r="H25" s="375"/>
      <c r="I25" s="126"/>
    </row>
    <row r="26" spans="1:9" ht="12" customHeight="1" x14ac:dyDescent="0.3">
      <c r="A26" s="375" t="s">
        <v>70</v>
      </c>
      <c r="B26" s="375"/>
      <c r="C26" s="375"/>
      <c r="D26" s="375"/>
      <c r="E26" s="375"/>
      <c r="F26" s="375"/>
      <c r="G26" s="375"/>
      <c r="H26" s="375"/>
      <c r="I26" s="126"/>
    </row>
    <row r="27" spans="1:9" ht="15" customHeight="1" x14ac:dyDescent="0.3">
      <c r="A27" s="375" t="s">
        <v>71</v>
      </c>
      <c r="B27" s="375"/>
      <c r="C27" s="375"/>
      <c r="D27" s="375"/>
      <c r="E27" s="375"/>
      <c r="F27" s="375"/>
      <c r="G27" s="375"/>
      <c r="H27" s="375"/>
      <c r="I27" s="126"/>
    </row>
    <row r="28" spans="1:9" ht="30.75" customHeight="1" x14ac:dyDescent="0.3">
      <c r="A28" s="375" t="s">
        <v>72</v>
      </c>
      <c r="B28" s="375"/>
      <c r="C28" s="375"/>
      <c r="D28" s="375"/>
      <c r="E28" s="375"/>
      <c r="F28" s="375"/>
      <c r="G28" s="375"/>
      <c r="H28" s="375"/>
      <c r="I28" s="126"/>
    </row>
    <row r="29" spans="1:9" ht="15" customHeight="1" x14ac:dyDescent="0.3">
      <c r="A29" s="375" t="s">
        <v>73</v>
      </c>
      <c r="B29" s="375"/>
      <c r="C29" s="375"/>
      <c r="D29" s="375"/>
      <c r="E29" s="375"/>
      <c r="F29" s="375"/>
      <c r="G29" s="375"/>
      <c r="H29" s="375"/>
      <c r="I29" s="126"/>
    </row>
    <row r="30" spans="1:9" ht="25.5" customHeight="1" x14ac:dyDescent="0.3">
      <c r="A30" s="375" t="s">
        <v>74</v>
      </c>
      <c r="B30" s="375"/>
      <c r="C30" s="375"/>
      <c r="D30" s="375"/>
      <c r="E30" s="375"/>
      <c r="F30" s="375"/>
      <c r="G30" s="375"/>
      <c r="H30" s="375"/>
      <c r="I30" s="126"/>
    </row>
    <row r="31" spans="1:9" ht="15.75" customHeight="1" x14ac:dyDescent="0.3">
      <c r="A31" s="375" t="s">
        <v>75</v>
      </c>
      <c r="B31" s="375"/>
      <c r="C31" s="375"/>
      <c r="D31" s="375"/>
      <c r="E31" s="375"/>
      <c r="F31" s="375"/>
      <c r="G31" s="375"/>
      <c r="H31" s="375"/>
      <c r="I31" s="126"/>
    </row>
    <row r="32" spans="1:9" ht="42" customHeight="1" x14ac:dyDescent="0.3">
      <c r="A32" s="375" t="s">
        <v>76</v>
      </c>
      <c r="B32" s="375"/>
      <c r="C32" s="375"/>
      <c r="D32" s="375"/>
      <c r="E32" s="375"/>
      <c r="F32" s="375"/>
      <c r="G32" s="375"/>
      <c r="H32" s="375"/>
      <c r="I32" s="126"/>
    </row>
    <row r="33" spans="1:18" ht="57.75" customHeight="1" x14ac:dyDescent="0.3">
      <c r="A33" s="375" t="s">
        <v>77</v>
      </c>
      <c r="B33" s="375"/>
      <c r="C33" s="375"/>
      <c r="D33" s="375"/>
      <c r="E33" s="375"/>
      <c r="F33" s="375"/>
      <c r="G33" s="375"/>
      <c r="H33" s="375"/>
      <c r="I33" s="126"/>
    </row>
    <row r="34" spans="1:18" ht="15.75" customHeight="1" x14ac:dyDescent="0.3">
      <c r="A34" s="361"/>
      <c r="B34" s="361"/>
      <c r="C34" s="361"/>
      <c r="D34" s="361"/>
      <c r="E34" s="361"/>
      <c r="F34" s="361"/>
      <c r="G34" s="361"/>
      <c r="H34" s="361"/>
      <c r="I34" s="126"/>
    </row>
    <row r="35" spans="1:18" x14ac:dyDescent="0.3">
      <c r="A35" s="345" t="s">
        <v>58</v>
      </c>
      <c r="B35" s="345"/>
      <c r="C35" s="345"/>
      <c r="D35" s="345"/>
      <c r="E35" s="345"/>
      <c r="F35" s="345"/>
      <c r="G35" s="345"/>
      <c r="H35" s="345"/>
    </row>
    <row r="36" spans="1:18" x14ac:dyDescent="0.3">
      <c r="A36" s="360"/>
      <c r="B36" s="360"/>
      <c r="C36" s="360"/>
      <c r="D36" s="360"/>
      <c r="E36" s="360"/>
      <c r="F36" s="360"/>
      <c r="G36" s="360"/>
      <c r="H36" s="360"/>
    </row>
    <row r="37" spans="1:18" ht="21" customHeight="1" x14ac:dyDescent="0.3">
      <c r="A37" s="374" t="s">
        <v>78</v>
      </c>
      <c r="B37" s="374"/>
      <c r="C37" s="374"/>
      <c r="D37" s="374"/>
      <c r="E37" s="374"/>
      <c r="F37" s="374"/>
      <c r="G37" s="374"/>
      <c r="H37" s="374"/>
    </row>
    <row r="38" spans="1:18" ht="15.75" customHeight="1" x14ac:dyDescent="0.3">
      <c r="A38" s="345" t="s">
        <v>59</v>
      </c>
      <c r="B38" s="345"/>
      <c r="C38" s="345"/>
      <c r="D38" s="345"/>
      <c r="E38" s="345"/>
      <c r="F38" s="345"/>
      <c r="G38" s="345"/>
      <c r="H38" s="345"/>
    </row>
    <row r="39" spans="1:18" ht="29.25" customHeight="1" x14ac:dyDescent="0.3">
      <c r="A39" s="374" t="s">
        <v>79</v>
      </c>
      <c r="B39" s="374"/>
      <c r="C39" s="374"/>
      <c r="D39" s="374"/>
      <c r="E39" s="374"/>
      <c r="F39" s="374"/>
      <c r="G39" s="374"/>
      <c r="H39" s="374"/>
    </row>
    <row r="40" spans="1:18" ht="27" customHeight="1" x14ac:dyDescent="0.3">
      <c r="A40" s="374" t="s">
        <v>218</v>
      </c>
      <c r="B40" s="374"/>
      <c r="C40" s="374"/>
      <c r="D40" s="374"/>
      <c r="E40" s="374"/>
      <c r="F40" s="374"/>
      <c r="G40" s="374"/>
      <c r="H40" s="374"/>
    </row>
    <row r="41" spans="1:18" ht="38.25" customHeight="1" x14ac:dyDescent="0.3">
      <c r="A41" s="374" t="s">
        <v>80</v>
      </c>
      <c r="B41" s="374"/>
      <c r="C41" s="374"/>
      <c r="D41" s="374"/>
      <c r="E41" s="374"/>
      <c r="F41" s="374"/>
      <c r="G41" s="374"/>
      <c r="H41" s="374"/>
    </row>
    <row r="42" spans="1:18" ht="30.75" customHeight="1" x14ac:dyDescent="0.3">
      <c r="A42" s="374" t="s">
        <v>81</v>
      </c>
      <c r="B42" s="374"/>
      <c r="C42" s="374"/>
      <c r="D42" s="374"/>
      <c r="E42" s="374"/>
      <c r="F42" s="374"/>
      <c r="G42" s="374"/>
      <c r="H42" s="374"/>
    </row>
    <row r="43" spans="1:18" ht="80.25" customHeight="1" x14ac:dyDescent="0.3">
      <c r="A43" s="374" t="s">
        <v>82</v>
      </c>
      <c r="B43" s="374"/>
      <c r="C43" s="374"/>
      <c r="D43" s="374"/>
      <c r="E43" s="374"/>
      <c r="F43" s="374"/>
      <c r="G43" s="374"/>
      <c r="H43" s="374"/>
    </row>
    <row r="44" spans="1:18" ht="15.75" customHeight="1" x14ac:dyDescent="0.3">
      <c r="A44" s="361"/>
      <c r="B44" s="361"/>
      <c r="C44" s="361"/>
      <c r="D44" s="361"/>
      <c r="E44" s="361"/>
      <c r="F44" s="361"/>
      <c r="G44" s="361"/>
      <c r="H44" s="361"/>
    </row>
    <row r="45" spans="1:18" ht="29.25" customHeight="1" x14ac:dyDescent="0.3">
      <c r="A45" s="345" t="s">
        <v>46</v>
      </c>
      <c r="B45" s="345"/>
      <c r="C45" s="345"/>
      <c r="D45" s="345"/>
      <c r="E45" s="345"/>
      <c r="F45" s="345"/>
      <c r="G45" s="345"/>
      <c r="H45" s="345"/>
      <c r="I45" s="127"/>
      <c r="J45" s="127"/>
      <c r="K45" s="127"/>
      <c r="L45" s="127"/>
      <c r="M45" s="127"/>
      <c r="N45" s="127"/>
      <c r="O45" s="127"/>
      <c r="P45" s="127"/>
      <c r="Q45" s="127"/>
      <c r="R45" s="127"/>
    </row>
    <row r="46" spans="1:18" x14ac:dyDescent="0.3">
      <c r="A46" s="354" t="s">
        <v>159</v>
      </c>
      <c r="B46" s="355"/>
      <c r="C46" s="355"/>
      <c r="D46" s="355"/>
      <c r="E46" s="355"/>
      <c r="F46" s="355"/>
      <c r="G46" s="355"/>
      <c r="H46" s="355"/>
      <c r="I46" s="128"/>
      <c r="J46" s="128"/>
      <c r="K46" s="128"/>
      <c r="L46" s="128"/>
      <c r="M46" s="128"/>
      <c r="N46" s="128"/>
      <c r="O46" s="128"/>
      <c r="P46" s="128"/>
      <c r="Q46" s="128"/>
      <c r="R46" s="128"/>
    </row>
    <row r="47" spans="1:18" x14ac:dyDescent="0.3">
      <c r="A47" s="354" t="s">
        <v>83</v>
      </c>
      <c r="B47" s="355"/>
      <c r="C47" s="355"/>
      <c r="D47" s="355"/>
      <c r="E47" s="355"/>
      <c r="F47" s="355"/>
      <c r="G47" s="355"/>
      <c r="H47" s="355"/>
      <c r="I47" s="128"/>
      <c r="J47" s="128"/>
      <c r="K47" s="128"/>
      <c r="L47" s="128"/>
      <c r="M47" s="128"/>
      <c r="N47" s="128"/>
      <c r="O47" s="128"/>
      <c r="P47" s="128"/>
      <c r="Q47" s="128"/>
      <c r="R47" s="128"/>
    </row>
    <row r="48" spans="1:18" x14ac:dyDescent="0.3">
      <c r="A48" s="357"/>
      <c r="B48" s="357"/>
      <c r="C48" s="357"/>
      <c r="D48" s="357"/>
      <c r="E48" s="357"/>
      <c r="F48" s="357"/>
      <c r="G48" s="357"/>
      <c r="H48" s="357"/>
      <c r="I48" s="129"/>
      <c r="J48" s="129"/>
      <c r="K48" s="128"/>
      <c r="L48" s="128"/>
      <c r="M48" s="128"/>
      <c r="N48" s="128"/>
      <c r="O48" s="128"/>
      <c r="P48" s="128"/>
      <c r="Q48" s="128"/>
      <c r="R48" s="128"/>
    </row>
    <row r="49" spans="1:18" ht="15" customHeight="1" x14ac:dyDescent="0.3">
      <c r="A49" s="345" t="s">
        <v>49</v>
      </c>
      <c r="B49" s="345"/>
      <c r="C49" s="345"/>
      <c r="D49" s="345"/>
      <c r="E49" s="345"/>
      <c r="F49" s="345"/>
      <c r="G49" s="345"/>
      <c r="H49" s="345"/>
      <c r="I49" s="130"/>
      <c r="J49" s="130"/>
      <c r="K49" s="130"/>
      <c r="L49" s="130"/>
      <c r="M49" s="130"/>
      <c r="N49" s="130"/>
      <c r="O49" s="130"/>
      <c r="P49" s="130"/>
      <c r="Q49" s="359"/>
      <c r="R49" s="359"/>
    </row>
    <row r="50" spans="1:18" x14ac:dyDescent="0.3">
      <c r="A50" s="346"/>
      <c r="B50" s="346"/>
      <c r="C50" s="346"/>
      <c r="D50" s="346"/>
      <c r="E50" s="346"/>
      <c r="F50" s="346"/>
      <c r="G50" s="346"/>
      <c r="H50" s="346"/>
      <c r="I50" s="131"/>
      <c r="J50" s="131"/>
      <c r="K50" s="131"/>
      <c r="L50" s="131"/>
      <c r="M50" s="131"/>
      <c r="N50" s="131"/>
      <c r="O50" s="131"/>
      <c r="P50" s="131"/>
      <c r="Q50" s="131"/>
      <c r="R50" s="131"/>
    </row>
    <row r="51" spans="1:18" x14ac:dyDescent="0.3">
      <c r="A51" s="354" t="s">
        <v>84</v>
      </c>
      <c r="B51" s="355"/>
      <c r="C51" s="355"/>
      <c r="D51" s="355"/>
      <c r="E51" s="355"/>
      <c r="F51" s="355"/>
      <c r="G51" s="355"/>
      <c r="H51" s="355"/>
      <c r="I51" s="131"/>
      <c r="J51" s="131"/>
      <c r="K51" s="131"/>
      <c r="L51" s="131"/>
      <c r="M51" s="131"/>
      <c r="N51" s="131"/>
      <c r="O51" s="131"/>
      <c r="P51" s="131"/>
      <c r="Q51" s="131"/>
      <c r="R51" s="131"/>
    </row>
    <row r="52" spans="1:18" x14ac:dyDescent="0.3">
      <c r="A52" s="357"/>
      <c r="B52" s="357"/>
      <c r="C52" s="357"/>
      <c r="D52" s="357"/>
      <c r="E52" s="357"/>
      <c r="F52" s="357"/>
      <c r="G52" s="357"/>
      <c r="H52" s="357"/>
      <c r="I52" s="131"/>
      <c r="J52" s="131"/>
      <c r="K52" s="131"/>
      <c r="L52" s="131"/>
      <c r="M52" s="131"/>
      <c r="N52" s="131"/>
      <c r="O52" s="131"/>
      <c r="P52" s="131"/>
      <c r="Q52" s="131"/>
      <c r="R52" s="131"/>
    </row>
    <row r="53" spans="1:18" s="81" customFormat="1" x14ac:dyDescent="0.3">
      <c r="A53" s="345" t="s">
        <v>48</v>
      </c>
      <c r="B53" s="345"/>
      <c r="C53" s="345"/>
      <c r="D53" s="345"/>
      <c r="E53" s="345"/>
      <c r="F53" s="345"/>
      <c r="G53" s="345"/>
      <c r="H53" s="345"/>
      <c r="I53" s="138"/>
      <c r="J53" s="138"/>
      <c r="K53" s="138"/>
      <c r="L53" s="138"/>
      <c r="M53" s="138"/>
      <c r="N53" s="138"/>
      <c r="O53" s="138"/>
      <c r="P53" s="138"/>
      <c r="Q53" s="138"/>
      <c r="R53" s="138"/>
    </row>
    <row r="54" spans="1:18" s="81" customFormat="1" x14ac:dyDescent="0.3">
      <c r="A54" s="353"/>
      <c r="B54" s="353"/>
      <c r="C54" s="353"/>
      <c r="D54" s="353"/>
      <c r="E54" s="353"/>
      <c r="F54" s="353"/>
      <c r="G54" s="353"/>
      <c r="H54" s="353"/>
      <c r="I54" s="138"/>
      <c r="J54" s="138"/>
      <c r="K54" s="138"/>
      <c r="L54" s="138"/>
      <c r="M54" s="138"/>
      <c r="N54" s="138"/>
      <c r="O54" s="138"/>
      <c r="P54" s="138"/>
      <c r="Q54" s="138"/>
      <c r="R54" s="138"/>
    </row>
    <row r="55" spans="1:18" s="81" customFormat="1" ht="15" customHeight="1" x14ac:dyDescent="0.3">
      <c r="A55" s="354" t="s">
        <v>85</v>
      </c>
      <c r="B55" s="355"/>
      <c r="C55" s="355"/>
      <c r="D55" s="355"/>
      <c r="E55" s="355"/>
      <c r="F55" s="355"/>
      <c r="G55" s="355"/>
      <c r="H55" s="355"/>
      <c r="I55" s="138"/>
      <c r="J55" s="138"/>
      <c r="K55" s="138"/>
      <c r="L55" s="138"/>
      <c r="M55" s="138"/>
      <c r="N55" s="138"/>
      <c r="O55" s="138"/>
      <c r="P55" s="138"/>
      <c r="Q55" s="138"/>
      <c r="R55" s="138"/>
    </row>
    <row r="56" spans="1:18" s="81" customFormat="1" x14ac:dyDescent="0.3">
      <c r="A56" s="353"/>
      <c r="B56" s="353"/>
      <c r="C56" s="353"/>
      <c r="D56" s="353"/>
      <c r="E56" s="353"/>
      <c r="F56" s="353"/>
      <c r="G56" s="353"/>
      <c r="H56" s="353"/>
      <c r="I56" s="138"/>
      <c r="J56" s="138"/>
      <c r="K56" s="138"/>
      <c r="L56" s="138"/>
      <c r="M56" s="138"/>
      <c r="N56" s="138"/>
      <c r="O56" s="138"/>
      <c r="P56" s="138"/>
      <c r="Q56" s="138"/>
      <c r="R56" s="138"/>
    </row>
    <row r="57" spans="1:18" s="81" customFormat="1" ht="29.25" customHeight="1" x14ac:dyDescent="0.3">
      <c r="A57" s="358" t="s">
        <v>130</v>
      </c>
      <c r="B57" s="358"/>
      <c r="C57" s="358"/>
      <c r="D57" s="358"/>
      <c r="E57" s="358"/>
      <c r="F57" s="358"/>
      <c r="G57" s="358"/>
      <c r="H57" s="358"/>
      <c r="I57" s="138"/>
      <c r="J57" s="138"/>
      <c r="K57" s="138"/>
      <c r="L57" s="138"/>
      <c r="M57" s="138"/>
      <c r="N57" s="138"/>
      <c r="O57" s="138"/>
      <c r="P57" s="138"/>
      <c r="Q57" s="138"/>
      <c r="R57" s="138"/>
    </row>
    <row r="58" spans="1:18" s="81" customFormat="1" x14ac:dyDescent="0.3">
      <c r="A58" s="353"/>
      <c r="B58" s="353"/>
      <c r="C58" s="353"/>
      <c r="D58" s="353"/>
      <c r="E58" s="353"/>
      <c r="F58" s="353"/>
      <c r="G58" s="353"/>
      <c r="H58" s="353"/>
      <c r="I58" s="138"/>
      <c r="J58" s="138"/>
      <c r="K58" s="138"/>
      <c r="L58" s="138"/>
      <c r="M58" s="138"/>
      <c r="N58" s="138"/>
      <c r="O58" s="138"/>
      <c r="P58" s="138"/>
      <c r="Q58" s="138"/>
      <c r="R58" s="138"/>
    </row>
    <row r="59" spans="1:18" s="81" customFormat="1" x14ac:dyDescent="0.3">
      <c r="A59" s="345" t="s">
        <v>131</v>
      </c>
      <c r="B59" s="345"/>
      <c r="C59" s="345"/>
      <c r="D59" s="345"/>
      <c r="E59" s="345"/>
      <c r="F59" s="345"/>
      <c r="G59" s="345"/>
      <c r="H59" s="345"/>
      <c r="I59" s="138"/>
      <c r="J59" s="138"/>
      <c r="K59" s="138"/>
      <c r="L59" s="138"/>
      <c r="M59" s="138"/>
      <c r="N59" s="138"/>
      <c r="O59" s="138"/>
      <c r="P59" s="138"/>
      <c r="Q59" s="138"/>
      <c r="R59" s="138"/>
    </row>
    <row r="60" spans="1:18" s="81" customFormat="1" x14ac:dyDescent="0.3">
      <c r="A60" s="353"/>
      <c r="B60" s="353"/>
      <c r="C60" s="353"/>
      <c r="D60" s="353"/>
      <c r="E60" s="353"/>
      <c r="F60" s="353"/>
      <c r="G60" s="353"/>
      <c r="H60" s="353"/>
      <c r="I60" s="138"/>
      <c r="J60" s="138"/>
      <c r="K60" s="138"/>
      <c r="L60" s="138"/>
      <c r="M60" s="138"/>
      <c r="N60" s="138"/>
      <c r="O60" s="138"/>
      <c r="P60" s="138"/>
      <c r="Q60" s="138"/>
      <c r="R60" s="138"/>
    </row>
    <row r="61" spans="1:18" s="81" customFormat="1" x14ac:dyDescent="0.3">
      <c r="A61" s="354" t="s">
        <v>60</v>
      </c>
      <c r="B61" s="355"/>
      <c r="C61" s="355"/>
      <c r="D61" s="355"/>
      <c r="E61" s="355"/>
      <c r="F61" s="355"/>
      <c r="G61" s="355"/>
      <c r="H61" s="355"/>
      <c r="Q61" s="138"/>
      <c r="R61" s="138"/>
    </row>
    <row r="62" spans="1:18" s="81" customFormat="1" x14ac:dyDescent="0.3">
      <c r="A62" s="354" t="s">
        <v>119</v>
      </c>
      <c r="B62" s="355"/>
      <c r="C62" s="355"/>
      <c r="D62" s="355"/>
      <c r="E62" s="355"/>
      <c r="F62" s="355"/>
      <c r="G62" s="355"/>
      <c r="H62" s="355"/>
      <c r="Q62" s="138"/>
      <c r="R62" s="138"/>
    </row>
    <row r="63" spans="1:18" s="81" customFormat="1" x14ac:dyDescent="0.3">
      <c r="A63" s="353"/>
      <c r="B63" s="353"/>
      <c r="C63" s="353"/>
      <c r="D63" s="353"/>
      <c r="E63" s="353"/>
      <c r="F63" s="353"/>
      <c r="G63" s="353"/>
      <c r="H63" s="353"/>
      <c r="I63" s="138"/>
      <c r="J63" s="138"/>
      <c r="K63" s="138"/>
      <c r="L63" s="138"/>
      <c r="M63" s="138"/>
      <c r="N63" s="138"/>
      <c r="O63" s="138"/>
      <c r="P63" s="138"/>
      <c r="Q63" s="138"/>
      <c r="R63" s="138"/>
    </row>
    <row r="64" spans="1:18" s="81" customFormat="1" ht="30.75" customHeight="1" x14ac:dyDescent="0.3">
      <c r="A64" s="345" t="s">
        <v>134</v>
      </c>
      <c r="B64" s="345"/>
      <c r="C64" s="345"/>
      <c r="D64" s="345"/>
      <c r="E64" s="345"/>
      <c r="F64" s="345"/>
      <c r="G64" s="345"/>
      <c r="H64" s="345"/>
      <c r="I64" s="138"/>
      <c r="J64" s="138"/>
      <c r="K64" s="138"/>
      <c r="L64" s="138"/>
      <c r="M64" s="138"/>
      <c r="N64" s="138"/>
      <c r="O64" s="138"/>
      <c r="P64" s="138"/>
      <c r="Q64" s="138"/>
      <c r="R64" s="138"/>
    </row>
    <row r="65" spans="1:18" s="81" customFormat="1" ht="12" customHeight="1" x14ac:dyDescent="0.3">
      <c r="A65" s="353"/>
      <c r="B65" s="353"/>
      <c r="C65" s="353"/>
      <c r="D65" s="353"/>
      <c r="E65" s="353"/>
      <c r="F65" s="353"/>
      <c r="G65" s="353"/>
      <c r="H65" s="353"/>
      <c r="I65" s="138"/>
      <c r="J65" s="138"/>
      <c r="K65" s="138"/>
      <c r="L65" s="138"/>
      <c r="M65" s="138"/>
      <c r="N65" s="138"/>
      <c r="O65" s="138"/>
      <c r="P65" s="138"/>
      <c r="Q65" s="138"/>
      <c r="R65" s="138"/>
    </row>
    <row r="66" spans="1:18" s="81" customFormat="1" ht="15" customHeight="1" x14ac:dyDescent="0.3">
      <c r="A66" s="354" t="s">
        <v>86</v>
      </c>
      <c r="B66" s="355"/>
      <c r="C66" s="355"/>
      <c r="D66" s="355"/>
      <c r="E66" s="355"/>
      <c r="F66" s="355"/>
      <c r="G66" s="355"/>
      <c r="H66" s="355"/>
      <c r="I66" s="138"/>
      <c r="J66" s="138"/>
      <c r="K66" s="138"/>
      <c r="L66" s="138"/>
      <c r="M66" s="138"/>
      <c r="N66" s="138"/>
      <c r="O66" s="138"/>
      <c r="P66" s="138"/>
      <c r="Q66" s="138"/>
      <c r="R66" s="138"/>
    </row>
    <row r="67" spans="1:18" ht="15" customHeight="1" x14ac:dyDescent="0.3">
      <c r="A67" s="357"/>
      <c r="B67" s="357"/>
      <c r="C67" s="357"/>
      <c r="D67" s="357"/>
      <c r="E67" s="357"/>
      <c r="F67" s="357"/>
      <c r="G67" s="357"/>
      <c r="H67" s="357"/>
      <c r="I67" s="131"/>
      <c r="J67" s="131"/>
      <c r="K67" s="131"/>
      <c r="L67" s="131"/>
      <c r="M67" s="131"/>
      <c r="N67" s="131"/>
      <c r="O67" s="131"/>
      <c r="P67" s="131"/>
      <c r="Q67" s="131"/>
      <c r="R67" s="131"/>
    </row>
    <row r="68" spans="1:18" ht="17.25" customHeight="1" x14ac:dyDescent="0.3">
      <c r="A68" s="345" t="s">
        <v>61</v>
      </c>
      <c r="B68" s="345"/>
      <c r="C68" s="345"/>
      <c r="D68" s="345"/>
      <c r="E68" s="345"/>
      <c r="F68" s="345"/>
      <c r="G68" s="345"/>
      <c r="H68" s="345"/>
      <c r="I68" s="131"/>
      <c r="J68" s="131"/>
      <c r="K68" s="131"/>
      <c r="L68" s="131"/>
      <c r="M68" s="131"/>
      <c r="N68" s="131"/>
      <c r="O68" s="131"/>
      <c r="P68" s="131"/>
      <c r="Q68" s="131"/>
      <c r="R68" s="131"/>
    </row>
    <row r="69" spans="1:18" ht="12" customHeight="1" x14ac:dyDescent="0.3">
      <c r="A69" s="356"/>
      <c r="B69" s="356"/>
      <c r="C69" s="356"/>
      <c r="D69" s="356"/>
      <c r="E69" s="356"/>
      <c r="F69" s="356"/>
      <c r="G69" s="356"/>
      <c r="H69" s="356"/>
      <c r="I69" s="131"/>
      <c r="J69" s="131"/>
      <c r="K69" s="131"/>
      <c r="L69" s="131"/>
      <c r="M69" s="131"/>
      <c r="N69" s="131"/>
      <c r="O69" s="131"/>
      <c r="P69" s="131"/>
      <c r="Q69" s="131"/>
      <c r="R69" s="131"/>
    </row>
    <row r="70" spans="1:18" ht="15.75" customHeight="1" x14ac:dyDescent="0.3">
      <c r="A70" s="352" t="s">
        <v>87</v>
      </c>
      <c r="B70" s="349"/>
      <c r="C70" s="349"/>
      <c r="D70" s="349"/>
      <c r="E70" s="349"/>
      <c r="F70" s="349"/>
      <c r="G70" s="349"/>
      <c r="H70" s="349"/>
      <c r="I70" s="131"/>
      <c r="J70" s="131"/>
      <c r="K70" s="132"/>
      <c r="L70" s="132"/>
      <c r="M70" s="132"/>
      <c r="N70" s="132"/>
      <c r="O70" s="132"/>
      <c r="P70" s="132"/>
      <c r="Q70" s="132"/>
      <c r="R70" s="132"/>
    </row>
    <row r="71" spans="1:18" ht="42.75" customHeight="1" x14ac:dyDescent="0.3">
      <c r="A71" s="349" t="s">
        <v>88</v>
      </c>
      <c r="B71" s="349"/>
      <c r="C71" s="349"/>
      <c r="D71" s="349"/>
      <c r="E71" s="349"/>
      <c r="F71" s="349"/>
      <c r="G71" s="349"/>
      <c r="H71" s="349"/>
      <c r="I71" s="128"/>
      <c r="J71" s="128"/>
      <c r="K71" s="133"/>
      <c r="L71" s="133"/>
      <c r="M71" s="133"/>
      <c r="N71" s="133"/>
      <c r="O71" s="133"/>
      <c r="P71" s="133"/>
      <c r="Q71" s="133"/>
      <c r="R71" s="133"/>
    </row>
    <row r="72" spans="1:18" ht="30.75" customHeight="1" x14ac:dyDescent="0.3">
      <c r="A72" s="349" t="s">
        <v>89</v>
      </c>
      <c r="B72" s="349"/>
      <c r="C72" s="349"/>
      <c r="D72" s="349"/>
      <c r="E72" s="349"/>
      <c r="F72" s="349"/>
      <c r="G72" s="349"/>
      <c r="H72" s="349"/>
      <c r="I72" s="128"/>
      <c r="J72" s="128"/>
      <c r="K72" s="133"/>
      <c r="L72" s="133"/>
      <c r="M72" s="133"/>
      <c r="N72" s="133"/>
      <c r="O72" s="133"/>
      <c r="P72" s="133"/>
      <c r="Q72" s="133"/>
      <c r="R72" s="133"/>
    </row>
    <row r="73" spans="1:18" ht="30" customHeight="1" x14ac:dyDescent="0.3">
      <c r="A73" s="349" t="s">
        <v>90</v>
      </c>
      <c r="B73" s="349"/>
      <c r="C73" s="349"/>
      <c r="D73" s="349"/>
      <c r="E73" s="349"/>
      <c r="F73" s="349"/>
      <c r="G73" s="349"/>
      <c r="H73" s="349"/>
      <c r="I73" s="128"/>
      <c r="J73" s="128"/>
      <c r="K73" s="133"/>
      <c r="L73" s="133"/>
      <c r="M73" s="133"/>
      <c r="N73" s="133"/>
      <c r="O73" s="133"/>
      <c r="P73" s="133"/>
      <c r="Q73" s="133"/>
      <c r="R73" s="133"/>
    </row>
    <row r="74" spans="1:18" ht="27.75" customHeight="1" x14ac:dyDescent="0.3">
      <c r="A74" s="349" t="s">
        <v>160</v>
      </c>
      <c r="B74" s="349"/>
      <c r="C74" s="349"/>
      <c r="D74" s="349"/>
      <c r="E74" s="349"/>
      <c r="F74" s="349"/>
      <c r="G74" s="349"/>
      <c r="H74" s="349"/>
      <c r="I74" s="128"/>
      <c r="J74" s="128"/>
      <c r="K74" s="133"/>
      <c r="L74" s="133"/>
      <c r="M74" s="133"/>
      <c r="N74" s="133"/>
      <c r="O74" s="133"/>
      <c r="P74" s="133"/>
      <c r="Q74" s="133"/>
      <c r="R74" s="133"/>
    </row>
    <row r="75" spans="1:18" ht="13.5" customHeight="1" x14ac:dyDescent="0.3">
      <c r="A75" s="350"/>
      <c r="B75" s="350"/>
      <c r="C75" s="350"/>
      <c r="D75" s="350"/>
      <c r="E75" s="350"/>
      <c r="F75" s="350"/>
      <c r="G75" s="350"/>
      <c r="H75" s="350"/>
      <c r="I75" s="129"/>
      <c r="J75" s="129"/>
      <c r="K75" s="133"/>
      <c r="L75" s="133"/>
      <c r="M75" s="133"/>
      <c r="N75" s="133"/>
      <c r="O75" s="133"/>
      <c r="P75" s="133"/>
      <c r="Q75" s="133"/>
      <c r="R75" s="133"/>
    </row>
    <row r="76" spans="1:18" ht="13.5" customHeight="1" x14ac:dyDescent="0.3">
      <c r="A76" s="345" t="s">
        <v>35</v>
      </c>
      <c r="B76" s="345"/>
      <c r="C76" s="345"/>
      <c r="D76" s="345"/>
      <c r="E76" s="345"/>
      <c r="F76" s="345"/>
      <c r="G76" s="345"/>
      <c r="H76" s="345"/>
      <c r="I76" s="129"/>
      <c r="J76" s="129"/>
      <c r="K76" s="133"/>
      <c r="L76" s="133"/>
      <c r="M76" s="133"/>
      <c r="N76" s="133"/>
      <c r="O76" s="133"/>
      <c r="P76" s="133"/>
      <c r="Q76" s="133"/>
      <c r="R76" s="133"/>
    </row>
    <row r="77" spans="1:18" ht="28.5" customHeight="1" x14ac:dyDescent="0.3">
      <c r="A77" s="349" t="s">
        <v>91</v>
      </c>
      <c r="B77" s="349"/>
      <c r="C77" s="349"/>
      <c r="D77" s="349"/>
      <c r="E77" s="349"/>
      <c r="F77" s="349"/>
      <c r="G77" s="349"/>
      <c r="H77" s="349"/>
      <c r="I77" s="128"/>
      <c r="J77" s="128"/>
      <c r="K77" s="133"/>
      <c r="L77" s="133"/>
      <c r="M77" s="133"/>
      <c r="N77" s="133"/>
      <c r="O77" s="133"/>
      <c r="P77" s="133"/>
      <c r="Q77" s="133"/>
      <c r="R77" s="133"/>
    </row>
    <row r="78" spans="1:18" ht="57.75" customHeight="1" x14ac:dyDescent="0.3">
      <c r="A78" s="349" t="s">
        <v>92</v>
      </c>
      <c r="B78" s="349"/>
      <c r="C78" s="349"/>
      <c r="D78" s="349"/>
      <c r="E78" s="349"/>
      <c r="F78" s="349"/>
      <c r="G78" s="349"/>
      <c r="H78" s="349"/>
      <c r="I78" s="128"/>
      <c r="J78" s="128"/>
      <c r="K78" s="133"/>
      <c r="L78" s="133"/>
      <c r="M78" s="133"/>
      <c r="N78" s="133"/>
      <c r="O78" s="133"/>
      <c r="P78" s="133"/>
      <c r="Q78" s="133"/>
      <c r="R78" s="133"/>
    </row>
    <row r="79" spans="1:18" ht="17.25" customHeight="1" x14ac:dyDescent="0.3">
      <c r="A79" s="351"/>
      <c r="B79" s="351"/>
      <c r="C79" s="351"/>
      <c r="D79" s="351"/>
      <c r="E79" s="351"/>
      <c r="F79" s="351"/>
      <c r="G79" s="351"/>
      <c r="H79" s="351"/>
      <c r="I79" s="129"/>
      <c r="J79" s="129"/>
      <c r="K79" s="133"/>
      <c r="L79" s="133"/>
      <c r="M79" s="133"/>
      <c r="N79" s="133"/>
      <c r="O79" s="133"/>
      <c r="P79" s="133"/>
      <c r="Q79" s="133"/>
      <c r="R79" s="133"/>
    </row>
    <row r="80" spans="1:18" x14ac:dyDescent="0.3">
      <c r="A80" s="345" t="s">
        <v>54</v>
      </c>
      <c r="B80" s="345"/>
      <c r="C80" s="345"/>
      <c r="D80" s="345"/>
      <c r="E80" s="345"/>
      <c r="F80" s="345"/>
      <c r="G80" s="345"/>
      <c r="H80" s="345"/>
      <c r="I80" s="130"/>
      <c r="J80" s="130"/>
      <c r="K80" s="127"/>
      <c r="L80" s="127"/>
      <c r="M80" s="127"/>
      <c r="N80" s="127"/>
      <c r="O80" s="127"/>
      <c r="P80" s="127"/>
      <c r="Q80" s="127"/>
      <c r="R80" s="127"/>
    </row>
    <row r="81" spans="1:18" ht="13.5" customHeight="1" x14ac:dyDescent="0.3">
      <c r="A81" s="346"/>
      <c r="B81" s="346"/>
      <c r="C81" s="346"/>
      <c r="D81" s="346"/>
      <c r="E81" s="346"/>
      <c r="F81" s="346"/>
      <c r="G81" s="346"/>
      <c r="H81" s="346"/>
      <c r="I81" s="131"/>
      <c r="J81" s="131"/>
      <c r="K81" s="127"/>
      <c r="L81" s="127"/>
      <c r="M81" s="127"/>
      <c r="N81" s="127"/>
      <c r="O81" s="127"/>
      <c r="P81" s="127"/>
      <c r="Q81" s="127"/>
      <c r="R81" s="127"/>
    </row>
    <row r="82" spans="1:18" ht="15.75" customHeight="1" x14ac:dyDescent="0.3">
      <c r="A82" s="347" t="s">
        <v>161</v>
      </c>
      <c r="B82" s="348"/>
      <c r="C82" s="348"/>
      <c r="D82" s="348"/>
      <c r="E82" s="348"/>
      <c r="F82" s="348"/>
      <c r="G82" s="348"/>
      <c r="H82" s="348"/>
      <c r="I82" s="133"/>
      <c r="J82" s="133"/>
      <c r="K82" s="133"/>
      <c r="L82" s="133"/>
      <c r="M82" s="133"/>
      <c r="N82" s="133"/>
      <c r="O82" s="133"/>
      <c r="P82" s="133"/>
      <c r="Q82" s="133"/>
      <c r="R82" s="133"/>
    </row>
    <row r="83" spans="1:18" x14ac:dyDescent="0.3">
      <c r="A83" s="144"/>
      <c r="B83" s="144"/>
      <c r="C83" s="144"/>
      <c r="D83" s="144"/>
      <c r="E83" s="144"/>
      <c r="F83" s="144"/>
      <c r="G83" s="144"/>
      <c r="H83" s="144"/>
      <c r="I83" s="134"/>
      <c r="J83" s="134"/>
      <c r="K83" s="134"/>
      <c r="L83" s="134"/>
      <c r="M83" s="134"/>
      <c r="N83" s="134"/>
      <c r="O83" s="134"/>
      <c r="P83" s="134"/>
      <c r="Q83" s="134"/>
      <c r="R83" s="134"/>
    </row>
    <row r="84" spans="1:18" x14ac:dyDescent="0.3">
      <c r="A84" s="345" t="s">
        <v>188</v>
      </c>
      <c r="B84" s="345"/>
      <c r="C84" s="345"/>
      <c r="D84" s="345"/>
      <c r="E84" s="345"/>
      <c r="F84" s="345"/>
      <c r="G84" s="345"/>
      <c r="H84" s="345"/>
    </row>
    <row r="86" spans="1:18" ht="17.25" customHeight="1" x14ac:dyDescent="0.3">
      <c r="A86" s="376" t="s">
        <v>209</v>
      </c>
      <c r="B86" s="376"/>
      <c r="C86" s="376"/>
      <c r="D86" s="376"/>
      <c r="E86" s="376"/>
      <c r="F86" s="376"/>
      <c r="G86" s="376"/>
      <c r="H86" s="376"/>
      <c r="I86" s="135"/>
      <c r="J86" s="135"/>
      <c r="K86" s="135"/>
      <c r="L86" s="135"/>
      <c r="M86" s="135"/>
      <c r="N86" s="135"/>
      <c r="O86" s="135"/>
      <c r="P86" s="135"/>
    </row>
    <row r="87" spans="1:18" ht="15.75" customHeight="1" x14ac:dyDescent="0.3">
      <c r="A87" s="376" t="s">
        <v>210</v>
      </c>
      <c r="B87" s="376"/>
      <c r="C87" s="376"/>
      <c r="D87" s="376"/>
      <c r="E87" s="376"/>
      <c r="F87" s="376"/>
      <c r="G87" s="376"/>
      <c r="H87" s="376"/>
      <c r="I87" s="135"/>
      <c r="J87" s="135"/>
      <c r="K87" s="135"/>
      <c r="L87" s="135"/>
      <c r="M87" s="135"/>
      <c r="N87" s="135"/>
      <c r="O87" s="135"/>
      <c r="P87" s="135"/>
    </row>
    <row r="88" spans="1:18" ht="20.25" customHeight="1" x14ac:dyDescent="0.3">
      <c r="A88" s="376" t="s">
        <v>212</v>
      </c>
      <c r="B88" s="376"/>
      <c r="C88" s="376"/>
      <c r="D88" s="376"/>
      <c r="E88" s="376"/>
      <c r="F88" s="376"/>
      <c r="G88" s="376"/>
      <c r="H88" s="376"/>
      <c r="I88" s="136"/>
      <c r="J88" s="136"/>
      <c r="K88" s="136"/>
      <c r="L88" s="136"/>
      <c r="M88" s="136"/>
      <c r="N88" s="136"/>
      <c r="O88" s="136"/>
      <c r="P88" s="136"/>
    </row>
    <row r="89" spans="1:18" ht="51.75" customHeight="1" x14ac:dyDescent="0.3">
      <c r="I89" s="137"/>
      <c r="J89" s="137"/>
      <c r="K89" s="137"/>
      <c r="L89" s="137"/>
      <c r="M89" s="137"/>
      <c r="N89" s="137"/>
      <c r="O89" s="137"/>
      <c r="P89" s="137"/>
    </row>
  </sheetData>
  <mergeCells count="87"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Q49:R49"/>
    <mergeCell ref="A36:H36"/>
    <mergeCell ref="A38:H38"/>
    <mergeCell ref="A45:H45"/>
    <mergeCell ref="A44:H44"/>
    <mergeCell ref="A46:H46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65:H65"/>
    <mergeCell ref="A66:H66"/>
    <mergeCell ref="A68:H68"/>
    <mergeCell ref="A69:H69"/>
    <mergeCell ref="A67:H67"/>
    <mergeCell ref="A73:H73"/>
    <mergeCell ref="A74:H74"/>
    <mergeCell ref="A77:H77"/>
    <mergeCell ref="A70:H70"/>
    <mergeCell ref="A71:H71"/>
    <mergeCell ref="A72:H72"/>
    <mergeCell ref="A80:H80"/>
    <mergeCell ref="A81:H81"/>
    <mergeCell ref="A82:H82"/>
    <mergeCell ref="A78:H78"/>
    <mergeCell ref="A75:H75"/>
    <mergeCell ref="A76:H76"/>
    <mergeCell ref="A79:H7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R25"/>
  <sheetViews>
    <sheetView topLeftCell="D10" zoomScaleNormal="100" workbookViewId="0">
      <selection activeCell="I18" sqref="I18"/>
    </sheetView>
  </sheetViews>
  <sheetFormatPr defaultRowHeight="14.4" x14ac:dyDescent="0.3"/>
  <cols>
    <col min="1" max="1" width="8.5546875" customWidth="1"/>
    <col min="2" max="2" width="15.44140625" customWidth="1"/>
    <col min="3" max="3" width="17.33203125" customWidth="1"/>
    <col min="4" max="4" width="42.44140625" bestFit="1" customWidth="1"/>
    <col min="5" max="5" width="21" customWidth="1"/>
    <col min="6" max="6" width="25.109375" customWidth="1"/>
    <col min="7" max="7" width="15.88671875" customWidth="1"/>
    <col min="8" max="8" width="15" customWidth="1"/>
    <col min="9" max="9" width="15.88671875" customWidth="1"/>
    <col min="10" max="11" width="14.21875" bestFit="1" customWidth="1"/>
    <col min="12" max="12" width="12.109375" customWidth="1"/>
    <col min="18" max="18" width="18.5546875" customWidth="1"/>
  </cols>
  <sheetData>
    <row r="2" spans="1:18" ht="15" x14ac:dyDescent="0.3">
      <c r="A2" s="10" t="s">
        <v>1</v>
      </c>
      <c r="B2" s="11"/>
      <c r="C2" s="11"/>
      <c r="D2" s="12"/>
      <c r="E2" s="12"/>
      <c r="F2" s="12"/>
      <c r="G2" s="12"/>
      <c r="H2" s="12"/>
      <c r="I2" s="12"/>
    </row>
    <row r="3" spans="1:18" x14ac:dyDescent="0.3">
      <c r="E3" t="s">
        <v>323</v>
      </c>
      <c r="I3" s="92"/>
    </row>
    <row r="4" spans="1:18" s="98" customFormat="1" ht="16.2" thickBot="1" x14ac:dyDescent="0.4">
      <c r="A4" s="99"/>
      <c r="B4" s="99"/>
      <c r="C4" s="99"/>
      <c r="D4" s="99"/>
      <c r="E4" s="99"/>
      <c r="M4" s="261" t="s">
        <v>183</v>
      </c>
      <c r="N4" s="261"/>
    </row>
    <row r="5" spans="1:18" s="98" customFormat="1" ht="36" customHeight="1" x14ac:dyDescent="0.35">
      <c r="A5" s="262" t="s">
        <v>168</v>
      </c>
      <c r="B5" s="264" t="s">
        <v>198</v>
      </c>
      <c r="C5" s="264"/>
      <c r="D5" s="264" t="s">
        <v>215</v>
      </c>
      <c r="E5" s="264" t="s">
        <v>324</v>
      </c>
      <c r="F5" s="266" t="s">
        <v>214</v>
      </c>
      <c r="G5" s="268" t="s">
        <v>163</v>
      </c>
      <c r="H5" s="270" t="s">
        <v>164</v>
      </c>
      <c r="I5" s="270" t="s">
        <v>169</v>
      </c>
      <c r="J5" s="270" t="s">
        <v>170</v>
      </c>
      <c r="K5" s="274" t="s">
        <v>171</v>
      </c>
      <c r="L5" s="268" t="s">
        <v>162</v>
      </c>
      <c r="M5" s="270" t="s">
        <v>166</v>
      </c>
      <c r="N5" s="276" t="s">
        <v>167</v>
      </c>
      <c r="O5" s="278" t="s">
        <v>202</v>
      </c>
      <c r="P5" s="279"/>
      <c r="Q5" s="280"/>
      <c r="R5" s="272" t="s">
        <v>172</v>
      </c>
    </row>
    <row r="6" spans="1:18" s="98" customFormat="1" ht="66.75" customHeight="1" x14ac:dyDescent="0.3">
      <c r="A6" s="263"/>
      <c r="B6" s="139" t="s">
        <v>204</v>
      </c>
      <c r="C6" s="139" t="s">
        <v>205</v>
      </c>
      <c r="D6" s="265"/>
      <c r="E6" s="265"/>
      <c r="F6" s="267"/>
      <c r="G6" s="269"/>
      <c r="H6" s="271"/>
      <c r="I6" s="271"/>
      <c r="J6" s="271"/>
      <c r="K6" s="275"/>
      <c r="L6" s="269"/>
      <c r="M6" s="271"/>
      <c r="N6" s="277"/>
      <c r="O6" s="140" t="s">
        <v>165</v>
      </c>
      <c r="P6" s="140" t="s">
        <v>166</v>
      </c>
      <c r="Q6" s="141" t="s">
        <v>167</v>
      </c>
      <c r="R6" s="273"/>
    </row>
    <row r="7" spans="1:18" s="98" customFormat="1" ht="24.75" customHeight="1" x14ac:dyDescent="0.3">
      <c r="A7" s="142">
        <v>1</v>
      </c>
      <c r="B7" s="139">
        <v>2</v>
      </c>
      <c r="C7" s="142">
        <v>3</v>
      </c>
      <c r="D7" s="139">
        <v>4</v>
      </c>
      <c r="E7" s="142">
        <v>5</v>
      </c>
      <c r="F7" s="139">
        <v>6</v>
      </c>
      <c r="G7" s="142">
        <v>7</v>
      </c>
      <c r="H7" s="139">
        <v>8</v>
      </c>
      <c r="I7" s="142">
        <v>9</v>
      </c>
      <c r="J7" s="139">
        <v>10</v>
      </c>
      <c r="K7" s="142">
        <v>11</v>
      </c>
      <c r="L7" s="139">
        <v>12</v>
      </c>
      <c r="M7" s="142">
        <v>13</v>
      </c>
      <c r="N7" s="139">
        <v>14</v>
      </c>
      <c r="O7" s="142">
        <v>15</v>
      </c>
      <c r="P7" s="139">
        <v>16</v>
      </c>
      <c r="Q7" s="142">
        <v>17</v>
      </c>
      <c r="R7" s="139">
        <v>18</v>
      </c>
    </row>
    <row r="8" spans="1:18" s="98" customFormat="1" ht="37.200000000000003" customHeight="1" x14ac:dyDescent="0.3">
      <c r="A8" s="238" t="s">
        <v>203</v>
      </c>
      <c r="B8" s="239">
        <v>1049</v>
      </c>
      <c r="C8" s="14">
        <v>11004</v>
      </c>
      <c r="D8" s="19" t="s">
        <v>365</v>
      </c>
      <c r="E8" s="19" t="s">
        <v>325</v>
      </c>
      <c r="F8" s="19" t="s">
        <v>326</v>
      </c>
      <c r="G8" s="225">
        <f>+'Հ3 Մաս 4'!J13</f>
        <v>310690.68</v>
      </c>
      <c r="H8" s="225">
        <f>+'Հ3 Մաս 4'!K13</f>
        <v>305043.20000000001</v>
      </c>
      <c r="I8" s="225">
        <f>+'Հ3 Մաս 4'!L13</f>
        <v>317753.3</v>
      </c>
      <c r="J8" s="225">
        <f>+'Հ3 Մաս 4'!M13</f>
        <v>317753.3</v>
      </c>
      <c r="K8" s="225">
        <f>+'Հ3 Մաս 4'!N13</f>
        <v>317753.3</v>
      </c>
      <c r="L8" s="14">
        <v>0</v>
      </c>
      <c r="M8" s="14">
        <v>0</v>
      </c>
      <c r="N8" s="14">
        <v>0</v>
      </c>
      <c r="O8" s="14">
        <v>0</v>
      </c>
      <c r="P8" s="14">
        <v>0</v>
      </c>
      <c r="Q8" s="14">
        <v>0</v>
      </c>
      <c r="R8" s="14"/>
    </row>
    <row r="9" spans="1:18" s="98" customFormat="1" ht="54" x14ac:dyDescent="0.3">
      <c r="A9" s="14"/>
      <c r="B9" s="14">
        <v>1049</v>
      </c>
      <c r="C9" s="150">
        <v>11007</v>
      </c>
      <c r="D9" s="19" t="s">
        <v>241</v>
      </c>
      <c r="E9" s="19" t="s">
        <v>325</v>
      </c>
      <c r="F9" s="19" t="s">
        <v>326</v>
      </c>
      <c r="G9" s="196">
        <f>'Հ7 Ձև2'!K9</f>
        <v>130085.80839999994</v>
      </c>
      <c r="H9" s="196">
        <f>'Հ7 Ձև2'!N9</f>
        <v>124860.2</v>
      </c>
      <c r="I9" s="196">
        <f>'Հ7 Ձև2'!T9</f>
        <v>18160.436999999998</v>
      </c>
      <c r="J9" s="196">
        <f>+'Հ7 Ձև2'!W9</f>
        <v>0</v>
      </c>
      <c r="K9" s="196">
        <f>+'Հ7 Ձև2'!Z9</f>
        <v>0</v>
      </c>
      <c r="L9" s="14"/>
      <c r="M9" s="14"/>
      <c r="N9" s="14"/>
      <c r="O9" s="14"/>
      <c r="P9" s="14"/>
      <c r="Q9" s="14"/>
      <c r="R9" s="14"/>
    </row>
    <row r="10" spans="1:18" s="98" customFormat="1" ht="32.4" x14ac:dyDescent="0.3">
      <c r="A10" s="14"/>
      <c r="B10" s="14">
        <v>1049</v>
      </c>
      <c r="C10" s="150">
        <v>11009</v>
      </c>
      <c r="D10" s="19" t="s">
        <v>231</v>
      </c>
      <c r="E10" s="19" t="s">
        <v>325</v>
      </c>
      <c r="F10" s="19" t="s">
        <v>326</v>
      </c>
      <c r="G10" s="196">
        <f>'Հ7 Ձև2'!K10</f>
        <v>521089.4</v>
      </c>
      <c r="H10" s="196">
        <f>'Հ7 Ձև2'!N10</f>
        <v>238300</v>
      </c>
      <c r="I10" s="228">
        <f>'Հ7 Ձև2'!T10</f>
        <v>82790.256600000008</v>
      </c>
      <c r="J10" s="228">
        <f>+'Հ7 Ձև2'!W10</f>
        <v>3300.0050000000006</v>
      </c>
      <c r="K10" s="196">
        <f>+'Հ7 Ձև2'!Z10</f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14"/>
    </row>
    <row r="11" spans="1:18" s="98" customFormat="1" ht="32.4" x14ac:dyDescent="0.3">
      <c r="A11" s="14"/>
      <c r="B11" s="14">
        <v>1049</v>
      </c>
      <c r="C11" s="150">
        <v>11012</v>
      </c>
      <c r="D11" s="19" t="s">
        <v>294</v>
      </c>
      <c r="E11" s="19" t="s">
        <v>325</v>
      </c>
      <c r="F11" s="19" t="s">
        <v>326</v>
      </c>
      <c r="G11" s="196">
        <f>'Հ7 Ձև2'!K11</f>
        <v>4267472.7040999997</v>
      </c>
      <c r="H11" s="196">
        <f>'Հ7 Ձև2'!N11</f>
        <v>646510</v>
      </c>
      <c r="I11" s="196">
        <f>'Հ7 Ձև2'!T11</f>
        <v>297675</v>
      </c>
      <c r="J11" s="196">
        <f>+'Հ7 Ձև2'!W11</f>
        <v>248351.08620000002</v>
      </c>
      <c r="K11" s="196">
        <f>+'Հ7 Ձև2'!Z11</f>
        <v>99000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14"/>
    </row>
    <row r="12" spans="1:18" s="98" customFormat="1" ht="54" x14ac:dyDescent="0.3">
      <c r="A12" s="14"/>
      <c r="B12" s="14">
        <v>1049</v>
      </c>
      <c r="C12" s="150">
        <v>11016</v>
      </c>
      <c r="D12" s="19" t="s">
        <v>320</v>
      </c>
      <c r="E12" s="19" t="s">
        <v>325</v>
      </c>
      <c r="F12" s="19" t="s">
        <v>326</v>
      </c>
      <c r="G12" s="196">
        <f>'Հ7 Ձև2'!K12</f>
        <v>628947.9</v>
      </c>
      <c r="H12" s="196">
        <f>'Հ7 Ձև2'!N12</f>
        <v>814604.9</v>
      </c>
      <c r="I12" s="196">
        <f>'Հ7 Ձև2'!T12</f>
        <v>432862.5</v>
      </c>
      <c r="J12" s="196">
        <f>+'Հ7 Ձև2'!W12</f>
        <v>124062.5</v>
      </c>
      <c r="K12" s="196">
        <f>+'Հ7 Ձև2'!Z12</f>
        <v>148175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/>
    </row>
    <row r="13" spans="1:18" s="98" customFormat="1" ht="43.8" customHeight="1" x14ac:dyDescent="0.3">
      <c r="A13" s="14"/>
      <c r="B13" s="14">
        <v>1049</v>
      </c>
      <c r="C13" s="150">
        <v>11017</v>
      </c>
      <c r="D13" s="19" t="s">
        <v>299</v>
      </c>
      <c r="E13" s="19" t="s">
        <v>325</v>
      </c>
      <c r="F13" s="19" t="s">
        <v>326</v>
      </c>
      <c r="G13" s="196">
        <f>'Հ7 Ձև2'!K13</f>
        <v>1300584.1000000001</v>
      </c>
      <c r="H13" s="196">
        <f>'Հ7 Ձև2'!N13</f>
        <v>213260</v>
      </c>
      <c r="I13" s="196">
        <f>'Հ7 Ձև2'!T13</f>
        <v>102714.97500000001</v>
      </c>
      <c r="J13" s="196">
        <f>+'Հ7 Ձև2'!W13</f>
        <v>159615.495</v>
      </c>
      <c r="K13" s="196">
        <f>+'Հ7 Ձև2'!Z13</f>
        <v>216376.9425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/>
    </row>
    <row r="14" spans="1:18" s="98" customFormat="1" ht="78.599999999999994" customHeight="1" x14ac:dyDescent="0.3">
      <c r="A14" s="14"/>
      <c r="B14" s="14">
        <v>1049</v>
      </c>
      <c r="C14" s="19">
        <v>11020</v>
      </c>
      <c r="D14" s="19" t="s">
        <v>301</v>
      </c>
      <c r="E14" s="19" t="s">
        <v>327</v>
      </c>
      <c r="F14" s="19" t="s">
        <v>326</v>
      </c>
      <c r="G14" s="196">
        <f>'Հ7 Ձև2'!K14</f>
        <v>0</v>
      </c>
      <c r="H14" s="196">
        <f>'Հ7 Ձև2'!N14</f>
        <v>100000</v>
      </c>
      <c r="I14" s="196">
        <f>'Հ7 Ձև2'!T14</f>
        <v>700000</v>
      </c>
      <c r="J14" s="196">
        <f>+'Հ7 Ձև2'!W14</f>
        <v>300000</v>
      </c>
      <c r="K14" s="196">
        <f>+'Հ7 Ձև2'!Z14</f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/>
    </row>
    <row r="15" spans="1:18" s="98" customFormat="1" ht="43.2" x14ac:dyDescent="0.3">
      <c r="A15" s="14"/>
      <c r="B15" s="14">
        <v>1049</v>
      </c>
      <c r="C15" s="19">
        <v>21004</v>
      </c>
      <c r="D15" s="19" t="s">
        <v>272</v>
      </c>
      <c r="E15" s="19" t="s">
        <v>328</v>
      </c>
      <c r="F15" s="19" t="s">
        <v>329</v>
      </c>
      <c r="G15" s="196">
        <f>'Հ7 Ձև2'!K15</f>
        <v>463903.51696929999</v>
      </c>
      <c r="H15" s="196">
        <f>'Հ7 Ձև2'!N15</f>
        <v>1000533.2</v>
      </c>
      <c r="I15" s="196">
        <f>'Հ7 Ձև2'!T15</f>
        <v>174800</v>
      </c>
      <c r="J15" s="196">
        <f>+'Հ7 Ձև2'!W15</f>
        <v>0</v>
      </c>
      <c r="K15" s="196">
        <f>+'Հ7 Ձև2'!Z15</f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14"/>
    </row>
    <row r="16" spans="1:18" s="98" customFormat="1" ht="43.2" x14ac:dyDescent="0.3">
      <c r="A16" s="14"/>
      <c r="B16" s="14">
        <v>1049</v>
      </c>
      <c r="C16" s="19">
        <v>21006</v>
      </c>
      <c r="D16" s="19" t="s">
        <v>234</v>
      </c>
      <c r="E16" s="14" t="s">
        <v>330</v>
      </c>
      <c r="F16" s="14" t="s">
        <v>329</v>
      </c>
      <c r="G16" s="196">
        <f>'Հ7 Ձև2'!K16</f>
        <v>12039678.1374528</v>
      </c>
      <c r="H16" s="196">
        <f>'Հ7 Ձև2'!N16</f>
        <v>3757815.2</v>
      </c>
      <c r="I16" s="196">
        <f>'Հ7 Ձև2'!T16</f>
        <v>3075543.7553999992</v>
      </c>
      <c r="J16" s="196">
        <f>+'Հ7 Ձև2'!W16</f>
        <v>0</v>
      </c>
      <c r="K16" s="196">
        <f>+'Հ7 Ձև2'!Z16</f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14"/>
    </row>
    <row r="17" spans="1:18" s="98" customFormat="1" ht="43.2" x14ac:dyDescent="0.3">
      <c r="A17" s="14"/>
      <c r="B17" s="14">
        <v>1049</v>
      </c>
      <c r="C17" s="19">
        <v>21009</v>
      </c>
      <c r="D17" s="19" t="s">
        <v>486</v>
      </c>
      <c r="E17" s="14" t="s">
        <v>331</v>
      </c>
      <c r="F17" s="14" t="s">
        <v>329</v>
      </c>
      <c r="G17" s="196">
        <f>'Հ7 Ձև2'!K17</f>
        <v>1615396.9384000001</v>
      </c>
      <c r="H17" s="196">
        <f>'Հ7 Ձև2'!N17</f>
        <v>1246490.8</v>
      </c>
      <c r="I17" s="196">
        <f>'Հ7 Ձև2'!T17</f>
        <v>1346500</v>
      </c>
      <c r="J17" s="196">
        <f>+'Հ7 Ձև2'!W17</f>
        <v>0</v>
      </c>
      <c r="K17" s="196">
        <f>+'Հ7 Ձև2'!Z17</f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/>
    </row>
    <row r="18" spans="1:18" s="98" customFormat="1" ht="43.2" x14ac:dyDescent="0.3">
      <c r="A18" s="14"/>
      <c r="B18" s="14">
        <v>1049</v>
      </c>
      <c r="C18" s="19">
        <v>21012</v>
      </c>
      <c r="D18" s="168" t="s">
        <v>306</v>
      </c>
      <c r="E18" s="14" t="s">
        <v>328</v>
      </c>
      <c r="F18" s="14" t="s">
        <v>329</v>
      </c>
      <c r="G18" s="196">
        <f>'Հ7 Ձև2'!K18</f>
        <v>6744476.1698000003</v>
      </c>
      <c r="H18" s="196">
        <f>'Հ7 Ձև2'!N18</f>
        <v>10585075.199999999</v>
      </c>
      <c r="I18" s="196">
        <f>'Հ7 Ձև2'!T18</f>
        <v>34331040</v>
      </c>
      <c r="J18" s="196">
        <f>+'Հ7 Ձև2'!W18</f>
        <v>12516525</v>
      </c>
      <c r="K18" s="196">
        <f>+'Հ7 Ձև2'!Z18</f>
        <v>10927125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/>
    </row>
    <row r="19" spans="1:18" s="98" customFormat="1" ht="45" customHeight="1" x14ac:dyDescent="0.3">
      <c r="A19" s="14"/>
      <c r="B19" s="14">
        <v>1049</v>
      </c>
      <c r="C19" s="19">
        <v>21018</v>
      </c>
      <c r="D19" s="19" t="s">
        <v>308</v>
      </c>
      <c r="E19" s="14" t="s">
        <v>332</v>
      </c>
      <c r="F19" s="14" t="s">
        <v>329</v>
      </c>
      <c r="G19" s="196">
        <f>'Հ7 Ձև2'!K19</f>
        <v>0</v>
      </c>
      <c r="H19" s="196">
        <f>'Հ7 Ձև2'!N19</f>
        <v>7707355.7000000002</v>
      </c>
      <c r="I19" s="196">
        <f>'Հ7 Ձև2'!T19</f>
        <v>18119160</v>
      </c>
      <c r="J19" s="196">
        <f>+'Հ7 Ձև2'!W19</f>
        <v>27139005</v>
      </c>
      <c r="K19" s="196">
        <f>+'Հ7 Ձև2'!Z19</f>
        <v>35443620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/>
    </row>
    <row r="20" spans="1:18" x14ac:dyDescent="0.3">
      <c r="G20" s="154"/>
      <c r="H20" s="154"/>
      <c r="I20" s="154"/>
      <c r="J20" s="154"/>
      <c r="K20" s="154"/>
    </row>
    <row r="21" spans="1:18" x14ac:dyDescent="0.3">
      <c r="G21" s="154"/>
      <c r="H21" s="154"/>
      <c r="I21" s="154"/>
      <c r="J21" s="154"/>
      <c r="K21" s="154"/>
    </row>
    <row r="22" spans="1:18" x14ac:dyDescent="0.3">
      <c r="B22" s="97" t="s">
        <v>224</v>
      </c>
    </row>
    <row r="24" spans="1:18" x14ac:dyDescent="0.3">
      <c r="G24" s="155"/>
      <c r="H24" s="155"/>
      <c r="I24" s="155"/>
      <c r="J24" s="155"/>
      <c r="K24" s="155"/>
    </row>
    <row r="25" spans="1:18" x14ac:dyDescent="0.3">
      <c r="G25" s="154"/>
      <c r="H25" s="154"/>
      <c r="I25" s="154"/>
      <c r="J25" s="154"/>
      <c r="K25" s="154"/>
    </row>
  </sheetData>
  <mergeCells count="16">
    <mergeCell ref="R5:R6"/>
    <mergeCell ref="J5:J6"/>
    <mergeCell ref="K5:K6"/>
    <mergeCell ref="L5:L6"/>
    <mergeCell ref="M5:M6"/>
    <mergeCell ref="N5:N6"/>
    <mergeCell ref="O5:Q5"/>
    <mergeCell ref="M4:N4"/>
    <mergeCell ref="A5:A6"/>
    <mergeCell ref="B5:C5"/>
    <mergeCell ref="D5:D6"/>
    <mergeCell ref="E5:E6"/>
    <mergeCell ref="F5:F6"/>
    <mergeCell ref="G5:G6"/>
    <mergeCell ref="H5:H6"/>
    <mergeCell ref="I5:I6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0"/>
  <sheetViews>
    <sheetView topLeftCell="D19" zoomScaleNormal="100" workbookViewId="0">
      <selection activeCell="J10" sqref="J10:J11"/>
    </sheetView>
  </sheetViews>
  <sheetFormatPr defaultRowHeight="14.4" x14ac:dyDescent="0.3"/>
  <cols>
    <col min="1" max="1" width="4.109375" customWidth="1"/>
    <col min="2" max="2" width="11.33203125" customWidth="1"/>
    <col min="3" max="3" width="9.5546875" customWidth="1"/>
    <col min="4" max="4" width="40.33203125" customWidth="1"/>
    <col min="5" max="5" width="34.44140625" customWidth="1"/>
    <col min="6" max="6" width="12.88671875" customWidth="1"/>
    <col min="7" max="7" width="12.6640625" customWidth="1"/>
    <col min="8" max="8" width="13" customWidth="1"/>
    <col min="9" max="9" width="13.6640625" customWidth="1"/>
    <col min="10" max="10" width="68.44140625" customWidth="1"/>
    <col min="11" max="11" width="33.44140625" customWidth="1"/>
    <col min="12" max="12" width="19.109375" customWidth="1"/>
  </cols>
  <sheetData>
    <row r="1" spans="1:12" ht="15" x14ac:dyDescent="0.3">
      <c r="A1" s="4" t="s">
        <v>45</v>
      </c>
    </row>
    <row r="3" spans="1:12" ht="15" x14ac:dyDescent="0.3">
      <c r="A3" s="10" t="s">
        <v>3</v>
      </c>
      <c r="B3" s="11"/>
      <c r="C3" s="11"/>
      <c r="D3" s="11"/>
      <c r="E3" s="12"/>
      <c r="F3" s="12"/>
      <c r="G3" s="12"/>
      <c r="H3" s="10"/>
      <c r="I3" s="10"/>
      <c r="J3" s="10"/>
      <c r="K3" s="10"/>
      <c r="L3" s="10"/>
    </row>
    <row r="5" spans="1:12" x14ac:dyDescent="0.3">
      <c r="B5" s="281" t="s">
        <v>95</v>
      </c>
      <c r="C5" s="281" t="s">
        <v>96</v>
      </c>
      <c r="D5" s="281" t="s">
        <v>97</v>
      </c>
      <c r="E5" s="281" t="s">
        <v>4</v>
      </c>
      <c r="F5" s="281"/>
      <c r="G5" s="281"/>
      <c r="H5" s="281"/>
      <c r="I5" s="281"/>
      <c r="J5" s="282" t="s">
        <v>152</v>
      </c>
      <c r="K5" s="281" t="s">
        <v>103</v>
      </c>
      <c r="L5" s="281" t="s">
        <v>138</v>
      </c>
    </row>
    <row r="6" spans="1:12" x14ac:dyDescent="0.3">
      <c r="B6" s="281"/>
      <c r="C6" s="281"/>
      <c r="D6" s="281"/>
      <c r="E6" s="283" t="s">
        <v>98</v>
      </c>
      <c r="F6" s="284" t="s">
        <v>5</v>
      </c>
      <c r="G6" s="284"/>
      <c r="H6" s="284" t="s">
        <v>6</v>
      </c>
      <c r="I6" s="284"/>
      <c r="J6" s="282"/>
      <c r="K6" s="281"/>
      <c r="L6" s="281"/>
    </row>
    <row r="7" spans="1:12" ht="24.75" customHeight="1" x14ac:dyDescent="0.3">
      <c r="B7" s="281"/>
      <c r="C7" s="281"/>
      <c r="D7" s="281"/>
      <c r="E7" s="283"/>
      <c r="F7" s="17" t="s">
        <v>99</v>
      </c>
      <c r="G7" s="17" t="s">
        <v>100</v>
      </c>
      <c r="H7" s="17" t="s">
        <v>101</v>
      </c>
      <c r="I7" s="17" t="s">
        <v>102</v>
      </c>
      <c r="J7" s="282"/>
      <c r="K7" s="281"/>
      <c r="L7" s="281"/>
    </row>
    <row r="8" spans="1:12" ht="58.2" customHeight="1" x14ac:dyDescent="0.3">
      <c r="B8" s="285" t="s">
        <v>333</v>
      </c>
      <c r="C8" s="285">
        <v>1049</v>
      </c>
      <c r="D8" s="19" t="s">
        <v>241</v>
      </c>
      <c r="E8" s="287" t="s">
        <v>345</v>
      </c>
      <c r="F8" s="289">
        <v>0.9</v>
      </c>
      <c r="G8" s="287">
        <v>2024</v>
      </c>
      <c r="H8" s="285"/>
      <c r="I8" s="285">
        <v>2026</v>
      </c>
      <c r="J8" s="291" t="s">
        <v>355</v>
      </c>
      <c r="K8" s="285" t="s">
        <v>356</v>
      </c>
      <c r="L8" s="285" t="s">
        <v>336</v>
      </c>
    </row>
    <row r="9" spans="1:12" ht="58.2" customHeight="1" x14ac:dyDescent="0.3">
      <c r="B9" s="286"/>
      <c r="C9" s="286"/>
      <c r="D9" s="19" t="s">
        <v>272</v>
      </c>
      <c r="E9" s="288"/>
      <c r="F9" s="288"/>
      <c r="G9" s="288"/>
      <c r="H9" s="290"/>
      <c r="I9" s="290"/>
      <c r="J9" s="291"/>
      <c r="K9" s="286"/>
      <c r="L9" s="290"/>
    </row>
    <row r="10" spans="1:12" ht="58.2" customHeight="1" x14ac:dyDescent="0.3">
      <c r="B10" s="286"/>
      <c r="C10" s="286"/>
      <c r="D10" s="19" t="s">
        <v>231</v>
      </c>
      <c r="E10" s="287" t="s">
        <v>334</v>
      </c>
      <c r="F10" s="289" t="s">
        <v>347</v>
      </c>
      <c r="G10" s="287">
        <v>2023</v>
      </c>
      <c r="H10" s="287" t="s">
        <v>350</v>
      </c>
      <c r="I10" s="287">
        <v>2026</v>
      </c>
      <c r="J10" s="291" t="s">
        <v>335</v>
      </c>
      <c r="K10" s="286"/>
      <c r="L10" s="285" t="s">
        <v>336</v>
      </c>
    </row>
    <row r="11" spans="1:12" ht="58.2" customHeight="1" x14ac:dyDescent="0.3">
      <c r="B11" s="286"/>
      <c r="C11" s="286"/>
      <c r="D11" s="19" t="s">
        <v>234</v>
      </c>
      <c r="E11" s="288"/>
      <c r="F11" s="288"/>
      <c r="G11" s="288"/>
      <c r="H11" s="288"/>
      <c r="I11" s="288"/>
      <c r="J11" s="291"/>
      <c r="K11" s="286"/>
      <c r="L11" s="290"/>
    </row>
    <row r="12" spans="1:12" ht="76.8" customHeight="1" x14ac:dyDescent="0.3">
      <c r="B12" s="286"/>
      <c r="C12" s="286"/>
      <c r="D12" s="19" t="s">
        <v>317</v>
      </c>
      <c r="E12" s="16" t="s">
        <v>346</v>
      </c>
      <c r="F12" s="199">
        <v>0.05</v>
      </c>
      <c r="G12" s="16">
        <v>2023</v>
      </c>
      <c r="H12" s="16" t="s">
        <v>349</v>
      </c>
      <c r="I12" s="16">
        <v>2026</v>
      </c>
      <c r="J12" s="16" t="s">
        <v>348</v>
      </c>
      <c r="K12" s="286"/>
      <c r="L12" s="197" t="s">
        <v>336</v>
      </c>
    </row>
    <row r="13" spans="1:12" ht="58.2" customHeight="1" x14ac:dyDescent="0.3">
      <c r="B13" s="286"/>
      <c r="C13" s="286"/>
      <c r="D13" s="19" t="s">
        <v>294</v>
      </c>
      <c r="E13" s="287" t="s">
        <v>337</v>
      </c>
      <c r="F13" s="287">
        <v>0</v>
      </c>
      <c r="G13" s="287">
        <v>2023</v>
      </c>
      <c r="H13" s="287" t="s">
        <v>338</v>
      </c>
      <c r="I13" s="287">
        <v>2029</v>
      </c>
      <c r="J13" s="287" t="s">
        <v>339</v>
      </c>
      <c r="K13" s="286"/>
      <c r="L13" s="285" t="s">
        <v>336</v>
      </c>
    </row>
    <row r="14" spans="1:12" ht="49.2" customHeight="1" x14ac:dyDescent="0.3">
      <c r="B14" s="286"/>
      <c r="C14" s="286"/>
      <c r="D14" s="168" t="s">
        <v>306</v>
      </c>
      <c r="E14" s="288"/>
      <c r="F14" s="288"/>
      <c r="G14" s="288"/>
      <c r="H14" s="288"/>
      <c r="I14" s="288"/>
      <c r="J14" s="288"/>
      <c r="K14" s="286"/>
      <c r="L14" s="290"/>
    </row>
    <row r="15" spans="1:12" ht="112.8" customHeight="1" x14ac:dyDescent="0.3">
      <c r="B15" s="286"/>
      <c r="C15" s="286"/>
      <c r="D15" s="19" t="s">
        <v>320</v>
      </c>
      <c r="E15" s="19" t="s">
        <v>351</v>
      </c>
      <c r="F15" s="199">
        <v>0.05</v>
      </c>
      <c r="G15" s="198">
        <v>2026</v>
      </c>
      <c r="H15" s="198" t="s">
        <v>352</v>
      </c>
      <c r="I15" s="198">
        <v>2035</v>
      </c>
      <c r="J15" s="19" t="s">
        <v>353</v>
      </c>
      <c r="K15" s="286"/>
      <c r="L15" s="15" t="s">
        <v>336</v>
      </c>
    </row>
    <row r="16" spans="1:12" ht="58.2" customHeight="1" x14ac:dyDescent="0.3">
      <c r="B16" s="286"/>
      <c r="C16" s="286"/>
      <c r="D16" s="19" t="s">
        <v>299</v>
      </c>
      <c r="E16" s="287" t="s">
        <v>340</v>
      </c>
      <c r="F16" s="287">
        <v>0</v>
      </c>
      <c r="G16" s="287">
        <v>2023</v>
      </c>
      <c r="H16" s="287" t="s">
        <v>341</v>
      </c>
      <c r="I16" s="287">
        <v>2032</v>
      </c>
      <c r="J16" s="287" t="s">
        <v>342</v>
      </c>
      <c r="K16" s="286"/>
      <c r="L16" s="285" t="s">
        <v>336</v>
      </c>
    </row>
    <row r="17" spans="2:12" ht="91.2" customHeight="1" x14ac:dyDescent="0.3">
      <c r="B17" s="286"/>
      <c r="C17" s="286"/>
      <c r="D17" s="19" t="s">
        <v>308</v>
      </c>
      <c r="E17" s="288"/>
      <c r="F17" s="288"/>
      <c r="G17" s="288"/>
      <c r="H17" s="288"/>
      <c r="I17" s="288"/>
      <c r="J17" s="288"/>
      <c r="K17" s="286"/>
      <c r="L17" s="290"/>
    </row>
    <row r="18" spans="2:12" ht="58.2" customHeight="1" x14ac:dyDescent="0.3">
      <c r="B18" s="286"/>
      <c r="C18" s="286"/>
      <c r="D18" s="19" t="s">
        <v>301</v>
      </c>
      <c r="E18" s="16" t="s">
        <v>343</v>
      </c>
      <c r="F18" s="16">
        <v>0</v>
      </c>
      <c r="G18" s="16">
        <v>2025</v>
      </c>
      <c r="H18" s="16" t="s">
        <v>344</v>
      </c>
      <c r="I18" s="16">
        <v>2031</v>
      </c>
      <c r="J18" s="16" t="s">
        <v>354</v>
      </c>
      <c r="K18" s="290"/>
      <c r="L18" s="15" t="s">
        <v>336</v>
      </c>
    </row>
    <row r="19" spans="2:12" ht="20.25" customHeight="1" x14ac:dyDescent="0.3"/>
    <row r="20" spans="2:12" x14ac:dyDescent="0.3">
      <c r="C20" s="97" t="s">
        <v>225</v>
      </c>
    </row>
  </sheetData>
  <mergeCells count="41">
    <mergeCell ref="L13:L14"/>
    <mergeCell ref="E16:E17"/>
    <mergeCell ref="F16:F17"/>
    <mergeCell ref="G16:G17"/>
    <mergeCell ref="H16:H17"/>
    <mergeCell ref="I16:I17"/>
    <mergeCell ref="J16:J17"/>
    <mergeCell ref="L16:L17"/>
    <mergeCell ref="K8:K18"/>
    <mergeCell ref="H13:H14"/>
    <mergeCell ref="G13:G14"/>
    <mergeCell ref="I13:I14"/>
    <mergeCell ref="J13:J14"/>
    <mergeCell ref="H10:H11"/>
    <mergeCell ref="I10:I11"/>
    <mergeCell ref="J10:J11"/>
    <mergeCell ref="L10:L11"/>
    <mergeCell ref="H8:H9"/>
    <mergeCell ref="I8:I9"/>
    <mergeCell ref="L8:L9"/>
    <mergeCell ref="J8:J9"/>
    <mergeCell ref="B8:B18"/>
    <mergeCell ref="C8:C18"/>
    <mergeCell ref="E8:E9"/>
    <mergeCell ref="F8:F9"/>
    <mergeCell ref="G8:G9"/>
    <mergeCell ref="E10:E11"/>
    <mergeCell ref="F10:F11"/>
    <mergeCell ref="G10:G11"/>
    <mergeCell ref="E13:E14"/>
    <mergeCell ref="F13:F14"/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/>
  </sheetPr>
  <dimension ref="A1:N162"/>
  <sheetViews>
    <sheetView topLeftCell="A109" workbookViewId="0">
      <selection activeCell="I139" sqref="I139"/>
    </sheetView>
  </sheetViews>
  <sheetFormatPr defaultColWidth="9.109375" defaultRowHeight="11.4" x14ac:dyDescent="0.2"/>
  <cols>
    <col min="1" max="1" width="9.109375" style="201"/>
    <col min="2" max="2" width="10.109375" style="201" customWidth="1"/>
    <col min="3" max="3" width="14.33203125" style="201" customWidth="1"/>
    <col min="4" max="4" width="12.6640625" style="201" customWidth="1"/>
    <col min="5" max="5" width="12" style="201" customWidth="1"/>
    <col min="6" max="6" width="9.109375" style="201"/>
    <col min="7" max="7" width="10.44140625" style="201" customWidth="1"/>
    <col min="8" max="8" width="15.5546875" style="201" customWidth="1"/>
    <col min="9" max="9" width="30.109375" style="201" customWidth="1"/>
    <col min="10" max="10" width="12.44140625" style="201" customWidth="1"/>
    <col min="11" max="11" width="11.88671875" style="201" customWidth="1"/>
    <col min="12" max="12" width="12.6640625" style="201" customWidth="1"/>
    <col min="13" max="13" width="13" style="201" customWidth="1"/>
    <col min="14" max="14" width="12.21875" style="201" customWidth="1"/>
    <col min="15" max="16384" width="9.109375" style="201"/>
  </cols>
  <sheetData>
    <row r="1" spans="1:14" x14ac:dyDescent="0.2">
      <c r="A1" s="200" t="s">
        <v>135</v>
      </c>
    </row>
    <row r="3" spans="1:14" ht="13.2" x14ac:dyDescent="0.2">
      <c r="A3" s="202" t="s">
        <v>357</v>
      </c>
      <c r="B3" s="203"/>
      <c r="C3" s="204"/>
      <c r="D3" s="204"/>
      <c r="E3" s="204"/>
      <c r="F3" s="205"/>
      <c r="G3" s="205"/>
      <c r="H3" s="205"/>
      <c r="I3" s="202"/>
    </row>
    <row r="6" spans="1:14" ht="13.2" x14ac:dyDescent="0.2">
      <c r="A6" s="200" t="s">
        <v>358</v>
      </c>
      <c r="C6" s="206"/>
      <c r="D6" s="206"/>
      <c r="E6" s="206"/>
      <c r="F6" s="206"/>
      <c r="G6" s="206"/>
      <c r="H6" s="206"/>
      <c r="I6" s="206"/>
    </row>
    <row r="7" spans="1:14" x14ac:dyDescent="0.2">
      <c r="J7" s="207"/>
    </row>
    <row r="8" spans="1:14" s="208" customFormat="1" ht="13.5" customHeight="1" x14ac:dyDescent="0.3">
      <c r="A8" s="294" t="s">
        <v>189</v>
      </c>
      <c r="B8" s="294" t="s">
        <v>190</v>
      </c>
      <c r="C8" s="294"/>
      <c r="D8" s="294" t="s">
        <v>359</v>
      </c>
      <c r="E8" s="294"/>
      <c r="F8" s="294"/>
      <c r="G8" s="294"/>
      <c r="H8" s="294" t="s">
        <v>199</v>
      </c>
      <c r="I8" s="294" t="s">
        <v>360</v>
      </c>
      <c r="J8" s="294" t="s">
        <v>42</v>
      </c>
      <c r="K8" s="294"/>
      <c r="L8" s="294"/>
      <c r="M8" s="294"/>
      <c r="N8" s="294"/>
    </row>
    <row r="9" spans="1:14" s="208" customFormat="1" ht="93.75" customHeight="1" x14ac:dyDescent="0.3">
      <c r="A9" s="294"/>
      <c r="B9" s="209" t="s">
        <v>191</v>
      </c>
      <c r="C9" s="209" t="s">
        <v>192</v>
      </c>
      <c r="D9" s="209" t="s">
        <v>193</v>
      </c>
      <c r="E9" s="209" t="s">
        <v>192</v>
      </c>
      <c r="F9" s="209" t="s">
        <v>194</v>
      </c>
      <c r="G9" s="209" t="s">
        <v>361</v>
      </c>
      <c r="H9" s="294"/>
      <c r="I9" s="294"/>
      <c r="J9" s="209" t="s">
        <v>195</v>
      </c>
      <c r="K9" s="209" t="s">
        <v>220</v>
      </c>
      <c r="L9" s="209" t="s">
        <v>17</v>
      </c>
      <c r="M9" s="209" t="s">
        <v>116</v>
      </c>
      <c r="N9" s="209" t="s">
        <v>137</v>
      </c>
    </row>
    <row r="10" spans="1:14" s="208" customFormat="1" ht="0.75" customHeight="1" x14ac:dyDescent="0.3">
      <c r="A10" s="300" t="s">
        <v>196</v>
      </c>
      <c r="B10" s="300"/>
      <c r="C10" s="300"/>
      <c r="D10" s="300"/>
      <c r="E10" s="300"/>
      <c r="F10" s="300"/>
      <c r="G10" s="300"/>
      <c r="H10" s="300"/>
      <c r="I10" s="300"/>
      <c r="J10" s="210">
        <v>0</v>
      </c>
      <c r="K10" s="210">
        <v>0</v>
      </c>
      <c r="L10" s="210">
        <v>0</v>
      </c>
      <c r="M10" s="210">
        <v>0</v>
      </c>
    </row>
    <row r="11" spans="1:14" s="208" customFormat="1" ht="23.25" customHeight="1" x14ac:dyDescent="0.2">
      <c r="A11" s="211" t="s">
        <v>362</v>
      </c>
      <c r="B11" s="212"/>
      <c r="C11" s="212"/>
      <c r="D11" s="212"/>
      <c r="E11" s="212"/>
      <c r="F11" s="212"/>
      <c r="G11" s="212"/>
      <c r="H11" s="212"/>
      <c r="I11" s="212"/>
      <c r="J11" s="213"/>
      <c r="K11" s="213"/>
      <c r="L11" s="213"/>
      <c r="M11" s="213"/>
      <c r="N11" s="213"/>
    </row>
    <row r="12" spans="1:14" s="208" customFormat="1" ht="23.25" customHeight="1" x14ac:dyDescent="0.2">
      <c r="A12" s="214"/>
      <c r="B12" s="213">
        <v>1049</v>
      </c>
      <c r="C12" s="212" t="s">
        <v>363</v>
      </c>
      <c r="D12" s="212"/>
      <c r="E12" s="212"/>
      <c r="F12" s="212"/>
      <c r="G12" s="212"/>
      <c r="H12" s="212"/>
      <c r="I12" s="212"/>
      <c r="J12" s="213"/>
      <c r="K12" s="213"/>
      <c r="L12" s="213"/>
      <c r="M12" s="213"/>
      <c r="N12" s="213"/>
    </row>
    <row r="13" spans="1:14" s="208" customFormat="1" ht="23.25" customHeight="1" x14ac:dyDescent="0.2">
      <c r="A13" s="292"/>
      <c r="B13" s="293"/>
      <c r="C13" s="293"/>
      <c r="D13" s="213" t="s">
        <v>364</v>
      </c>
      <c r="E13" s="297" t="s">
        <v>366</v>
      </c>
      <c r="F13" s="298"/>
      <c r="G13" s="298"/>
      <c r="H13" s="298"/>
      <c r="I13" s="299"/>
      <c r="J13" s="219">
        <v>310690.68</v>
      </c>
      <c r="K13" s="219">
        <v>305043.20000000001</v>
      </c>
      <c r="L13" s="219">
        <v>317753.3</v>
      </c>
      <c r="M13" s="219">
        <v>317753.3</v>
      </c>
      <c r="N13" s="219">
        <v>317753.3</v>
      </c>
    </row>
    <row r="14" spans="1:14" s="208" customFormat="1" ht="23.25" customHeight="1" x14ac:dyDescent="0.2">
      <c r="A14" s="214"/>
      <c r="B14" s="215"/>
      <c r="C14" s="215"/>
      <c r="D14" s="215"/>
      <c r="E14" s="215"/>
      <c r="F14" s="295" t="s">
        <v>367</v>
      </c>
      <c r="G14" s="295"/>
      <c r="H14" s="295"/>
      <c r="I14" s="295"/>
      <c r="J14" s="295"/>
      <c r="K14" s="295"/>
      <c r="L14" s="295"/>
      <c r="M14" s="295"/>
      <c r="N14" s="295"/>
    </row>
    <row r="15" spans="1:14" s="208" customFormat="1" ht="23.25" customHeight="1" x14ac:dyDescent="0.2">
      <c r="A15" s="214"/>
      <c r="B15" s="215"/>
      <c r="C15" s="215"/>
      <c r="D15" s="215"/>
      <c r="E15" s="215"/>
      <c r="F15" s="215"/>
      <c r="G15" s="296" t="s">
        <v>368</v>
      </c>
      <c r="H15" s="296"/>
      <c r="I15" s="296"/>
      <c r="J15" s="296"/>
      <c r="K15" s="296"/>
      <c r="L15" s="296"/>
      <c r="M15" s="296"/>
      <c r="N15" s="296"/>
    </row>
    <row r="16" spans="1:14" s="208" customFormat="1" ht="23.25" customHeight="1" x14ac:dyDescent="0.2">
      <c r="A16" s="214"/>
      <c r="B16" s="215"/>
      <c r="C16" s="215"/>
      <c r="D16" s="215"/>
      <c r="E16" s="215"/>
      <c r="F16" s="215"/>
      <c r="G16" s="215"/>
      <c r="H16" s="295" t="s">
        <v>369</v>
      </c>
      <c r="I16" s="295"/>
      <c r="J16" s="295"/>
      <c r="K16" s="295"/>
      <c r="L16" s="295"/>
      <c r="M16" s="295"/>
      <c r="N16" s="295"/>
    </row>
    <row r="17" spans="1:14" s="208" customFormat="1" ht="34.799999999999997" customHeight="1" x14ac:dyDescent="0.2">
      <c r="A17" s="214"/>
      <c r="B17" s="215"/>
      <c r="C17" s="215"/>
      <c r="D17" s="215"/>
      <c r="E17" s="215"/>
      <c r="F17" s="215"/>
      <c r="G17" s="215"/>
      <c r="H17" s="215"/>
      <c r="I17" s="216" t="s">
        <v>370</v>
      </c>
      <c r="J17" s="217" t="s">
        <v>382</v>
      </c>
      <c r="K17" s="217" t="s">
        <v>382</v>
      </c>
      <c r="L17" s="217" t="s">
        <v>382</v>
      </c>
      <c r="M17" s="217" t="s">
        <v>382</v>
      </c>
      <c r="N17" s="217" t="s">
        <v>382</v>
      </c>
    </row>
    <row r="18" spans="1:14" s="208" customFormat="1" ht="34.200000000000003" customHeight="1" x14ac:dyDescent="0.2">
      <c r="A18" s="214"/>
      <c r="B18" s="215"/>
      <c r="C18" s="215"/>
      <c r="D18" s="215"/>
      <c r="E18" s="215"/>
      <c r="F18" s="215"/>
      <c r="G18" s="215"/>
      <c r="H18" s="215"/>
      <c r="I18" s="216" t="s">
        <v>371</v>
      </c>
      <c r="J18" s="217" t="s">
        <v>383</v>
      </c>
      <c r="K18" s="217" t="s">
        <v>383</v>
      </c>
      <c r="L18" s="217" t="s">
        <v>383</v>
      </c>
      <c r="M18" s="217" t="s">
        <v>383</v>
      </c>
      <c r="N18" s="217" t="s">
        <v>383</v>
      </c>
    </row>
    <row r="19" spans="1:14" s="208" customFormat="1" ht="43.2" customHeight="1" x14ac:dyDescent="0.2">
      <c r="A19" s="214"/>
      <c r="B19" s="215"/>
      <c r="C19" s="215"/>
      <c r="D19" s="215"/>
      <c r="E19" s="215"/>
      <c r="F19" s="215"/>
      <c r="G19" s="215"/>
      <c r="H19" s="215"/>
      <c r="I19" s="216" t="s">
        <v>372</v>
      </c>
      <c r="J19" s="217" t="s">
        <v>384</v>
      </c>
      <c r="K19" s="217" t="s">
        <v>384</v>
      </c>
      <c r="L19" s="217" t="s">
        <v>384</v>
      </c>
      <c r="M19" s="217" t="s">
        <v>384</v>
      </c>
      <c r="N19" s="217" t="s">
        <v>384</v>
      </c>
    </row>
    <row r="20" spans="1:14" s="208" customFormat="1" ht="58.2" customHeight="1" x14ac:dyDescent="0.2">
      <c r="A20" s="214"/>
      <c r="B20" s="215"/>
      <c r="C20" s="215"/>
      <c r="D20" s="215"/>
      <c r="E20" s="215"/>
      <c r="F20" s="215"/>
      <c r="G20" s="215"/>
      <c r="H20" s="215"/>
      <c r="I20" s="216" t="s">
        <v>373</v>
      </c>
      <c r="J20" s="217" t="s">
        <v>385</v>
      </c>
      <c r="K20" s="217" t="s">
        <v>385</v>
      </c>
      <c r="L20" s="217" t="s">
        <v>385</v>
      </c>
      <c r="M20" s="217" t="s">
        <v>385</v>
      </c>
      <c r="N20" s="217" t="s">
        <v>385</v>
      </c>
    </row>
    <row r="21" spans="1:14" s="208" customFormat="1" ht="51.6" customHeight="1" x14ac:dyDescent="0.2">
      <c r="A21" s="214"/>
      <c r="B21" s="215"/>
      <c r="C21" s="215"/>
      <c r="D21" s="215"/>
      <c r="E21" s="215"/>
      <c r="F21" s="215"/>
      <c r="G21" s="215"/>
      <c r="H21" s="215"/>
      <c r="I21" s="216" t="s">
        <v>374</v>
      </c>
      <c r="J21" s="217" t="s">
        <v>386</v>
      </c>
      <c r="K21" s="217" t="s">
        <v>394</v>
      </c>
      <c r="L21" s="217" t="s">
        <v>395</v>
      </c>
      <c r="M21" s="217" t="s">
        <v>396</v>
      </c>
      <c r="N21" s="217" t="s">
        <v>397</v>
      </c>
    </row>
    <row r="22" spans="1:14" s="208" customFormat="1" ht="72" customHeight="1" x14ac:dyDescent="0.2">
      <c r="A22" s="214"/>
      <c r="B22" s="215"/>
      <c r="C22" s="215"/>
      <c r="D22" s="215"/>
      <c r="E22" s="215"/>
      <c r="F22" s="215"/>
      <c r="G22" s="215"/>
      <c r="H22" s="215"/>
      <c r="I22" s="216" t="s">
        <v>375</v>
      </c>
      <c r="J22" s="217" t="s">
        <v>387</v>
      </c>
      <c r="K22" s="217" t="s">
        <v>387</v>
      </c>
      <c r="L22" s="217" t="s">
        <v>387</v>
      </c>
      <c r="M22" s="217" t="s">
        <v>387</v>
      </c>
      <c r="N22" s="217" t="s">
        <v>387</v>
      </c>
    </row>
    <row r="23" spans="1:14" s="208" customFormat="1" ht="93.6" customHeight="1" x14ac:dyDescent="0.2">
      <c r="A23" s="214"/>
      <c r="B23" s="215"/>
      <c r="C23" s="215"/>
      <c r="D23" s="215"/>
      <c r="E23" s="215"/>
      <c r="F23" s="215"/>
      <c r="G23" s="215"/>
      <c r="H23" s="215"/>
      <c r="I23" s="216" t="s">
        <v>376</v>
      </c>
      <c r="J23" s="217" t="s">
        <v>388</v>
      </c>
      <c r="K23" s="217" t="s">
        <v>388</v>
      </c>
      <c r="L23" s="217" t="s">
        <v>388</v>
      </c>
      <c r="M23" s="217" t="s">
        <v>388</v>
      </c>
      <c r="N23" s="217" t="s">
        <v>388</v>
      </c>
    </row>
    <row r="24" spans="1:14" s="208" customFormat="1" ht="93.6" customHeight="1" x14ac:dyDescent="0.2">
      <c r="A24" s="214"/>
      <c r="B24" s="215"/>
      <c r="C24" s="215"/>
      <c r="D24" s="215"/>
      <c r="E24" s="215"/>
      <c r="F24" s="215"/>
      <c r="G24" s="215"/>
      <c r="H24" s="215"/>
      <c r="I24" s="216" t="s">
        <v>377</v>
      </c>
      <c r="J24" s="217" t="s">
        <v>389</v>
      </c>
      <c r="K24" s="217" t="s">
        <v>389</v>
      </c>
      <c r="L24" s="217" t="s">
        <v>389</v>
      </c>
      <c r="M24" s="217" t="s">
        <v>389</v>
      </c>
      <c r="N24" s="217" t="s">
        <v>389</v>
      </c>
    </row>
    <row r="25" spans="1:14" s="208" customFormat="1" ht="57" customHeight="1" x14ac:dyDescent="0.2">
      <c r="A25" s="214"/>
      <c r="B25" s="215"/>
      <c r="C25" s="215"/>
      <c r="D25" s="215"/>
      <c r="E25" s="215"/>
      <c r="F25" s="215"/>
      <c r="G25" s="215"/>
      <c r="H25" s="215"/>
      <c r="I25" s="216" t="s">
        <v>378</v>
      </c>
      <c r="J25" s="217" t="s">
        <v>390</v>
      </c>
      <c r="K25" s="217" t="s">
        <v>390</v>
      </c>
      <c r="L25" s="217" t="s">
        <v>390</v>
      </c>
      <c r="M25" s="217" t="s">
        <v>390</v>
      </c>
      <c r="N25" s="217" t="s">
        <v>390</v>
      </c>
    </row>
    <row r="26" spans="1:14" s="208" customFormat="1" ht="75" customHeight="1" x14ac:dyDescent="0.2">
      <c r="A26" s="214"/>
      <c r="B26" s="215"/>
      <c r="C26" s="215"/>
      <c r="D26" s="215"/>
      <c r="E26" s="215"/>
      <c r="F26" s="215"/>
      <c r="G26" s="215"/>
      <c r="H26" s="215"/>
      <c r="I26" s="216" t="s">
        <v>379</v>
      </c>
      <c r="J26" s="217" t="s">
        <v>391</v>
      </c>
      <c r="K26" s="217" t="s">
        <v>391</v>
      </c>
      <c r="L26" s="217" t="s">
        <v>391</v>
      </c>
      <c r="M26" s="217" t="s">
        <v>391</v>
      </c>
      <c r="N26" s="217" t="s">
        <v>391</v>
      </c>
    </row>
    <row r="27" spans="1:14" s="208" customFormat="1" ht="54.6" customHeight="1" x14ac:dyDescent="0.2">
      <c r="A27" s="214"/>
      <c r="B27" s="215"/>
      <c r="C27" s="215"/>
      <c r="D27" s="215"/>
      <c r="E27" s="215"/>
      <c r="F27" s="215"/>
      <c r="G27" s="215"/>
      <c r="H27" s="215"/>
      <c r="I27" s="216" t="s">
        <v>380</v>
      </c>
      <c r="J27" s="217" t="s">
        <v>392</v>
      </c>
      <c r="K27" s="217" t="s">
        <v>392</v>
      </c>
      <c r="L27" s="217" t="s">
        <v>392</v>
      </c>
      <c r="M27" s="217" t="s">
        <v>392</v>
      </c>
      <c r="N27" s="217" t="s">
        <v>392</v>
      </c>
    </row>
    <row r="28" spans="1:14" s="208" customFormat="1" ht="93.6" customHeight="1" x14ac:dyDescent="0.2">
      <c r="A28" s="214"/>
      <c r="B28" s="215"/>
      <c r="C28" s="215"/>
      <c r="D28" s="215"/>
      <c r="E28" s="215"/>
      <c r="F28" s="215"/>
      <c r="G28" s="215"/>
      <c r="H28" s="215"/>
      <c r="I28" s="216" t="s">
        <v>381</v>
      </c>
      <c r="J28" s="217" t="s">
        <v>393</v>
      </c>
      <c r="K28" s="217" t="s">
        <v>393</v>
      </c>
      <c r="L28" s="217" t="s">
        <v>393</v>
      </c>
      <c r="M28" s="217" t="s">
        <v>393</v>
      </c>
      <c r="N28" s="217" t="s">
        <v>393</v>
      </c>
    </row>
    <row r="29" spans="1:14" s="208" customFormat="1" ht="19.5" customHeight="1" x14ac:dyDescent="0.3"/>
    <row r="30" spans="1:14" s="208" customFormat="1" ht="26.25" customHeight="1" x14ac:dyDescent="0.2">
      <c r="A30" s="214"/>
      <c r="B30" s="213" t="s">
        <v>398</v>
      </c>
      <c r="C30" s="301" t="str">
        <f>+'Հ3 Մաս 2'!D9</f>
        <v>Ասիական զարգացման բանկի աջակցությամբ իրականացվող Հայաստան-Վրաստան սահմանային տարածաշրջանային ճանապարհի (Մ6 Վանաձոր-Բագրատաշեն) բարելավման ծրագրի համակարգում և կառավարում</v>
      </c>
      <c r="D30" s="301"/>
      <c r="E30" s="301"/>
      <c r="F30" s="301"/>
      <c r="G30" s="301"/>
      <c r="H30" s="301"/>
      <c r="I30" s="301"/>
      <c r="J30" s="221">
        <f>'Հ3 Մաս 2'!G9</f>
        <v>130085.80839999994</v>
      </c>
      <c r="K30" s="221">
        <f>'Հ3 Մաս 2'!H9</f>
        <v>124860.2</v>
      </c>
      <c r="L30" s="221">
        <f>'Հ3 Մաս 2'!I9</f>
        <v>18160.436999999998</v>
      </c>
      <c r="M30" s="221">
        <f>'Հ3 Մաս 2'!J9</f>
        <v>0</v>
      </c>
      <c r="N30" s="221">
        <f>'Հ3 Մաս 2'!K9</f>
        <v>0</v>
      </c>
    </row>
    <row r="31" spans="1:14" s="208" customFormat="1" ht="26.25" customHeight="1" x14ac:dyDescent="0.2">
      <c r="A31" s="214"/>
      <c r="B31" s="215"/>
      <c r="C31" s="215"/>
      <c r="D31" s="215"/>
      <c r="E31" s="215"/>
      <c r="F31" s="302" t="s">
        <v>399</v>
      </c>
      <c r="G31" s="302"/>
      <c r="H31" s="302"/>
      <c r="I31" s="302"/>
      <c r="J31" s="302"/>
      <c r="K31" s="302"/>
      <c r="L31" s="302"/>
      <c r="M31" s="302"/>
      <c r="N31" s="302"/>
    </row>
    <row r="32" spans="1:14" s="208" customFormat="1" ht="26.25" customHeight="1" x14ac:dyDescent="0.2">
      <c r="A32" s="214"/>
      <c r="B32" s="215"/>
      <c r="C32" s="215"/>
      <c r="D32" s="215"/>
      <c r="E32" s="215"/>
      <c r="F32" s="215"/>
      <c r="G32" s="302" t="s">
        <v>404</v>
      </c>
      <c r="H32" s="302"/>
      <c r="I32" s="302"/>
      <c r="J32" s="302"/>
      <c r="K32" s="302"/>
      <c r="L32" s="302"/>
      <c r="M32" s="302"/>
      <c r="N32" s="302"/>
    </row>
    <row r="33" spans="1:14" s="208" customFormat="1" ht="26.25" customHeight="1" x14ac:dyDescent="0.2">
      <c r="A33" s="214"/>
      <c r="B33" s="215"/>
      <c r="C33" s="215"/>
      <c r="D33" s="215"/>
      <c r="E33" s="215"/>
      <c r="F33" s="215"/>
      <c r="G33" s="215"/>
      <c r="H33" s="301" t="s">
        <v>403</v>
      </c>
      <c r="I33" s="301"/>
      <c r="J33" s="301"/>
      <c r="K33" s="301"/>
      <c r="L33" s="301"/>
      <c r="M33" s="301"/>
      <c r="N33" s="301"/>
    </row>
    <row r="34" spans="1:14" s="208" customFormat="1" ht="26.25" customHeight="1" x14ac:dyDescent="0.2">
      <c r="A34" s="214"/>
      <c r="B34" s="215"/>
      <c r="C34" s="215"/>
      <c r="D34" s="215"/>
      <c r="E34" s="215"/>
      <c r="F34" s="215"/>
      <c r="G34" s="215"/>
      <c r="H34" s="215"/>
      <c r="I34" s="220" t="s">
        <v>400</v>
      </c>
      <c r="J34" s="217">
        <v>1</v>
      </c>
      <c r="K34" s="217">
        <v>1</v>
      </c>
      <c r="L34" s="217">
        <v>1</v>
      </c>
      <c r="M34" s="217">
        <v>0</v>
      </c>
      <c r="N34" s="217">
        <v>0</v>
      </c>
    </row>
    <row r="35" spans="1:14" s="208" customFormat="1" ht="26.25" customHeight="1" x14ac:dyDescent="0.2">
      <c r="A35" s="214"/>
      <c r="B35" s="215"/>
      <c r="C35" s="215"/>
      <c r="D35" s="215"/>
      <c r="E35" s="215"/>
      <c r="F35" s="215"/>
      <c r="G35" s="215"/>
      <c r="H35" s="215"/>
      <c r="I35" s="220" t="s">
        <v>401</v>
      </c>
      <c r="J35" s="213">
        <v>1</v>
      </c>
      <c r="K35" s="213">
        <v>1</v>
      </c>
      <c r="L35" s="213">
        <v>1</v>
      </c>
      <c r="M35" s="213">
        <v>0</v>
      </c>
      <c r="N35" s="213">
        <v>0</v>
      </c>
    </row>
    <row r="36" spans="1:14" s="208" customFormat="1" ht="54" customHeight="1" x14ac:dyDescent="0.2">
      <c r="A36" s="214"/>
      <c r="B36" s="215"/>
      <c r="C36" s="215"/>
      <c r="D36" s="215"/>
      <c r="E36" s="215"/>
      <c r="F36" s="215"/>
      <c r="G36" s="215"/>
      <c r="H36" s="215"/>
      <c r="I36" s="220" t="s">
        <v>402</v>
      </c>
      <c r="J36" s="213">
        <v>70</v>
      </c>
      <c r="K36" s="213">
        <v>90</v>
      </c>
      <c r="L36" s="213">
        <v>100</v>
      </c>
      <c r="M36" s="213">
        <v>0</v>
      </c>
      <c r="N36" s="213">
        <v>0</v>
      </c>
    </row>
    <row r="37" spans="1:14" s="208" customFormat="1" x14ac:dyDescent="0.3"/>
    <row r="38" spans="1:14" s="208" customFormat="1" ht="26.25" customHeight="1" x14ac:dyDescent="0.2">
      <c r="A38" s="214"/>
      <c r="B38" s="213" t="s">
        <v>405</v>
      </c>
      <c r="C38" s="301" t="str">
        <f>+'Հ3 Մաս 2'!D10</f>
        <v xml:space="preserve"> Ասիական զարգացման բանկի աջակցությամբ իրականացվող Հյուսիս-հարավ միջանցքի զարգացման ծրագրի համակարգում և կառավարում ( Տրանշ 2)</v>
      </c>
      <c r="D38" s="301"/>
      <c r="E38" s="301"/>
      <c r="F38" s="301"/>
      <c r="G38" s="301"/>
      <c r="H38" s="301"/>
      <c r="I38" s="301"/>
      <c r="J38" s="221">
        <f>+'Հ3 Մաս 2'!G10</f>
        <v>521089.4</v>
      </c>
      <c r="K38" s="221">
        <f>+'Հ3 Մաս 2'!H10</f>
        <v>238300</v>
      </c>
      <c r="L38" s="229">
        <f>+'Հ3 Մաս 2'!I10</f>
        <v>82790.256600000008</v>
      </c>
      <c r="M38" s="229">
        <f>+'Հ3 Մաս 2'!J10</f>
        <v>3300.0050000000006</v>
      </c>
      <c r="N38" s="221">
        <f>'Հ3 Մաս 2'!K17</f>
        <v>0</v>
      </c>
    </row>
    <row r="39" spans="1:14" s="208" customFormat="1" ht="26.25" customHeight="1" x14ac:dyDescent="0.2">
      <c r="A39" s="214"/>
      <c r="B39" s="215"/>
      <c r="C39" s="215"/>
      <c r="D39" s="215"/>
      <c r="E39" s="215"/>
      <c r="F39" s="302" t="s">
        <v>399</v>
      </c>
      <c r="G39" s="302"/>
      <c r="H39" s="302"/>
      <c r="I39" s="302"/>
      <c r="J39" s="302"/>
      <c r="K39" s="302"/>
      <c r="L39" s="302"/>
      <c r="M39" s="302"/>
      <c r="N39" s="302"/>
    </row>
    <row r="40" spans="1:14" s="208" customFormat="1" ht="26.25" customHeight="1" x14ac:dyDescent="0.2">
      <c r="A40" s="214"/>
      <c r="B40" s="215"/>
      <c r="C40" s="215"/>
      <c r="D40" s="215"/>
      <c r="E40" s="215"/>
      <c r="F40" s="215"/>
      <c r="G40" s="302" t="s">
        <v>404</v>
      </c>
      <c r="H40" s="302"/>
      <c r="I40" s="302"/>
      <c r="J40" s="302"/>
      <c r="K40" s="302"/>
      <c r="L40" s="302"/>
      <c r="M40" s="302"/>
      <c r="N40" s="302"/>
    </row>
    <row r="41" spans="1:14" s="208" customFormat="1" ht="26.25" customHeight="1" x14ac:dyDescent="0.2">
      <c r="A41" s="214"/>
      <c r="B41" s="215"/>
      <c r="C41" s="215"/>
      <c r="D41" s="215"/>
      <c r="E41" s="215"/>
      <c r="F41" s="215"/>
      <c r="G41" s="215"/>
      <c r="H41" s="301" t="s">
        <v>403</v>
      </c>
      <c r="I41" s="301"/>
      <c r="J41" s="301"/>
      <c r="K41" s="301"/>
      <c r="L41" s="301"/>
      <c r="M41" s="301"/>
      <c r="N41" s="301"/>
    </row>
    <row r="42" spans="1:14" s="208" customFormat="1" ht="26.25" customHeight="1" x14ac:dyDescent="0.2">
      <c r="A42" s="214"/>
      <c r="B42" s="215"/>
      <c r="C42" s="215"/>
      <c r="D42" s="215"/>
      <c r="E42" s="215"/>
      <c r="F42" s="215"/>
      <c r="G42" s="215"/>
      <c r="H42" s="215"/>
      <c r="I42" s="220" t="s">
        <v>400</v>
      </c>
      <c r="J42" s="217">
        <v>1</v>
      </c>
      <c r="K42" s="217">
        <v>1</v>
      </c>
      <c r="L42" s="217">
        <v>1</v>
      </c>
      <c r="M42" s="217">
        <v>0</v>
      </c>
      <c r="N42" s="217">
        <v>0</v>
      </c>
    </row>
    <row r="43" spans="1:14" s="208" customFormat="1" ht="26.25" customHeight="1" x14ac:dyDescent="0.2">
      <c r="A43" s="214"/>
      <c r="B43" s="215"/>
      <c r="C43" s="215"/>
      <c r="D43" s="215"/>
      <c r="E43" s="215"/>
      <c r="F43" s="215"/>
      <c r="G43" s="215"/>
      <c r="H43" s="215"/>
      <c r="I43" s="220" t="s">
        <v>401</v>
      </c>
      <c r="J43" s="213">
        <v>1</v>
      </c>
      <c r="K43" s="213">
        <v>1</v>
      </c>
      <c r="L43" s="213">
        <v>1</v>
      </c>
      <c r="M43" s="213">
        <v>0</v>
      </c>
      <c r="N43" s="213">
        <v>0</v>
      </c>
    </row>
    <row r="44" spans="1:14" s="208" customFormat="1" ht="54" customHeight="1" x14ac:dyDescent="0.2">
      <c r="A44" s="214"/>
      <c r="B44" s="215"/>
      <c r="C44" s="215"/>
      <c r="D44" s="215"/>
      <c r="E44" s="215"/>
      <c r="F44" s="215"/>
      <c r="G44" s="215"/>
      <c r="H44" s="215"/>
      <c r="I44" s="220" t="s">
        <v>402</v>
      </c>
      <c r="J44" s="213">
        <v>70</v>
      </c>
      <c r="K44" s="213">
        <v>90</v>
      </c>
      <c r="L44" s="213">
        <v>100</v>
      </c>
      <c r="M44" s="213">
        <v>0</v>
      </c>
      <c r="N44" s="213">
        <v>0</v>
      </c>
    </row>
    <row r="45" spans="1:14" ht="16.2" customHeight="1" x14ac:dyDescent="0.2"/>
    <row r="46" spans="1:14" s="208" customFormat="1" ht="26.25" customHeight="1" x14ac:dyDescent="0.2">
      <c r="A46" s="214"/>
      <c r="B46" s="213" t="s">
        <v>406</v>
      </c>
      <c r="C46" s="301" t="str">
        <f>+'Հ3 Մաս 2'!D11</f>
        <v xml:space="preserve"> Եվրասիական զարգացման բանկի աջակցությամբ իրականացվող Հյուսիս-հարավ միջանցքի զարգացման ծրագրի համակարգում և կառավարում</v>
      </c>
      <c r="D46" s="301"/>
      <c r="E46" s="301"/>
      <c r="F46" s="301"/>
      <c r="G46" s="301"/>
      <c r="H46" s="301"/>
      <c r="I46" s="301"/>
      <c r="J46" s="221">
        <f>+'Հ3 Մաս 2'!G11</f>
        <v>4267472.7040999997</v>
      </c>
      <c r="K46" s="221">
        <f>+'Հ3 Մաս 2'!H11</f>
        <v>646510</v>
      </c>
      <c r="L46" s="221">
        <f>+'Հ3 Մաս 2'!I11</f>
        <v>297675</v>
      </c>
      <c r="M46" s="221">
        <f>+'Հ3 Մաս 2'!J11</f>
        <v>248351.08620000002</v>
      </c>
      <c r="N46" s="221">
        <f>+'Հ3 Մաս 2'!K11</f>
        <v>99000</v>
      </c>
    </row>
    <row r="47" spans="1:14" s="208" customFormat="1" ht="26.25" customHeight="1" x14ac:dyDescent="0.2">
      <c r="A47" s="214"/>
      <c r="B47" s="215"/>
      <c r="C47" s="215"/>
      <c r="D47" s="215"/>
      <c r="E47" s="215"/>
      <c r="F47" s="302" t="s">
        <v>399</v>
      </c>
      <c r="G47" s="302"/>
      <c r="H47" s="302"/>
      <c r="I47" s="302"/>
      <c r="J47" s="302"/>
      <c r="K47" s="302"/>
      <c r="L47" s="302"/>
      <c r="M47" s="302"/>
      <c r="N47" s="302"/>
    </row>
    <row r="48" spans="1:14" s="208" customFormat="1" ht="26.25" customHeight="1" x14ac:dyDescent="0.2">
      <c r="A48" s="214"/>
      <c r="B48" s="215"/>
      <c r="C48" s="215"/>
      <c r="D48" s="215"/>
      <c r="E48" s="215"/>
      <c r="F48" s="215"/>
      <c r="G48" s="302" t="s">
        <v>404</v>
      </c>
      <c r="H48" s="302"/>
      <c r="I48" s="302"/>
      <c r="J48" s="302"/>
      <c r="K48" s="302"/>
      <c r="L48" s="302"/>
      <c r="M48" s="302"/>
      <c r="N48" s="302"/>
    </row>
    <row r="49" spans="1:14" s="208" customFormat="1" ht="26.25" customHeight="1" x14ac:dyDescent="0.2">
      <c r="A49" s="214"/>
      <c r="B49" s="215"/>
      <c r="C49" s="215"/>
      <c r="D49" s="215"/>
      <c r="E49" s="215"/>
      <c r="F49" s="215"/>
      <c r="G49" s="215"/>
      <c r="H49" s="301" t="s">
        <v>403</v>
      </c>
      <c r="I49" s="301"/>
      <c r="J49" s="301"/>
      <c r="K49" s="301"/>
      <c r="L49" s="301"/>
      <c r="M49" s="301"/>
      <c r="N49" s="301"/>
    </row>
    <row r="50" spans="1:14" s="208" customFormat="1" ht="26.25" customHeight="1" x14ac:dyDescent="0.2">
      <c r="A50" s="214"/>
      <c r="B50" s="215"/>
      <c r="C50" s="215"/>
      <c r="D50" s="215"/>
      <c r="E50" s="215"/>
      <c r="F50" s="215"/>
      <c r="G50" s="215"/>
      <c r="H50" s="215"/>
      <c r="I50" s="220" t="s">
        <v>400</v>
      </c>
      <c r="J50" s="217">
        <v>1</v>
      </c>
      <c r="K50" s="217">
        <v>1</v>
      </c>
      <c r="L50" s="217">
        <v>1</v>
      </c>
      <c r="M50" s="217">
        <v>0</v>
      </c>
      <c r="N50" s="217">
        <v>0</v>
      </c>
    </row>
    <row r="51" spans="1:14" s="208" customFormat="1" ht="26.25" customHeight="1" x14ac:dyDescent="0.2">
      <c r="A51" s="214"/>
      <c r="B51" s="215"/>
      <c r="C51" s="215"/>
      <c r="D51" s="215"/>
      <c r="E51" s="215"/>
      <c r="F51" s="215"/>
      <c r="G51" s="215"/>
      <c r="H51" s="215"/>
      <c r="I51" s="220" t="s">
        <v>401</v>
      </c>
      <c r="J51" s="213">
        <v>1</v>
      </c>
      <c r="K51" s="213">
        <v>1</v>
      </c>
      <c r="L51" s="213">
        <v>1</v>
      </c>
      <c r="M51" s="213">
        <v>0</v>
      </c>
      <c r="N51" s="213">
        <v>0</v>
      </c>
    </row>
    <row r="52" spans="1:14" s="208" customFormat="1" ht="54" customHeight="1" x14ac:dyDescent="0.2">
      <c r="A52" s="214"/>
      <c r="B52" s="215"/>
      <c r="C52" s="215"/>
      <c r="D52" s="215"/>
      <c r="E52" s="215"/>
      <c r="F52" s="215"/>
      <c r="G52" s="215"/>
      <c r="H52" s="215"/>
      <c r="I52" s="220" t="s">
        <v>402</v>
      </c>
      <c r="J52" s="213">
        <v>10</v>
      </c>
      <c r="K52" s="213">
        <v>20</v>
      </c>
      <c r="L52" s="213">
        <v>30</v>
      </c>
      <c r="M52" s="213">
        <v>50</v>
      </c>
      <c r="N52" s="213">
        <v>65</v>
      </c>
    </row>
    <row r="53" spans="1:14" ht="16.5" customHeight="1" x14ac:dyDescent="0.2"/>
    <row r="54" spans="1:14" s="208" customFormat="1" ht="26.25" customHeight="1" x14ac:dyDescent="0.2">
      <c r="A54" s="214"/>
      <c r="B54" s="213" t="s">
        <v>407</v>
      </c>
      <c r="C54" s="301" t="str">
        <f>+'Հ3 Մաս 2'!D12</f>
        <v xml:space="preserve"> Ասիական զարգացման բանկի աջակցությամբ իրականացվող Հյուսիս-հարավ ճանապարհային միջանցքի զարգացման ծրագրի Սիսիան-Քաջարան 60կմ-ի ճանապարհի Հյուսիսային ենթահատվածի համակարգում և կառավարում</v>
      </c>
      <c r="D54" s="301"/>
      <c r="E54" s="301"/>
      <c r="F54" s="301"/>
      <c r="G54" s="301"/>
      <c r="H54" s="301"/>
      <c r="I54" s="301"/>
      <c r="J54" s="221">
        <f>+'Հ3 Մաս 2'!G12</f>
        <v>628947.9</v>
      </c>
      <c r="K54" s="221">
        <f>+'Հ3 Մաս 2'!H12</f>
        <v>814604.9</v>
      </c>
      <c r="L54" s="221">
        <f>+'Հ3 Մաս 2'!I12</f>
        <v>432862.5</v>
      </c>
      <c r="M54" s="221">
        <f>+'Հ3 Մաս 2'!J12</f>
        <v>124062.5</v>
      </c>
      <c r="N54" s="221">
        <f>+'Հ3 Մաս 2'!K12</f>
        <v>148175</v>
      </c>
    </row>
    <row r="55" spans="1:14" s="208" customFormat="1" ht="26.25" customHeight="1" x14ac:dyDescent="0.2">
      <c r="A55" s="214"/>
      <c r="B55" s="215"/>
      <c r="C55" s="215"/>
      <c r="D55" s="215"/>
      <c r="E55" s="215"/>
      <c r="F55" s="302" t="s">
        <v>399</v>
      </c>
      <c r="G55" s="302"/>
      <c r="H55" s="302"/>
      <c r="I55" s="302"/>
      <c r="J55" s="302"/>
      <c r="K55" s="302"/>
      <c r="L55" s="302"/>
      <c r="M55" s="302"/>
      <c r="N55" s="302"/>
    </row>
    <row r="56" spans="1:14" s="208" customFormat="1" ht="26.25" customHeight="1" x14ac:dyDescent="0.2">
      <c r="A56" s="214"/>
      <c r="B56" s="215"/>
      <c r="C56" s="215"/>
      <c r="D56" s="215"/>
      <c r="E56" s="215"/>
      <c r="F56" s="215"/>
      <c r="G56" s="302" t="s">
        <v>404</v>
      </c>
      <c r="H56" s="302"/>
      <c r="I56" s="302"/>
      <c r="J56" s="302"/>
      <c r="K56" s="302"/>
      <c r="L56" s="302"/>
      <c r="M56" s="302"/>
      <c r="N56" s="302"/>
    </row>
    <row r="57" spans="1:14" s="208" customFormat="1" ht="26.25" customHeight="1" x14ac:dyDescent="0.2">
      <c r="A57" s="214"/>
      <c r="B57" s="215"/>
      <c r="C57" s="215"/>
      <c r="D57" s="215"/>
      <c r="E57" s="215"/>
      <c r="F57" s="215"/>
      <c r="G57" s="215"/>
      <c r="H57" s="301" t="s">
        <v>403</v>
      </c>
      <c r="I57" s="301"/>
      <c r="J57" s="301"/>
      <c r="K57" s="301"/>
      <c r="L57" s="301"/>
      <c r="M57" s="301"/>
      <c r="N57" s="301"/>
    </row>
    <row r="58" spans="1:14" s="208" customFormat="1" ht="26.25" customHeight="1" x14ac:dyDescent="0.2">
      <c r="A58" s="214"/>
      <c r="B58" s="215"/>
      <c r="C58" s="215"/>
      <c r="D58" s="215"/>
      <c r="E58" s="215"/>
      <c r="F58" s="215"/>
      <c r="G58" s="215"/>
      <c r="H58" s="215"/>
      <c r="I58" s="220" t="s">
        <v>400</v>
      </c>
      <c r="J58" s="217">
        <v>0</v>
      </c>
      <c r="K58" s="217">
        <v>0</v>
      </c>
      <c r="L58" s="217">
        <v>1</v>
      </c>
      <c r="M58" s="217">
        <v>1</v>
      </c>
      <c r="N58" s="217">
        <v>1</v>
      </c>
    </row>
    <row r="59" spans="1:14" s="208" customFormat="1" ht="26.25" customHeight="1" x14ac:dyDescent="0.2">
      <c r="A59" s="214"/>
      <c r="B59" s="215"/>
      <c r="C59" s="215"/>
      <c r="D59" s="215"/>
      <c r="E59" s="215"/>
      <c r="F59" s="215"/>
      <c r="G59" s="215"/>
      <c r="H59" s="215"/>
      <c r="I59" s="220" t="s">
        <v>401</v>
      </c>
      <c r="J59" s="213">
        <v>0</v>
      </c>
      <c r="K59" s="213">
        <v>0</v>
      </c>
      <c r="L59" s="213">
        <v>1</v>
      </c>
      <c r="M59" s="213">
        <v>1</v>
      </c>
      <c r="N59" s="213">
        <v>1</v>
      </c>
    </row>
    <row r="60" spans="1:14" s="208" customFormat="1" ht="26.25" customHeight="1" x14ac:dyDescent="0.2">
      <c r="A60" s="214"/>
      <c r="B60" s="215"/>
      <c r="C60" s="215"/>
      <c r="D60" s="215"/>
      <c r="E60" s="215"/>
      <c r="F60" s="215"/>
      <c r="G60" s="215"/>
      <c r="H60" s="215"/>
      <c r="I60" s="223" t="s">
        <v>408</v>
      </c>
      <c r="J60" s="224">
        <v>250</v>
      </c>
      <c r="K60" s="224">
        <v>250</v>
      </c>
      <c r="L60" s="224">
        <v>44</v>
      </c>
      <c r="M60" s="224">
        <v>0</v>
      </c>
      <c r="N60" s="224">
        <v>0</v>
      </c>
    </row>
    <row r="61" spans="1:14" s="208" customFormat="1" ht="54" customHeight="1" x14ac:dyDescent="0.2">
      <c r="A61" s="214"/>
      <c r="B61" s="215"/>
      <c r="C61" s="215"/>
      <c r="D61" s="215"/>
      <c r="E61" s="215"/>
      <c r="F61" s="215"/>
      <c r="G61" s="215"/>
      <c r="H61" s="215"/>
      <c r="I61" s="220" t="s">
        <v>402</v>
      </c>
      <c r="J61" s="213">
        <v>3</v>
      </c>
      <c r="K61" s="213">
        <v>5</v>
      </c>
      <c r="L61" s="213">
        <v>15</v>
      </c>
      <c r="M61" s="213">
        <v>30</v>
      </c>
      <c r="N61" s="213">
        <v>40</v>
      </c>
    </row>
    <row r="62" spans="1:14" ht="16.5" customHeight="1" x14ac:dyDescent="0.2"/>
    <row r="63" spans="1:14" s="208" customFormat="1" ht="26.25" customHeight="1" x14ac:dyDescent="0.2">
      <c r="A63" s="214"/>
      <c r="B63" s="213" t="s">
        <v>409</v>
      </c>
      <c r="C63" s="301" t="str">
        <f>+'Հ3 Մաս 2'!D13</f>
        <v xml:space="preserve"> Հյուսիս-հարավ ճանապարհային միջանցքի զարգացման ծրագրի Քաջարանի թունելի և մոտեցումների համակարգում և կառավարում</v>
      </c>
      <c r="D63" s="301"/>
      <c r="E63" s="301"/>
      <c r="F63" s="301"/>
      <c r="G63" s="301"/>
      <c r="H63" s="301"/>
      <c r="I63" s="301"/>
      <c r="J63" s="221">
        <f>+'Հ3 Մաս 2'!G13</f>
        <v>1300584.1000000001</v>
      </c>
      <c r="K63" s="221">
        <f>+'Հ3 Մաս 2'!H13</f>
        <v>213260</v>
      </c>
      <c r="L63" s="221">
        <f>+'Հ3 Մաս 2'!I13</f>
        <v>102714.97500000001</v>
      </c>
      <c r="M63" s="221">
        <f>+'Հ3 Մաս 2'!J13</f>
        <v>159615.495</v>
      </c>
      <c r="N63" s="221">
        <f>+'Հ3 Մաս 2'!K13</f>
        <v>216376.9425</v>
      </c>
    </row>
    <row r="64" spans="1:14" s="208" customFormat="1" ht="26.25" customHeight="1" x14ac:dyDescent="0.2">
      <c r="A64" s="214"/>
      <c r="B64" s="215"/>
      <c r="C64" s="215"/>
      <c r="D64" s="215"/>
      <c r="E64" s="215"/>
      <c r="F64" s="302" t="s">
        <v>399</v>
      </c>
      <c r="G64" s="302"/>
      <c r="H64" s="302"/>
      <c r="I64" s="302"/>
      <c r="J64" s="302"/>
      <c r="K64" s="302"/>
      <c r="L64" s="302"/>
      <c r="M64" s="302"/>
      <c r="N64" s="302"/>
    </row>
    <row r="65" spans="1:14" s="208" customFormat="1" ht="26.25" customHeight="1" x14ac:dyDescent="0.2">
      <c r="A65" s="214"/>
      <c r="B65" s="215"/>
      <c r="C65" s="215"/>
      <c r="D65" s="215"/>
      <c r="E65" s="215"/>
      <c r="F65" s="215"/>
      <c r="G65" s="302" t="s">
        <v>404</v>
      </c>
      <c r="H65" s="302"/>
      <c r="I65" s="302"/>
      <c r="J65" s="302"/>
      <c r="K65" s="302"/>
      <c r="L65" s="302"/>
      <c r="M65" s="302"/>
      <c r="N65" s="302"/>
    </row>
    <row r="66" spans="1:14" s="208" customFormat="1" ht="26.25" customHeight="1" x14ac:dyDescent="0.2">
      <c r="A66" s="214"/>
      <c r="B66" s="215"/>
      <c r="C66" s="215"/>
      <c r="D66" s="215"/>
      <c r="E66" s="215"/>
      <c r="F66" s="215"/>
      <c r="G66" s="215"/>
      <c r="H66" s="301" t="s">
        <v>403</v>
      </c>
      <c r="I66" s="301"/>
      <c r="J66" s="301"/>
      <c r="K66" s="301"/>
      <c r="L66" s="301"/>
      <c r="M66" s="301"/>
      <c r="N66" s="301"/>
    </row>
    <row r="67" spans="1:14" s="208" customFormat="1" ht="26.25" customHeight="1" x14ac:dyDescent="0.2">
      <c r="A67" s="214"/>
      <c r="B67" s="215"/>
      <c r="C67" s="215"/>
      <c r="D67" s="215"/>
      <c r="E67" s="215"/>
      <c r="F67" s="215"/>
      <c r="G67" s="215"/>
      <c r="H67" s="215"/>
      <c r="I67" s="220" t="s">
        <v>400</v>
      </c>
      <c r="J67" s="217">
        <v>0</v>
      </c>
      <c r="K67" s="217">
        <v>0</v>
      </c>
      <c r="L67" s="217">
        <v>1</v>
      </c>
      <c r="M67" s="217">
        <v>1</v>
      </c>
      <c r="N67" s="217">
        <v>1</v>
      </c>
    </row>
    <row r="68" spans="1:14" s="208" customFormat="1" ht="26.25" customHeight="1" x14ac:dyDescent="0.2">
      <c r="A68" s="214"/>
      <c r="B68" s="215"/>
      <c r="C68" s="215"/>
      <c r="D68" s="215"/>
      <c r="E68" s="215"/>
      <c r="F68" s="215"/>
      <c r="G68" s="215"/>
      <c r="H68" s="215"/>
      <c r="I68" s="220" t="s">
        <v>401</v>
      </c>
      <c r="J68" s="213">
        <v>0</v>
      </c>
      <c r="K68" s="213">
        <v>0</v>
      </c>
      <c r="L68" s="213">
        <v>1</v>
      </c>
      <c r="M68" s="213">
        <v>1</v>
      </c>
      <c r="N68" s="213">
        <v>1</v>
      </c>
    </row>
    <row r="69" spans="1:14" s="208" customFormat="1" ht="26.25" customHeight="1" x14ac:dyDescent="0.2">
      <c r="A69" s="214"/>
      <c r="B69" s="215"/>
      <c r="C69" s="215"/>
      <c r="D69" s="215"/>
      <c r="E69" s="215"/>
      <c r="F69" s="215"/>
      <c r="G69" s="215"/>
      <c r="H69" s="215"/>
      <c r="I69" s="223" t="s">
        <v>408</v>
      </c>
      <c r="J69" s="224">
        <v>112</v>
      </c>
      <c r="K69" s="224">
        <v>50</v>
      </c>
      <c r="L69" s="224">
        <v>0</v>
      </c>
      <c r="M69" s="224">
        <v>0</v>
      </c>
      <c r="N69" s="224">
        <v>0</v>
      </c>
    </row>
    <row r="70" spans="1:14" s="208" customFormat="1" ht="54" customHeight="1" x14ac:dyDescent="0.2">
      <c r="A70" s="214"/>
      <c r="B70" s="215"/>
      <c r="C70" s="215"/>
      <c r="D70" s="215"/>
      <c r="E70" s="215"/>
      <c r="F70" s="215"/>
      <c r="G70" s="215"/>
      <c r="H70" s="215"/>
      <c r="I70" s="220" t="s">
        <v>402</v>
      </c>
      <c r="J70" s="213">
        <v>10</v>
      </c>
      <c r="K70" s="213">
        <v>20</v>
      </c>
      <c r="L70" s="213">
        <v>30</v>
      </c>
      <c r="M70" s="213">
        <v>50</v>
      </c>
      <c r="N70" s="213">
        <v>65</v>
      </c>
    </row>
    <row r="71" spans="1:14" ht="16.5" customHeight="1" x14ac:dyDescent="0.2"/>
    <row r="72" spans="1:14" s="208" customFormat="1" ht="26.25" customHeight="1" x14ac:dyDescent="0.2">
      <c r="A72" s="214"/>
      <c r="B72" s="213" t="s">
        <v>410</v>
      </c>
      <c r="C72" s="301" t="str">
        <f>+'Հ3 Մաս 2'!D14</f>
        <v xml:space="preserve"> Հյուսիս-հարավ ճանապարհային միջանցքի զարգացման ծրագրի Գյումրու շրջանցիկ ճանապարհի համակարգում և կառավարում, Տրանշ 5</v>
      </c>
      <c r="D72" s="301"/>
      <c r="E72" s="301"/>
      <c r="F72" s="301"/>
      <c r="G72" s="301"/>
      <c r="H72" s="301"/>
      <c r="I72" s="301"/>
      <c r="J72" s="221">
        <f>+'Հ3 Մաս 2'!G14</f>
        <v>0</v>
      </c>
      <c r="K72" s="221">
        <f>+'Հ3 Մաս 2'!H14</f>
        <v>100000</v>
      </c>
      <c r="L72" s="221">
        <f>+'Հ3 Մաս 2'!I14</f>
        <v>700000</v>
      </c>
      <c r="M72" s="221">
        <f>+'Հ3 Մաս 2'!J14</f>
        <v>300000</v>
      </c>
      <c r="N72" s="221">
        <f>+'Հ3 Մաս 2'!K14</f>
        <v>0</v>
      </c>
    </row>
    <row r="73" spans="1:14" s="208" customFormat="1" ht="26.25" customHeight="1" x14ac:dyDescent="0.2">
      <c r="A73" s="214"/>
      <c r="B73" s="215"/>
      <c r="C73" s="215"/>
      <c r="D73" s="215"/>
      <c r="E73" s="215"/>
      <c r="F73" s="302" t="s">
        <v>399</v>
      </c>
      <c r="G73" s="302"/>
      <c r="H73" s="302"/>
      <c r="I73" s="302"/>
      <c r="J73" s="302"/>
      <c r="K73" s="302"/>
      <c r="L73" s="302"/>
      <c r="M73" s="302"/>
      <c r="N73" s="302"/>
    </row>
    <row r="74" spans="1:14" s="208" customFormat="1" ht="26.25" customHeight="1" x14ac:dyDescent="0.2">
      <c r="A74" s="214"/>
      <c r="B74" s="215"/>
      <c r="C74" s="215"/>
      <c r="D74" s="215"/>
      <c r="E74" s="215"/>
      <c r="F74" s="215"/>
      <c r="G74" s="302" t="s">
        <v>404</v>
      </c>
      <c r="H74" s="302"/>
      <c r="I74" s="302"/>
      <c r="J74" s="302"/>
      <c r="K74" s="302"/>
      <c r="L74" s="302"/>
      <c r="M74" s="302"/>
      <c r="N74" s="302"/>
    </row>
    <row r="75" spans="1:14" s="208" customFormat="1" ht="26.25" customHeight="1" x14ac:dyDescent="0.2">
      <c r="A75" s="214"/>
      <c r="B75" s="215"/>
      <c r="C75" s="215"/>
      <c r="D75" s="215"/>
      <c r="E75" s="215"/>
      <c r="F75" s="215"/>
      <c r="G75" s="215"/>
      <c r="H75" s="301" t="s">
        <v>403</v>
      </c>
      <c r="I75" s="301"/>
      <c r="J75" s="301"/>
      <c r="K75" s="301"/>
      <c r="L75" s="301"/>
      <c r="M75" s="301"/>
      <c r="N75" s="301"/>
    </row>
    <row r="76" spans="1:14" s="208" customFormat="1" ht="26.25" customHeight="1" x14ac:dyDescent="0.2">
      <c r="A76" s="214"/>
      <c r="B76" s="215"/>
      <c r="C76" s="215"/>
      <c r="D76" s="215"/>
      <c r="E76" s="215"/>
      <c r="F76" s="215"/>
      <c r="G76" s="215"/>
      <c r="H76" s="215"/>
      <c r="I76" s="223" t="s">
        <v>408</v>
      </c>
      <c r="J76" s="224">
        <v>0</v>
      </c>
      <c r="K76" s="224">
        <v>20</v>
      </c>
      <c r="L76" s="224">
        <v>500</v>
      </c>
      <c r="M76" s="224">
        <v>300</v>
      </c>
      <c r="N76" s="224">
        <v>0</v>
      </c>
    </row>
    <row r="77" spans="1:14" s="208" customFormat="1" ht="54" customHeight="1" x14ac:dyDescent="0.2">
      <c r="A77" s="214"/>
      <c r="B77" s="215"/>
      <c r="C77" s="215"/>
      <c r="D77" s="215"/>
      <c r="E77" s="215"/>
      <c r="F77" s="215"/>
      <c r="G77" s="215"/>
      <c r="H77" s="215"/>
      <c r="I77" s="220" t="s">
        <v>402</v>
      </c>
      <c r="J77" s="213">
        <v>0</v>
      </c>
      <c r="K77" s="213">
        <v>3</v>
      </c>
      <c r="L77" s="213"/>
      <c r="M77" s="213"/>
      <c r="N77" s="213"/>
    </row>
    <row r="78" spans="1:14" ht="16.5" customHeight="1" x14ac:dyDescent="0.2"/>
    <row r="79" spans="1:14" s="208" customFormat="1" ht="26.25" customHeight="1" x14ac:dyDescent="0.2">
      <c r="A79" s="214"/>
      <c r="B79" s="213" t="s">
        <v>411</v>
      </c>
      <c r="C79" s="301" t="str">
        <f>+'Հ3 Մաս 2'!D15</f>
        <v>Ասիական զարգացման բանկի աջակցությամբ իրականացվող  Մ6 Վանաձոր-Ալավերդի-Վրաստանի սահման միջպետական նշանակության ճանապարհի ծրագրի կառուցում և հիմնանորոգում</v>
      </c>
      <c r="D79" s="301"/>
      <c r="E79" s="301"/>
      <c r="F79" s="301"/>
      <c r="G79" s="301"/>
      <c r="H79" s="301"/>
      <c r="I79" s="301"/>
      <c r="J79" s="221">
        <f>+'Հ3 Մաս 2'!G15</f>
        <v>463903.51696929999</v>
      </c>
      <c r="K79" s="221">
        <f>+'Հ3 Մաս 2'!H15</f>
        <v>1000533.2</v>
      </c>
      <c r="L79" s="221">
        <f>+'Հ3 Մաս 2'!I15</f>
        <v>174800</v>
      </c>
      <c r="M79" s="221">
        <f>+'Հ3 Մաս 2'!J15</f>
        <v>0</v>
      </c>
      <c r="N79" s="221">
        <f>+'Հ3 Մաս 2'!K15</f>
        <v>0</v>
      </c>
    </row>
    <row r="80" spans="1:14" s="208" customFormat="1" ht="26.25" customHeight="1" x14ac:dyDescent="0.2">
      <c r="A80" s="214"/>
      <c r="B80" s="215"/>
      <c r="C80" s="215"/>
      <c r="D80" s="215"/>
      <c r="E80" s="215"/>
      <c r="F80" s="302" t="s">
        <v>417</v>
      </c>
      <c r="G80" s="302"/>
      <c r="H80" s="302"/>
      <c r="I80" s="302"/>
      <c r="J80" s="302"/>
      <c r="K80" s="302"/>
      <c r="L80" s="302"/>
      <c r="M80" s="302"/>
      <c r="N80" s="302"/>
    </row>
    <row r="81" spans="1:14" s="208" customFormat="1" ht="26.25" customHeight="1" x14ac:dyDescent="0.2">
      <c r="A81" s="214"/>
      <c r="B81" s="215"/>
      <c r="C81" s="215"/>
      <c r="D81" s="215"/>
      <c r="E81" s="215"/>
      <c r="F81" s="215"/>
      <c r="G81" s="302" t="s">
        <v>418</v>
      </c>
      <c r="H81" s="302"/>
      <c r="I81" s="302"/>
      <c r="J81" s="302"/>
      <c r="K81" s="302"/>
      <c r="L81" s="302"/>
      <c r="M81" s="302"/>
      <c r="N81" s="302"/>
    </row>
    <row r="82" spans="1:14" s="208" customFormat="1" ht="26.25" customHeight="1" x14ac:dyDescent="0.2">
      <c r="A82" s="214"/>
      <c r="B82" s="215"/>
      <c r="C82" s="215"/>
      <c r="D82" s="215"/>
      <c r="E82" s="215"/>
      <c r="F82" s="215"/>
      <c r="G82" s="215"/>
      <c r="H82" s="301" t="s">
        <v>419</v>
      </c>
      <c r="I82" s="301"/>
      <c r="J82" s="301"/>
      <c r="K82" s="301"/>
      <c r="L82" s="301"/>
      <c r="M82" s="301"/>
      <c r="N82" s="301"/>
    </row>
    <row r="83" spans="1:14" s="208" customFormat="1" ht="26.25" customHeight="1" x14ac:dyDescent="0.2">
      <c r="A83" s="214"/>
      <c r="B83" s="215"/>
      <c r="C83" s="215"/>
      <c r="D83" s="215"/>
      <c r="E83" s="215"/>
      <c r="F83" s="215"/>
      <c r="G83" s="215"/>
      <c r="H83" s="215"/>
      <c r="I83" s="220" t="s">
        <v>412</v>
      </c>
      <c r="J83" s="213">
        <v>0</v>
      </c>
      <c r="K83" s="213">
        <v>2</v>
      </c>
      <c r="L83" s="213">
        <v>2</v>
      </c>
      <c r="M83" s="213"/>
      <c r="N83" s="213"/>
    </row>
    <row r="84" spans="1:14" s="208" customFormat="1" ht="26.25" customHeight="1" x14ac:dyDescent="0.2">
      <c r="A84" s="214"/>
      <c r="B84" s="215"/>
      <c r="C84" s="215"/>
      <c r="D84" s="215"/>
      <c r="E84" s="215"/>
      <c r="F84" s="215"/>
      <c r="G84" s="215"/>
      <c r="H84" s="215"/>
      <c r="I84" s="220" t="s">
        <v>415</v>
      </c>
      <c r="J84" s="213">
        <v>1</v>
      </c>
      <c r="K84" s="213">
        <v>0</v>
      </c>
      <c r="L84" s="213">
        <v>0</v>
      </c>
      <c r="M84" s="213"/>
      <c r="N84" s="213"/>
    </row>
    <row r="85" spans="1:14" s="208" customFormat="1" ht="26.25" customHeight="1" x14ac:dyDescent="0.2">
      <c r="A85" s="214"/>
      <c r="B85" s="215"/>
      <c r="C85" s="215"/>
      <c r="D85" s="215"/>
      <c r="E85" s="215"/>
      <c r="F85" s="215"/>
      <c r="G85" s="215"/>
      <c r="H85" s="215"/>
      <c r="I85" s="220" t="s">
        <v>413</v>
      </c>
      <c r="J85" s="213">
        <v>0</v>
      </c>
      <c r="K85" s="213">
        <v>1</v>
      </c>
      <c r="L85" s="213">
        <v>1</v>
      </c>
      <c r="M85" s="213"/>
      <c r="N85" s="213"/>
    </row>
    <row r="86" spans="1:14" s="208" customFormat="1" ht="26.25" customHeight="1" x14ac:dyDescent="0.2">
      <c r="A86" s="214"/>
      <c r="B86" s="215"/>
      <c r="C86" s="215"/>
      <c r="D86" s="215"/>
      <c r="E86" s="215"/>
      <c r="F86" s="215"/>
      <c r="G86" s="215"/>
      <c r="H86" s="215"/>
      <c r="I86" s="220" t="s">
        <v>485</v>
      </c>
      <c r="J86" s="235"/>
      <c r="K86" s="235"/>
      <c r="L86" s="235">
        <v>1</v>
      </c>
      <c r="M86" s="235"/>
      <c r="N86" s="235"/>
    </row>
    <row r="87" spans="1:14" s="208" customFormat="1" ht="54" customHeight="1" x14ac:dyDescent="0.2">
      <c r="A87" s="214"/>
      <c r="B87" s="215"/>
      <c r="C87" s="215"/>
      <c r="D87" s="215"/>
      <c r="E87" s="215"/>
      <c r="F87" s="215"/>
      <c r="G87" s="215"/>
      <c r="H87" s="215"/>
      <c r="I87" s="220" t="s">
        <v>414</v>
      </c>
      <c r="J87" s="213">
        <v>1</v>
      </c>
      <c r="K87" s="213">
        <v>1</v>
      </c>
      <c r="L87" s="213">
        <v>0</v>
      </c>
      <c r="M87" s="213"/>
      <c r="N87" s="213"/>
    </row>
    <row r="88" spans="1:14" s="208" customFormat="1" ht="54" customHeight="1" x14ac:dyDescent="0.2">
      <c r="A88" s="214"/>
      <c r="B88" s="215"/>
      <c r="C88" s="215"/>
      <c r="D88" s="215"/>
      <c r="E88" s="215"/>
      <c r="F88" s="215"/>
      <c r="G88" s="215"/>
      <c r="H88" s="215"/>
      <c r="I88" s="220" t="s">
        <v>416</v>
      </c>
      <c r="J88" s="213">
        <v>2</v>
      </c>
      <c r="K88" s="213"/>
      <c r="L88" s="213"/>
      <c r="M88" s="213"/>
      <c r="N88" s="213"/>
    </row>
    <row r="89" spans="1:14" ht="16.5" customHeight="1" x14ac:dyDescent="0.2"/>
    <row r="90" spans="1:14" s="208" customFormat="1" ht="26.25" customHeight="1" x14ac:dyDescent="0.2">
      <c r="A90" s="214"/>
      <c r="B90" s="213" t="s">
        <v>420</v>
      </c>
      <c r="C90" s="301" t="str">
        <f>+'Հ3 Մաս 2'!D16</f>
        <v xml:space="preserve"> Ասիական զարգացման բանկի աջակցությամբ իրականացվող Հյուսիս-հարավ միջանցքի զարգացման վարկային ծրագիր, Տրանշ 2</v>
      </c>
      <c r="D90" s="301"/>
      <c r="E90" s="301"/>
      <c r="F90" s="301"/>
      <c r="G90" s="301"/>
      <c r="H90" s="301"/>
      <c r="I90" s="301"/>
      <c r="J90" s="221">
        <f>+'Հ3 Մաս 2'!G16</f>
        <v>12039678.1374528</v>
      </c>
      <c r="K90" s="221">
        <f>+'Հ3 Մաս 2'!H16</f>
        <v>3757815.2</v>
      </c>
      <c r="L90" s="221">
        <f>+'Հ3 Մաս 2'!I16</f>
        <v>3075543.7553999992</v>
      </c>
      <c r="M90" s="221">
        <f>+'Հ3 Մաս 2'!J16</f>
        <v>0</v>
      </c>
      <c r="N90" s="221">
        <f>+'Հ3 Մաս 2'!K16</f>
        <v>0</v>
      </c>
    </row>
    <row r="91" spans="1:14" s="208" customFormat="1" ht="26.25" customHeight="1" x14ac:dyDescent="0.2">
      <c r="A91" s="214"/>
      <c r="B91" s="215"/>
      <c r="C91" s="215"/>
      <c r="D91" s="215"/>
      <c r="E91" s="215"/>
      <c r="F91" s="302" t="s">
        <v>421</v>
      </c>
      <c r="G91" s="302"/>
      <c r="H91" s="302"/>
      <c r="I91" s="302"/>
      <c r="J91" s="302"/>
      <c r="K91" s="302"/>
      <c r="L91" s="302"/>
      <c r="M91" s="302"/>
      <c r="N91" s="302"/>
    </row>
    <row r="92" spans="1:14" s="208" customFormat="1" ht="26.25" customHeight="1" x14ac:dyDescent="0.2">
      <c r="A92" s="214"/>
      <c r="B92" s="215"/>
      <c r="C92" s="215"/>
      <c r="D92" s="215"/>
      <c r="E92" s="215"/>
      <c r="F92" s="215"/>
      <c r="G92" s="302" t="s">
        <v>418</v>
      </c>
      <c r="H92" s="302"/>
      <c r="I92" s="302"/>
      <c r="J92" s="302"/>
      <c r="K92" s="302"/>
      <c r="L92" s="302"/>
      <c r="M92" s="302"/>
      <c r="N92" s="302"/>
    </row>
    <row r="93" spans="1:14" s="208" customFormat="1" ht="26.25" customHeight="1" x14ac:dyDescent="0.2">
      <c r="A93" s="214"/>
      <c r="B93" s="215"/>
      <c r="C93" s="215"/>
      <c r="D93" s="215"/>
      <c r="E93" s="215"/>
      <c r="F93" s="215"/>
      <c r="G93" s="215"/>
      <c r="H93" s="301" t="s">
        <v>419</v>
      </c>
      <c r="I93" s="301"/>
      <c r="J93" s="301"/>
      <c r="K93" s="301"/>
      <c r="L93" s="301"/>
      <c r="M93" s="301"/>
      <c r="N93" s="301"/>
    </row>
    <row r="94" spans="1:14" s="208" customFormat="1" ht="26.25" customHeight="1" x14ac:dyDescent="0.2">
      <c r="A94" s="214"/>
      <c r="B94" s="215"/>
      <c r="C94" s="215"/>
      <c r="D94" s="215"/>
      <c r="E94" s="215"/>
      <c r="F94" s="215"/>
      <c r="G94" s="215"/>
      <c r="H94" s="215"/>
      <c r="I94" s="220" t="s">
        <v>412</v>
      </c>
      <c r="J94" s="213">
        <v>2</v>
      </c>
      <c r="K94" s="213" t="s">
        <v>427</v>
      </c>
      <c r="L94" s="213">
        <v>1</v>
      </c>
      <c r="M94" s="213"/>
      <c r="N94" s="213"/>
    </row>
    <row r="95" spans="1:14" s="208" customFormat="1" ht="26.25" customHeight="1" x14ac:dyDescent="0.2">
      <c r="A95" s="214"/>
      <c r="B95" s="215"/>
      <c r="C95" s="215"/>
      <c r="D95" s="215"/>
      <c r="E95" s="215"/>
      <c r="F95" s="215"/>
      <c r="G95" s="215"/>
      <c r="H95" s="215"/>
      <c r="I95" s="220" t="s">
        <v>422</v>
      </c>
      <c r="J95" s="213">
        <v>1</v>
      </c>
      <c r="K95" s="213" t="s">
        <v>428</v>
      </c>
      <c r="L95" s="213" t="s">
        <v>428</v>
      </c>
      <c r="M95" s="213"/>
      <c r="N95" s="213"/>
    </row>
    <row r="96" spans="1:14" s="208" customFormat="1" ht="26.25" customHeight="1" x14ac:dyDescent="0.2">
      <c r="A96" s="214"/>
      <c r="B96" s="215"/>
      <c r="C96" s="215"/>
      <c r="D96" s="215"/>
      <c r="E96" s="215"/>
      <c r="F96" s="215"/>
      <c r="G96" s="215"/>
      <c r="H96" s="215"/>
      <c r="I96" s="220" t="s">
        <v>423</v>
      </c>
      <c r="J96" s="213">
        <v>1</v>
      </c>
      <c r="K96" s="213" t="s">
        <v>429</v>
      </c>
      <c r="L96" s="213"/>
      <c r="M96" s="213"/>
      <c r="N96" s="213"/>
    </row>
    <row r="97" spans="1:14" s="208" customFormat="1" ht="25.8" customHeight="1" x14ac:dyDescent="0.2">
      <c r="A97" s="214"/>
      <c r="B97" s="215"/>
      <c r="C97" s="215"/>
      <c r="D97" s="215"/>
      <c r="E97" s="215"/>
      <c r="F97" s="215"/>
      <c r="G97" s="215"/>
      <c r="H97" s="215"/>
      <c r="I97" s="220" t="s">
        <v>424</v>
      </c>
      <c r="J97" s="213">
        <v>2</v>
      </c>
      <c r="K97" s="213" t="s">
        <v>430</v>
      </c>
      <c r="L97" s="213" t="s">
        <v>430</v>
      </c>
      <c r="M97" s="213"/>
      <c r="N97" s="213"/>
    </row>
    <row r="98" spans="1:14" s="208" customFormat="1" ht="33.6" customHeight="1" x14ac:dyDescent="0.2">
      <c r="A98" s="214"/>
      <c r="B98" s="215"/>
      <c r="C98" s="215"/>
      <c r="D98" s="215"/>
      <c r="E98" s="215"/>
      <c r="F98" s="215"/>
      <c r="G98" s="215"/>
      <c r="H98" s="215"/>
      <c r="I98" s="220" t="s">
        <v>425</v>
      </c>
      <c r="J98" s="213">
        <v>80</v>
      </c>
      <c r="K98" s="213">
        <v>15</v>
      </c>
      <c r="L98" s="213">
        <v>5</v>
      </c>
      <c r="M98" s="213"/>
      <c r="N98" s="213"/>
    </row>
    <row r="99" spans="1:14" s="208" customFormat="1" ht="33.6" customHeight="1" x14ac:dyDescent="0.2">
      <c r="A99" s="214"/>
      <c r="B99" s="215"/>
      <c r="C99" s="215"/>
      <c r="D99" s="215"/>
      <c r="E99" s="215"/>
      <c r="F99" s="215"/>
      <c r="G99" s="215"/>
      <c r="H99" s="215"/>
      <c r="I99" s="220" t="s">
        <v>426</v>
      </c>
      <c r="J99" s="213">
        <v>60</v>
      </c>
      <c r="K99" s="213">
        <v>35</v>
      </c>
      <c r="L99" s="213">
        <v>5</v>
      </c>
      <c r="M99" s="213"/>
      <c r="N99" s="213"/>
    </row>
    <row r="100" spans="1:14" ht="16.5" customHeight="1" x14ac:dyDescent="0.2"/>
    <row r="101" spans="1:14" s="208" customFormat="1" ht="26.25" customHeight="1" x14ac:dyDescent="0.2">
      <c r="A101" s="214"/>
      <c r="B101" s="213" t="s">
        <v>432</v>
      </c>
      <c r="C101" s="301" t="str">
        <f>+'Հ3 Մաս 2'!D17</f>
        <v>Եվրոպական ներդրումային բանկի աջակցությամբ իրականացվող Հյուսիս-հարավ միջանցքի զարգացման վարկային ծրագիր, Տրանշ 3</v>
      </c>
      <c r="D101" s="301"/>
      <c r="E101" s="301"/>
      <c r="F101" s="301"/>
      <c r="G101" s="301"/>
      <c r="H101" s="301"/>
      <c r="I101" s="301"/>
      <c r="J101" s="221">
        <f>+'Հ3 Մաս 2'!G17</f>
        <v>1615396.9384000001</v>
      </c>
      <c r="K101" s="221">
        <f>+'Հ3 Մաս 2'!H17</f>
        <v>1246490.8</v>
      </c>
      <c r="L101" s="221">
        <f>+'Հ3 Մաս 2'!I17</f>
        <v>1346500</v>
      </c>
      <c r="M101" s="221">
        <f>+'Հ3 Մաս 2'!J17</f>
        <v>0</v>
      </c>
      <c r="N101" s="221">
        <f>+'Հ3 Մաս 2'!K17</f>
        <v>0</v>
      </c>
    </row>
    <row r="102" spans="1:14" s="208" customFormat="1" ht="26.25" customHeight="1" x14ac:dyDescent="0.2">
      <c r="A102" s="214"/>
      <c r="B102" s="215"/>
      <c r="C102" s="215"/>
      <c r="D102" s="215"/>
      <c r="E102" s="215"/>
      <c r="F102" s="302" t="s">
        <v>433</v>
      </c>
      <c r="G102" s="302"/>
      <c r="H102" s="302"/>
      <c r="I102" s="302"/>
      <c r="J102" s="302"/>
      <c r="K102" s="302"/>
      <c r="L102" s="302"/>
      <c r="M102" s="302"/>
      <c r="N102" s="302"/>
    </row>
    <row r="103" spans="1:14" s="208" customFormat="1" ht="26.25" customHeight="1" x14ac:dyDescent="0.2">
      <c r="A103" s="214"/>
      <c r="B103" s="215"/>
      <c r="C103" s="215"/>
      <c r="D103" s="215"/>
      <c r="E103" s="215"/>
      <c r="F103" s="215"/>
      <c r="G103" s="302" t="s">
        <v>418</v>
      </c>
      <c r="H103" s="302"/>
      <c r="I103" s="302"/>
      <c r="J103" s="302"/>
      <c r="K103" s="302"/>
      <c r="L103" s="302"/>
      <c r="M103" s="302"/>
      <c r="N103" s="302"/>
    </row>
    <row r="104" spans="1:14" s="208" customFormat="1" ht="26.25" customHeight="1" x14ac:dyDescent="0.2">
      <c r="A104" s="214"/>
      <c r="B104" s="215"/>
      <c r="C104" s="215"/>
      <c r="D104" s="215"/>
      <c r="E104" s="215"/>
      <c r="F104" s="215"/>
      <c r="G104" s="215"/>
      <c r="H104" s="301" t="s">
        <v>419</v>
      </c>
      <c r="I104" s="301"/>
      <c r="J104" s="301"/>
      <c r="K104" s="301"/>
      <c r="L104" s="301"/>
      <c r="M104" s="301"/>
      <c r="N104" s="301"/>
    </row>
    <row r="105" spans="1:14" s="208" customFormat="1" ht="26.25" customHeight="1" x14ac:dyDescent="0.2">
      <c r="A105" s="214"/>
      <c r="B105" s="215"/>
      <c r="C105" s="215"/>
      <c r="D105" s="215"/>
      <c r="E105" s="215"/>
      <c r="F105" s="215"/>
      <c r="G105" s="215"/>
      <c r="H105" s="215"/>
      <c r="I105" s="220" t="s">
        <v>412</v>
      </c>
      <c r="J105" s="213">
        <v>1</v>
      </c>
      <c r="K105" s="213">
        <v>1</v>
      </c>
      <c r="L105" s="213">
        <v>1</v>
      </c>
      <c r="M105" s="213"/>
      <c r="N105" s="213"/>
    </row>
    <row r="106" spans="1:14" s="208" customFormat="1" ht="26.25" customHeight="1" x14ac:dyDescent="0.2">
      <c r="A106" s="214"/>
      <c r="B106" s="215"/>
      <c r="C106" s="215"/>
      <c r="D106" s="215"/>
      <c r="E106" s="215"/>
      <c r="F106" s="215"/>
      <c r="G106" s="215"/>
      <c r="H106" s="215"/>
      <c r="I106" s="220" t="s">
        <v>422</v>
      </c>
      <c r="J106" s="213">
        <v>1</v>
      </c>
      <c r="K106" s="213"/>
      <c r="L106" s="213">
        <v>1</v>
      </c>
      <c r="M106" s="213"/>
      <c r="N106" s="213"/>
    </row>
    <row r="107" spans="1:14" s="208" customFormat="1" ht="26.25" customHeight="1" x14ac:dyDescent="0.2">
      <c r="A107" s="214"/>
      <c r="B107" s="215"/>
      <c r="C107" s="215"/>
      <c r="D107" s="215"/>
      <c r="E107" s="215"/>
      <c r="F107" s="215"/>
      <c r="G107" s="215"/>
      <c r="H107" s="215"/>
      <c r="I107" s="220" t="s">
        <v>423</v>
      </c>
      <c r="J107" s="213"/>
      <c r="K107" s="213">
        <v>1</v>
      </c>
      <c r="L107" s="213"/>
      <c r="M107" s="213"/>
      <c r="N107" s="213"/>
    </row>
    <row r="108" spans="1:14" s="208" customFormat="1" ht="25.8" customHeight="1" x14ac:dyDescent="0.2">
      <c r="A108" s="214"/>
      <c r="B108" s="215"/>
      <c r="C108" s="215"/>
      <c r="D108" s="215"/>
      <c r="E108" s="215"/>
      <c r="F108" s="215"/>
      <c r="G108" s="215"/>
      <c r="H108" s="215"/>
      <c r="I108" s="220" t="s">
        <v>434</v>
      </c>
      <c r="J108" s="213"/>
      <c r="K108" s="213">
        <v>5</v>
      </c>
      <c r="L108" s="213">
        <v>5</v>
      </c>
      <c r="M108" s="213"/>
      <c r="N108" s="213"/>
    </row>
    <row r="109" spans="1:14" ht="16.5" customHeight="1" x14ac:dyDescent="0.2"/>
    <row r="110" spans="1:14" s="208" customFormat="1" ht="26.25" customHeight="1" x14ac:dyDescent="0.2">
      <c r="A110" s="214"/>
      <c r="B110" s="213" t="s">
        <v>435</v>
      </c>
      <c r="C110" s="301" t="str">
        <f>+'Հ3 Մաս 2'!D18</f>
        <v xml:space="preserve"> Եվրասիական զարգացման բանկի աջակցությամբ իրականացվող Հյուսիս-հարավ միջանցքի զարգացման ծրագիր</v>
      </c>
      <c r="D110" s="301"/>
      <c r="E110" s="301"/>
      <c r="F110" s="301"/>
      <c r="G110" s="301"/>
      <c r="H110" s="301"/>
      <c r="I110" s="301"/>
      <c r="J110" s="221">
        <f>+'Հ3 Մաս 2'!G18</f>
        <v>6744476.1698000003</v>
      </c>
      <c r="K110" s="221">
        <f>+'Հ3 Մաս 2'!H18</f>
        <v>10585075.199999999</v>
      </c>
      <c r="L110" s="221">
        <f>+'Հ3 Մաս 2'!I18</f>
        <v>34331040</v>
      </c>
      <c r="M110" s="221">
        <f>+'Հ3 Մաս 2'!J18</f>
        <v>12516525</v>
      </c>
      <c r="N110" s="221">
        <f>+'Հ3 Մաս 2'!K18</f>
        <v>10927125</v>
      </c>
    </row>
    <row r="111" spans="1:14" s="208" customFormat="1" ht="26.25" customHeight="1" x14ac:dyDescent="0.2">
      <c r="A111" s="214"/>
      <c r="B111" s="215"/>
      <c r="C111" s="215"/>
      <c r="D111" s="215"/>
      <c r="E111" s="215"/>
      <c r="F111" s="302" t="s">
        <v>417</v>
      </c>
      <c r="G111" s="302"/>
      <c r="H111" s="302"/>
      <c r="I111" s="302"/>
      <c r="J111" s="302"/>
      <c r="K111" s="302"/>
      <c r="L111" s="302"/>
      <c r="M111" s="302"/>
      <c r="N111" s="302"/>
    </row>
    <row r="112" spans="1:14" s="208" customFormat="1" ht="26.25" customHeight="1" x14ac:dyDescent="0.2">
      <c r="A112" s="214"/>
      <c r="B112" s="215"/>
      <c r="C112" s="215"/>
      <c r="D112" s="215"/>
      <c r="E112" s="215"/>
      <c r="F112" s="215"/>
      <c r="G112" s="302" t="s">
        <v>418</v>
      </c>
      <c r="H112" s="302"/>
      <c r="I112" s="302"/>
      <c r="J112" s="302"/>
      <c r="K112" s="302"/>
      <c r="L112" s="302"/>
      <c r="M112" s="302"/>
      <c r="N112" s="302"/>
    </row>
    <row r="113" spans="1:14" s="208" customFormat="1" ht="26.25" customHeight="1" x14ac:dyDescent="0.2">
      <c r="A113" s="214"/>
      <c r="B113" s="215"/>
      <c r="C113" s="215"/>
      <c r="D113" s="215"/>
      <c r="E113" s="215"/>
      <c r="F113" s="215"/>
      <c r="G113" s="215"/>
      <c r="H113" s="301" t="s">
        <v>419</v>
      </c>
      <c r="I113" s="301"/>
      <c r="J113" s="301"/>
      <c r="K113" s="301"/>
      <c r="L113" s="301"/>
      <c r="M113" s="301"/>
      <c r="N113" s="301"/>
    </row>
    <row r="114" spans="1:14" s="208" customFormat="1" ht="26.25" customHeight="1" x14ac:dyDescent="0.2">
      <c r="A114" s="214"/>
      <c r="B114" s="215"/>
      <c r="C114" s="215"/>
      <c r="D114" s="215"/>
      <c r="E114" s="215"/>
      <c r="F114" s="215"/>
      <c r="G114" s="215"/>
      <c r="H114" s="215"/>
      <c r="I114" s="220" t="s">
        <v>436</v>
      </c>
      <c r="J114" s="213">
        <v>4</v>
      </c>
      <c r="K114" s="213" t="s">
        <v>442</v>
      </c>
      <c r="L114" s="213">
        <v>4</v>
      </c>
      <c r="M114" s="213">
        <v>3</v>
      </c>
      <c r="N114" s="213">
        <v>3</v>
      </c>
    </row>
    <row r="115" spans="1:14" s="208" customFormat="1" ht="26.25" customHeight="1" x14ac:dyDescent="0.2">
      <c r="A115" s="214"/>
      <c r="B115" s="215"/>
      <c r="C115" s="215"/>
      <c r="D115" s="215"/>
      <c r="E115" s="215"/>
      <c r="F115" s="215"/>
      <c r="G115" s="215"/>
      <c r="H115" s="215"/>
      <c r="I115" s="220" t="s">
        <v>422</v>
      </c>
      <c r="J115" s="213">
        <v>1</v>
      </c>
      <c r="K115" s="213" t="s">
        <v>428</v>
      </c>
      <c r="L115" s="213" t="s">
        <v>428</v>
      </c>
      <c r="M115" s="213" t="s">
        <v>428</v>
      </c>
      <c r="N115" s="213" t="s">
        <v>428</v>
      </c>
    </row>
    <row r="116" spans="1:14" s="208" customFormat="1" ht="26.25" customHeight="1" x14ac:dyDescent="0.2">
      <c r="A116" s="214"/>
      <c r="B116" s="215"/>
      <c r="C116" s="215"/>
      <c r="D116" s="215"/>
      <c r="E116" s="215"/>
      <c r="F116" s="215"/>
      <c r="G116" s="215"/>
      <c r="H116" s="215"/>
      <c r="I116" s="220" t="s">
        <v>437</v>
      </c>
      <c r="J116" s="213"/>
      <c r="K116" s="213" t="s">
        <v>429</v>
      </c>
      <c r="L116" s="213" t="s">
        <v>429</v>
      </c>
      <c r="M116" s="213" t="s">
        <v>429</v>
      </c>
      <c r="N116" s="213" t="s">
        <v>429</v>
      </c>
    </row>
    <row r="117" spans="1:14" s="208" customFormat="1" ht="26.25" customHeight="1" x14ac:dyDescent="0.2">
      <c r="A117" s="214"/>
      <c r="B117" s="215"/>
      <c r="C117" s="215"/>
      <c r="D117" s="215"/>
      <c r="E117" s="215"/>
      <c r="F117" s="215"/>
      <c r="G117" s="215"/>
      <c r="H117" s="215"/>
      <c r="I117" s="223" t="s">
        <v>423</v>
      </c>
      <c r="J117" s="224">
        <v>2</v>
      </c>
      <c r="K117" s="224" t="s">
        <v>427</v>
      </c>
      <c r="L117" s="224">
        <v>1</v>
      </c>
      <c r="M117" s="224"/>
      <c r="N117" s="224"/>
    </row>
    <row r="118" spans="1:14" s="208" customFormat="1" ht="26.25" customHeight="1" x14ac:dyDescent="0.2">
      <c r="A118" s="214"/>
      <c r="B118" s="215"/>
      <c r="C118" s="215"/>
      <c r="D118" s="215"/>
      <c r="E118" s="215"/>
      <c r="F118" s="215"/>
      <c r="G118" s="215"/>
      <c r="H118" s="215"/>
      <c r="I118" s="220" t="s">
        <v>438</v>
      </c>
      <c r="J118" s="213">
        <v>1</v>
      </c>
      <c r="K118" s="213" t="s">
        <v>428</v>
      </c>
      <c r="L118" s="213" t="s">
        <v>428</v>
      </c>
      <c r="M118" s="213" t="s">
        <v>428</v>
      </c>
      <c r="N118" s="213" t="s">
        <v>428</v>
      </c>
    </row>
    <row r="119" spans="1:14" s="208" customFormat="1" ht="26.25" customHeight="1" x14ac:dyDescent="0.2">
      <c r="A119" s="214"/>
      <c r="B119" s="215"/>
      <c r="C119" s="215"/>
      <c r="D119" s="215"/>
      <c r="E119" s="215"/>
      <c r="F119" s="215"/>
      <c r="G119" s="215"/>
      <c r="H119" s="215"/>
      <c r="I119" s="220" t="s">
        <v>439</v>
      </c>
      <c r="J119" s="213">
        <v>30</v>
      </c>
      <c r="K119" s="213" t="s">
        <v>443</v>
      </c>
      <c r="L119" s="213">
        <v>70</v>
      </c>
      <c r="M119" s="213">
        <v>80</v>
      </c>
      <c r="N119" s="213">
        <v>90</v>
      </c>
    </row>
    <row r="120" spans="1:14" s="208" customFormat="1" ht="26.25" customHeight="1" x14ac:dyDescent="0.2">
      <c r="A120" s="214"/>
      <c r="B120" s="215"/>
      <c r="C120" s="215"/>
      <c r="D120" s="215"/>
      <c r="E120" s="215"/>
      <c r="F120" s="215"/>
      <c r="G120" s="215"/>
      <c r="H120" s="215"/>
      <c r="I120" s="220" t="s">
        <v>440</v>
      </c>
      <c r="J120" s="213">
        <v>9</v>
      </c>
      <c r="K120" s="213" t="s">
        <v>444</v>
      </c>
      <c r="L120" s="213" t="s">
        <v>444</v>
      </c>
      <c r="M120" s="213" t="s">
        <v>444</v>
      </c>
      <c r="N120" s="213" t="s">
        <v>444</v>
      </c>
    </row>
    <row r="121" spans="1:14" s="208" customFormat="1" ht="25.8" customHeight="1" x14ac:dyDescent="0.2">
      <c r="A121" s="214"/>
      <c r="B121" s="215"/>
      <c r="C121" s="215"/>
      <c r="D121" s="215"/>
      <c r="E121" s="215"/>
      <c r="F121" s="215"/>
      <c r="G121" s="215"/>
      <c r="H121" s="215"/>
      <c r="I121" s="220" t="s">
        <v>441</v>
      </c>
      <c r="J121" s="213">
        <v>0</v>
      </c>
      <c r="K121" s="213" t="s">
        <v>445</v>
      </c>
      <c r="L121" s="213" t="s">
        <v>445</v>
      </c>
      <c r="M121" s="213" t="s">
        <v>445</v>
      </c>
      <c r="N121" s="213" t="s">
        <v>445</v>
      </c>
    </row>
    <row r="122" spans="1:14" ht="16.5" customHeight="1" x14ac:dyDescent="0.2"/>
    <row r="123" spans="1:14" s="208" customFormat="1" ht="26.25" customHeight="1" x14ac:dyDescent="0.2">
      <c r="A123" s="214"/>
      <c r="B123" s="213" t="s">
        <v>446</v>
      </c>
      <c r="C123" s="301" t="str">
        <f>+'Հ3 Մաս 2'!D19</f>
        <v xml:space="preserve"> Հյուսիս-հարավ ճանապարհային միջանցքի զարգացման ծրագրի Քաջարանի թունելի և մոտեցումների կառուցում</v>
      </c>
      <c r="D123" s="301"/>
      <c r="E123" s="301"/>
      <c r="F123" s="301"/>
      <c r="G123" s="301"/>
      <c r="H123" s="301"/>
      <c r="I123" s="301"/>
      <c r="J123" s="221">
        <f>+'Հ3 Մաս 2'!G19</f>
        <v>0</v>
      </c>
      <c r="K123" s="221">
        <f>+'Հ3 Մաս 2'!H19</f>
        <v>7707355.7000000002</v>
      </c>
      <c r="L123" s="221">
        <f>+'Հ3 Մաս 2'!I19</f>
        <v>18119160</v>
      </c>
      <c r="M123" s="221">
        <f>+'Հ3 Մաս 2'!J19</f>
        <v>27139005</v>
      </c>
      <c r="N123" s="221">
        <f>+'Հ3 Մաս 2'!K19</f>
        <v>35443620</v>
      </c>
    </row>
    <row r="124" spans="1:14" s="208" customFormat="1" ht="26.25" customHeight="1" x14ac:dyDescent="0.2">
      <c r="A124" s="214"/>
      <c r="B124" s="215"/>
      <c r="C124" s="215"/>
      <c r="D124" s="215"/>
      <c r="E124" s="215"/>
      <c r="F124" s="302" t="s">
        <v>447</v>
      </c>
      <c r="G124" s="302"/>
      <c r="H124" s="302"/>
      <c r="I124" s="302"/>
      <c r="J124" s="302"/>
      <c r="K124" s="302"/>
      <c r="L124" s="302"/>
      <c r="M124" s="302"/>
      <c r="N124" s="302"/>
    </row>
    <row r="125" spans="1:14" s="208" customFormat="1" ht="26.25" customHeight="1" x14ac:dyDescent="0.2">
      <c r="A125" s="214"/>
      <c r="B125" s="215"/>
      <c r="C125" s="215"/>
      <c r="D125" s="215"/>
      <c r="E125" s="215"/>
      <c r="F125" s="215"/>
      <c r="G125" s="302" t="s">
        <v>418</v>
      </c>
      <c r="H125" s="302"/>
      <c r="I125" s="302"/>
      <c r="J125" s="302"/>
      <c r="K125" s="302"/>
      <c r="L125" s="302"/>
      <c r="M125" s="302"/>
      <c r="N125" s="302"/>
    </row>
    <row r="126" spans="1:14" s="208" customFormat="1" ht="26.25" customHeight="1" x14ac:dyDescent="0.2">
      <c r="A126" s="214"/>
      <c r="B126" s="215"/>
      <c r="C126" s="215"/>
      <c r="D126" s="215"/>
      <c r="E126" s="215"/>
      <c r="F126" s="215"/>
      <c r="G126" s="215"/>
      <c r="H126" s="301" t="s">
        <v>419</v>
      </c>
      <c r="I126" s="301"/>
      <c r="J126" s="301"/>
      <c r="K126" s="301"/>
      <c r="L126" s="301"/>
      <c r="M126" s="301"/>
      <c r="N126" s="301"/>
    </row>
    <row r="127" spans="1:14" s="208" customFormat="1" ht="26.25" customHeight="1" x14ac:dyDescent="0.2">
      <c r="A127" s="214"/>
      <c r="B127" s="215"/>
      <c r="C127" s="215"/>
      <c r="D127" s="215"/>
      <c r="E127" s="215"/>
      <c r="F127" s="215"/>
      <c r="G127" s="215"/>
      <c r="H127" s="215"/>
      <c r="I127" s="220" t="s">
        <v>452</v>
      </c>
      <c r="J127" s="213"/>
      <c r="K127" s="213" t="s">
        <v>451</v>
      </c>
      <c r="L127" s="213" t="s">
        <v>451</v>
      </c>
      <c r="M127" s="213" t="s">
        <v>451</v>
      </c>
      <c r="N127" s="213" t="s">
        <v>451</v>
      </c>
    </row>
    <row r="128" spans="1:14" s="208" customFormat="1" ht="26.25" customHeight="1" x14ac:dyDescent="0.2">
      <c r="A128" s="214"/>
      <c r="B128" s="215"/>
      <c r="C128" s="215"/>
      <c r="D128" s="215"/>
      <c r="E128" s="215"/>
      <c r="F128" s="215"/>
      <c r="G128" s="215"/>
      <c r="H128" s="215"/>
      <c r="I128" s="220" t="s">
        <v>448</v>
      </c>
      <c r="J128" s="213"/>
      <c r="K128" s="213" t="s">
        <v>429</v>
      </c>
      <c r="L128" s="213" t="s">
        <v>429</v>
      </c>
      <c r="M128" s="213" t="s">
        <v>429</v>
      </c>
      <c r="N128" s="213" t="s">
        <v>429</v>
      </c>
    </row>
    <row r="129" spans="1:14" s="208" customFormat="1" ht="26.25" customHeight="1" x14ac:dyDescent="0.2">
      <c r="A129" s="214"/>
      <c r="B129" s="215"/>
      <c r="C129" s="215"/>
      <c r="D129" s="215"/>
      <c r="E129" s="215"/>
      <c r="F129" s="215"/>
      <c r="G129" s="215"/>
      <c r="H129" s="215"/>
      <c r="I129" s="220" t="s">
        <v>437</v>
      </c>
      <c r="J129" s="213"/>
      <c r="K129" s="213" t="s">
        <v>429</v>
      </c>
      <c r="L129" s="213" t="s">
        <v>429</v>
      </c>
      <c r="M129" s="213" t="s">
        <v>429</v>
      </c>
      <c r="N129" s="213" t="s">
        <v>429</v>
      </c>
    </row>
    <row r="130" spans="1:14" s="208" customFormat="1" ht="35.4" customHeight="1" x14ac:dyDescent="0.2">
      <c r="A130" s="214"/>
      <c r="B130" s="215"/>
      <c r="C130" s="215"/>
      <c r="D130" s="215"/>
      <c r="E130" s="215"/>
      <c r="F130" s="215"/>
      <c r="G130" s="215"/>
      <c r="H130" s="215"/>
      <c r="I130" s="223" t="s">
        <v>449</v>
      </c>
      <c r="J130" s="222"/>
      <c r="K130" s="213" t="s">
        <v>429</v>
      </c>
      <c r="L130" s="213" t="s">
        <v>429</v>
      </c>
      <c r="M130" s="213" t="s">
        <v>429</v>
      </c>
      <c r="N130" s="213" t="s">
        <v>429</v>
      </c>
    </row>
    <row r="131" spans="1:14" s="208" customFormat="1" ht="36.6" customHeight="1" x14ac:dyDescent="0.2">
      <c r="A131" s="214"/>
      <c r="B131" s="215"/>
      <c r="C131" s="215"/>
      <c r="D131" s="215"/>
      <c r="E131" s="215"/>
      <c r="F131" s="215"/>
      <c r="G131" s="215"/>
      <c r="H131" s="215"/>
      <c r="I131" s="220" t="s">
        <v>450</v>
      </c>
      <c r="J131" s="213"/>
      <c r="K131" s="213" t="s">
        <v>431</v>
      </c>
      <c r="L131" s="213"/>
      <c r="M131" s="213"/>
      <c r="N131" s="213"/>
    </row>
    <row r="132" spans="1:14" s="208" customFormat="1" ht="36.6" customHeight="1" x14ac:dyDescent="0.2">
      <c r="A132" s="214"/>
      <c r="B132" s="215"/>
      <c r="C132" s="215"/>
      <c r="D132" s="215"/>
      <c r="E132" s="215"/>
      <c r="F132" s="215"/>
      <c r="G132" s="215"/>
      <c r="H132" s="215"/>
      <c r="I132" s="220" t="s">
        <v>439</v>
      </c>
      <c r="J132" s="213"/>
      <c r="K132" s="213"/>
      <c r="L132" s="213">
        <v>10</v>
      </c>
      <c r="M132" s="213">
        <v>30</v>
      </c>
      <c r="N132" s="213">
        <v>50</v>
      </c>
    </row>
    <row r="133" spans="1:14" ht="16.5" customHeight="1" x14ac:dyDescent="0.2"/>
    <row r="134" spans="1:14" ht="16.5" customHeight="1" x14ac:dyDescent="0.2">
      <c r="J134" s="237"/>
      <c r="K134" s="237"/>
      <c r="L134" s="237"/>
      <c r="M134" s="237"/>
      <c r="N134" s="237"/>
    </row>
    <row r="135" spans="1:14" ht="16.5" customHeight="1" x14ac:dyDescent="0.2">
      <c r="J135" s="237"/>
      <c r="K135" s="237"/>
      <c r="L135" s="237"/>
      <c r="M135" s="237"/>
      <c r="N135" s="237"/>
    </row>
    <row r="136" spans="1:14" ht="16.5" customHeight="1" x14ac:dyDescent="0.2">
      <c r="J136" s="237"/>
      <c r="K136" s="237"/>
      <c r="L136" s="237"/>
      <c r="M136" s="237"/>
      <c r="N136" s="237"/>
    </row>
    <row r="137" spans="1:14" ht="16.5" customHeight="1" x14ac:dyDescent="0.2"/>
    <row r="138" spans="1:14" ht="16.5" customHeight="1" x14ac:dyDescent="0.2"/>
    <row r="139" spans="1:14" ht="16.5" customHeight="1" x14ac:dyDescent="0.2"/>
    <row r="140" spans="1:14" ht="16.5" customHeight="1" x14ac:dyDescent="0.2"/>
    <row r="141" spans="1:14" ht="16.5" customHeight="1" x14ac:dyDescent="0.2"/>
    <row r="142" spans="1:14" ht="16.5" customHeight="1" x14ac:dyDescent="0.2"/>
    <row r="143" spans="1:14" ht="16.5" customHeight="1" x14ac:dyDescent="0.2"/>
    <row r="144" spans="1:14" ht="16.5" customHeight="1" x14ac:dyDescent="0.2"/>
    <row r="145" spans="1:3" ht="16.5" customHeight="1" x14ac:dyDescent="0.2"/>
    <row r="146" spans="1:3" ht="16.5" customHeight="1" x14ac:dyDescent="0.2"/>
    <row r="147" spans="1:3" ht="16.5" customHeight="1" x14ac:dyDescent="0.2"/>
    <row r="148" spans="1:3" ht="16.5" customHeight="1" x14ac:dyDescent="0.2"/>
    <row r="149" spans="1:3" ht="16.5" customHeight="1" x14ac:dyDescent="0.2"/>
    <row r="150" spans="1:3" ht="16.5" customHeight="1" x14ac:dyDescent="0.2"/>
    <row r="151" spans="1:3" ht="16.5" customHeight="1" x14ac:dyDescent="0.2"/>
    <row r="152" spans="1:3" ht="16.5" customHeight="1" x14ac:dyDescent="0.2"/>
    <row r="153" spans="1:3" ht="16.5" customHeight="1" x14ac:dyDescent="0.2"/>
    <row r="154" spans="1:3" ht="16.5" customHeight="1" x14ac:dyDescent="0.2"/>
    <row r="155" spans="1:3" ht="16.5" customHeight="1" x14ac:dyDescent="0.2"/>
    <row r="156" spans="1:3" ht="16.5" customHeight="1" x14ac:dyDescent="0.2"/>
    <row r="157" spans="1:3" ht="16.5" customHeight="1" x14ac:dyDescent="0.2"/>
    <row r="158" spans="1:3" ht="16.5" customHeight="1" x14ac:dyDescent="0.2"/>
    <row r="159" spans="1:3" ht="16.5" customHeight="1" x14ac:dyDescent="0.2"/>
    <row r="160" spans="1:3" x14ac:dyDescent="0.2">
      <c r="A160" s="218" t="s">
        <v>136</v>
      </c>
      <c r="B160" s="218"/>
      <c r="C160" s="218"/>
    </row>
    <row r="162" spans="2:2" x14ac:dyDescent="0.2">
      <c r="B162" s="201" t="s">
        <v>226</v>
      </c>
    </row>
  </sheetData>
  <mergeCells count="56">
    <mergeCell ref="H126:N126"/>
    <mergeCell ref="G112:N112"/>
    <mergeCell ref="H113:N113"/>
    <mergeCell ref="C123:I123"/>
    <mergeCell ref="F124:N124"/>
    <mergeCell ref="G125:N125"/>
    <mergeCell ref="F102:N102"/>
    <mergeCell ref="G103:N103"/>
    <mergeCell ref="H104:N104"/>
    <mergeCell ref="C110:I110"/>
    <mergeCell ref="F111:N111"/>
    <mergeCell ref="C90:I90"/>
    <mergeCell ref="F91:N91"/>
    <mergeCell ref="G92:N92"/>
    <mergeCell ref="H93:N93"/>
    <mergeCell ref="C101:I101"/>
    <mergeCell ref="H75:N75"/>
    <mergeCell ref="C79:I79"/>
    <mergeCell ref="F80:N80"/>
    <mergeCell ref="G81:N81"/>
    <mergeCell ref="H82:N82"/>
    <mergeCell ref="G65:N65"/>
    <mergeCell ref="H66:N66"/>
    <mergeCell ref="C72:I72"/>
    <mergeCell ref="F73:N73"/>
    <mergeCell ref="G74:N74"/>
    <mergeCell ref="F55:N55"/>
    <mergeCell ref="G56:N56"/>
    <mergeCell ref="H57:N57"/>
    <mergeCell ref="C63:I63"/>
    <mergeCell ref="F64:N64"/>
    <mergeCell ref="C46:I46"/>
    <mergeCell ref="F47:N47"/>
    <mergeCell ref="G48:N48"/>
    <mergeCell ref="H49:N49"/>
    <mergeCell ref="C54:I54"/>
    <mergeCell ref="C30:I30"/>
    <mergeCell ref="C38:I38"/>
    <mergeCell ref="F39:N39"/>
    <mergeCell ref="G40:N40"/>
    <mergeCell ref="H41:N41"/>
    <mergeCell ref="G32:N32"/>
    <mergeCell ref="H33:N33"/>
    <mergeCell ref="F31:N31"/>
    <mergeCell ref="A13:C13"/>
    <mergeCell ref="J8:N8"/>
    <mergeCell ref="F14:N14"/>
    <mergeCell ref="G15:N15"/>
    <mergeCell ref="H16:N16"/>
    <mergeCell ref="E13:I13"/>
    <mergeCell ref="A10:I10"/>
    <mergeCell ref="A8:A9"/>
    <mergeCell ref="B8:C8"/>
    <mergeCell ref="D8:G8"/>
    <mergeCell ref="H8:H9"/>
    <mergeCell ref="I8:I9"/>
  </mergeCells>
  <phoneticPr fontId="82" type="noConversion"/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Q248"/>
  <sheetViews>
    <sheetView topLeftCell="E189" workbookViewId="0">
      <selection activeCell="N236" sqref="N236"/>
    </sheetView>
  </sheetViews>
  <sheetFormatPr defaultRowHeight="14.4" x14ac:dyDescent="0.3"/>
  <cols>
    <col min="1" max="1" width="6" customWidth="1"/>
    <col min="2" max="4" width="14.109375" customWidth="1"/>
    <col min="5" max="5" width="12.33203125" customWidth="1"/>
    <col min="6" max="6" width="11.109375" customWidth="1"/>
    <col min="7" max="7" width="29" customWidth="1"/>
    <col min="8" max="8" width="14.5546875" customWidth="1"/>
    <col min="9" max="9" width="18.44140625" customWidth="1"/>
    <col min="10" max="10" width="18" customWidth="1"/>
    <col min="11" max="11" width="18.109375" customWidth="1"/>
    <col min="12" max="12" width="17.5546875" customWidth="1"/>
    <col min="13" max="13" width="13.88671875" bestFit="1" customWidth="1"/>
    <col min="14" max="14" width="14.44140625" customWidth="1"/>
    <col min="15" max="15" width="15.88671875" customWidth="1"/>
    <col min="16" max="16" width="15.5546875" customWidth="1"/>
    <col min="17" max="17" width="14.5546875" bestFit="1" customWidth="1"/>
  </cols>
  <sheetData>
    <row r="1" spans="1:17" ht="15" x14ac:dyDescent="0.3">
      <c r="A1" s="4" t="s">
        <v>46</v>
      </c>
    </row>
    <row r="2" spans="1:17" ht="15" x14ac:dyDescent="0.3">
      <c r="A2" s="4" t="s">
        <v>46</v>
      </c>
    </row>
    <row r="3" spans="1:17" ht="15" x14ac:dyDescent="0.3">
      <c r="A3" s="4"/>
    </row>
    <row r="4" spans="1:17" ht="29.25" customHeight="1" x14ac:dyDescent="0.3">
      <c r="B4" s="305" t="s">
        <v>104</v>
      </c>
      <c r="C4" s="305"/>
      <c r="D4" s="305"/>
      <c r="E4" s="305" t="s">
        <v>8</v>
      </c>
      <c r="F4" s="305"/>
      <c r="G4" s="303" t="s">
        <v>128</v>
      </c>
      <c r="H4" s="303" t="s">
        <v>280</v>
      </c>
      <c r="I4" s="303" t="s">
        <v>281</v>
      </c>
      <c r="J4" s="303" t="s">
        <v>282</v>
      </c>
      <c r="K4" s="303" t="s">
        <v>283</v>
      </c>
      <c r="L4" s="303" t="s">
        <v>309</v>
      </c>
    </row>
    <row r="5" spans="1:17" ht="36" customHeight="1" x14ac:dyDescent="0.3">
      <c r="B5" s="147" t="s">
        <v>9</v>
      </c>
      <c r="C5" s="147" t="s">
        <v>10</v>
      </c>
      <c r="D5" s="147" t="s">
        <v>11</v>
      </c>
      <c r="E5" s="72" t="s">
        <v>2</v>
      </c>
      <c r="F5" s="72" t="s">
        <v>25</v>
      </c>
      <c r="G5" s="304"/>
      <c r="H5" s="304"/>
      <c r="I5" s="304"/>
      <c r="J5" s="304"/>
      <c r="K5" s="304"/>
      <c r="L5" s="304"/>
    </row>
    <row r="6" spans="1:17" x14ac:dyDescent="0.3">
      <c r="B6" s="29"/>
      <c r="C6" s="29"/>
      <c r="D6" s="29"/>
      <c r="E6" s="72"/>
      <c r="F6" s="72"/>
      <c r="G6" s="147" t="s">
        <v>18</v>
      </c>
      <c r="H6" s="78">
        <f>H7</f>
        <v>28022325.341669295</v>
      </c>
      <c r="I6" s="78">
        <f t="shared" ref="I6:L6" si="0">I7</f>
        <v>26739848.400000002</v>
      </c>
      <c r="J6" s="78">
        <f t="shared" si="0"/>
        <v>58999000.299999997</v>
      </c>
      <c r="K6" s="78">
        <f t="shared" si="0"/>
        <v>40808612.390000001</v>
      </c>
      <c r="L6" s="78">
        <f t="shared" si="0"/>
        <v>47152050.2425</v>
      </c>
    </row>
    <row r="7" spans="1:17" x14ac:dyDescent="0.3">
      <c r="B7" s="151"/>
      <c r="C7" s="151"/>
      <c r="D7" s="151"/>
      <c r="E7" s="152"/>
      <c r="F7" s="152"/>
      <c r="G7" s="37" t="s">
        <v>236</v>
      </c>
      <c r="H7" s="156">
        <f>+H9+H16+H45+H65+H101+H137+H173+H185+H196+H218+H232+H207</f>
        <v>28022325.341669295</v>
      </c>
      <c r="I7" s="156">
        <f t="shared" ref="I7:L7" si="1">+I9+I16+I45+I65+I101+I137+I173+I185+I196+I218+I232+I207</f>
        <v>26739848.400000002</v>
      </c>
      <c r="J7" s="156">
        <f t="shared" si="1"/>
        <v>58999000.299999997</v>
      </c>
      <c r="K7" s="156">
        <f t="shared" si="1"/>
        <v>40808612.390000001</v>
      </c>
      <c r="L7" s="156">
        <f t="shared" si="1"/>
        <v>47152050.2425</v>
      </c>
    </row>
    <row r="8" spans="1:17" x14ac:dyDescent="0.3">
      <c r="B8" s="151"/>
      <c r="C8" s="151"/>
      <c r="D8" s="151"/>
      <c r="E8" s="152"/>
      <c r="F8" s="152"/>
      <c r="G8" s="36" t="s">
        <v>127</v>
      </c>
      <c r="H8" s="19"/>
      <c r="I8" s="19"/>
      <c r="J8" s="19"/>
      <c r="K8" s="19"/>
      <c r="L8" s="19"/>
    </row>
    <row r="9" spans="1:17" ht="32.4" x14ac:dyDescent="0.3">
      <c r="B9" s="151" t="s">
        <v>237</v>
      </c>
      <c r="C9" s="151" t="s">
        <v>238</v>
      </c>
      <c r="D9" s="151" t="s">
        <v>239</v>
      </c>
      <c r="E9" s="152" t="s">
        <v>240</v>
      </c>
      <c r="F9" s="152" t="s">
        <v>284</v>
      </c>
      <c r="G9" s="37" t="s">
        <v>285</v>
      </c>
      <c r="H9" s="19">
        <f>+H11</f>
        <v>310690.68</v>
      </c>
      <c r="I9" s="19">
        <f t="shared" ref="I9:L9" si="2">+I11</f>
        <v>305043.20000000001</v>
      </c>
      <c r="J9" s="19">
        <f t="shared" si="2"/>
        <v>317753.3</v>
      </c>
      <c r="K9" s="19">
        <f t="shared" si="2"/>
        <v>317753.3</v>
      </c>
      <c r="L9" s="19">
        <f t="shared" si="2"/>
        <v>317753.3</v>
      </c>
      <c r="M9" s="154"/>
      <c r="N9" s="154"/>
      <c r="O9" s="154"/>
      <c r="P9" s="154"/>
      <c r="Q9" s="154"/>
    </row>
    <row r="10" spans="1:17" ht="32.4" x14ac:dyDescent="0.3">
      <c r="B10" s="151"/>
      <c r="C10" s="151"/>
      <c r="D10" s="151"/>
      <c r="E10" s="152"/>
      <c r="F10" s="152"/>
      <c r="G10" s="36" t="s">
        <v>243</v>
      </c>
      <c r="H10" s="19"/>
      <c r="I10" s="19"/>
      <c r="J10" s="19"/>
      <c r="K10" s="19"/>
      <c r="L10" s="19"/>
      <c r="M10" s="154"/>
      <c r="N10" s="154"/>
      <c r="O10" s="154"/>
      <c r="P10" s="154"/>
      <c r="Q10" s="154"/>
    </row>
    <row r="11" spans="1:17" x14ac:dyDescent="0.3">
      <c r="B11" s="151"/>
      <c r="C11" s="151"/>
      <c r="D11" s="151"/>
      <c r="E11" s="152"/>
      <c r="F11" s="152"/>
      <c r="G11" s="37" t="s">
        <v>244</v>
      </c>
      <c r="H11" s="19">
        <f>+H12</f>
        <v>310690.68</v>
      </c>
      <c r="I11" s="19">
        <f t="shared" ref="I11:L14" si="3">+I12</f>
        <v>305043.20000000001</v>
      </c>
      <c r="J11" s="19">
        <f t="shared" si="3"/>
        <v>317753.3</v>
      </c>
      <c r="K11" s="19">
        <f t="shared" si="3"/>
        <v>317753.3</v>
      </c>
      <c r="L11" s="19">
        <f t="shared" si="3"/>
        <v>317753.3</v>
      </c>
    </row>
    <row r="12" spans="1:17" x14ac:dyDescent="0.3">
      <c r="B12" s="151"/>
      <c r="C12" s="151"/>
      <c r="D12" s="151"/>
      <c r="E12" s="152"/>
      <c r="F12" s="152"/>
      <c r="G12" s="36" t="s">
        <v>245</v>
      </c>
      <c r="H12" s="19">
        <f>+H13</f>
        <v>310690.68</v>
      </c>
      <c r="I12" s="19">
        <f t="shared" si="3"/>
        <v>305043.20000000001</v>
      </c>
      <c r="J12" s="19">
        <f t="shared" si="3"/>
        <v>317753.3</v>
      </c>
      <c r="K12" s="19">
        <f t="shared" si="3"/>
        <v>317753.3</v>
      </c>
      <c r="L12" s="19">
        <f t="shared" si="3"/>
        <v>317753.3</v>
      </c>
    </row>
    <row r="13" spans="1:17" x14ac:dyDescent="0.3">
      <c r="B13" s="151"/>
      <c r="C13" s="151"/>
      <c r="D13" s="151"/>
      <c r="E13" s="152"/>
      <c r="F13" s="152"/>
      <c r="G13" s="37" t="s">
        <v>269</v>
      </c>
      <c r="H13" s="19">
        <f>+H14</f>
        <v>310690.68</v>
      </c>
      <c r="I13" s="19">
        <f t="shared" si="3"/>
        <v>305043.20000000001</v>
      </c>
      <c r="J13" s="19">
        <f t="shared" si="3"/>
        <v>317753.3</v>
      </c>
      <c r="K13" s="19">
        <f t="shared" si="3"/>
        <v>317753.3</v>
      </c>
      <c r="L13" s="19">
        <f t="shared" si="3"/>
        <v>317753.3</v>
      </c>
    </row>
    <row r="14" spans="1:17" ht="21.6" x14ac:dyDescent="0.3">
      <c r="B14" s="151"/>
      <c r="C14" s="151"/>
      <c r="D14" s="151"/>
      <c r="E14" s="152"/>
      <c r="F14" s="152"/>
      <c r="G14" s="36" t="s">
        <v>286</v>
      </c>
      <c r="H14" s="19">
        <f>+H15</f>
        <v>310690.68</v>
      </c>
      <c r="I14" s="19">
        <f t="shared" si="3"/>
        <v>305043.20000000001</v>
      </c>
      <c r="J14" s="19">
        <f t="shared" si="3"/>
        <v>317753.3</v>
      </c>
      <c r="K14" s="19">
        <f t="shared" si="3"/>
        <v>317753.3</v>
      </c>
      <c r="L14" s="19">
        <f t="shared" si="3"/>
        <v>317753.3</v>
      </c>
    </row>
    <row r="15" spans="1:17" x14ac:dyDescent="0.3">
      <c r="B15" s="151"/>
      <c r="C15" s="151"/>
      <c r="D15" s="151"/>
      <c r="E15" s="152"/>
      <c r="F15" s="152"/>
      <c r="G15" s="36" t="s">
        <v>287</v>
      </c>
      <c r="H15" s="167">
        <f>+'Հ3 Մաս 2'!G8</f>
        <v>310690.68</v>
      </c>
      <c r="I15" s="167">
        <f>+'Հ3 Մաս 2'!H8</f>
        <v>305043.20000000001</v>
      </c>
      <c r="J15" s="167">
        <f>+'Հ3 Մաս 2'!I8</f>
        <v>317753.3</v>
      </c>
      <c r="K15" s="167">
        <f>+'Հ3 Մաս 2'!J8</f>
        <v>317753.3</v>
      </c>
      <c r="L15" s="167">
        <f>+'Հ3 Մաս 2'!K8</f>
        <v>317753.3</v>
      </c>
    </row>
    <row r="16" spans="1:17" ht="64.8" x14ac:dyDescent="0.3">
      <c r="B16" s="151" t="s">
        <v>237</v>
      </c>
      <c r="C16" s="151" t="s">
        <v>238</v>
      </c>
      <c r="D16" s="151" t="s">
        <v>239</v>
      </c>
      <c r="E16" s="152" t="s">
        <v>240</v>
      </c>
      <c r="F16" s="152" t="s">
        <v>310</v>
      </c>
      <c r="G16" s="19" t="s">
        <v>241</v>
      </c>
      <c r="H16" s="184">
        <f>+H18</f>
        <v>130085.80839999994</v>
      </c>
      <c r="I16" s="184">
        <f>+I18</f>
        <v>124860.2</v>
      </c>
      <c r="J16" s="153">
        <f>+J18</f>
        <v>18160.440000000002</v>
      </c>
      <c r="K16" s="19">
        <f>+K18</f>
        <v>0</v>
      </c>
      <c r="L16" s="19">
        <f t="shared" ref="L16" si="4">+L18</f>
        <v>0</v>
      </c>
      <c r="M16" s="155"/>
      <c r="N16" s="155"/>
      <c r="O16" s="155"/>
      <c r="P16" s="155"/>
      <c r="Q16" s="155"/>
    </row>
    <row r="17" spans="2:17" x14ac:dyDescent="0.3">
      <c r="B17" s="151"/>
      <c r="C17" s="151"/>
      <c r="D17" s="151"/>
      <c r="E17" s="152"/>
      <c r="F17" s="152"/>
      <c r="G17" s="37" t="s">
        <v>129</v>
      </c>
      <c r="H17" s="184"/>
      <c r="I17" s="184"/>
      <c r="J17" s="153"/>
      <c r="K17" s="19"/>
      <c r="L17" s="19"/>
    </row>
    <row r="18" spans="2:17" ht="21.6" x14ac:dyDescent="0.3">
      <c r="B18" s="151"/>
      <c r="C18" s="151"/>
      <c r="D18" s="151"/>
      <c r="E18" s="152"/>
      <c r="F18" s="152"/>
      <c r="G18" s="36" t="s">
        <v>242</v>
      </c>
      <c r="H18" s="184">
        <f t="shared" ref="H18:I18" si="5">+H20</f>
        <v>130085.80839999994</v>
      </c>
      <c r="I18" s="184">
        <f t="shared" si="5"/>
        <v>124860.2</v>
      </c>
      <c r="J18" s="153">
        <f>+J20</f>
        <v>18160.440000000002</v>
      </c>
      <c r="K18" s="19">
        <f t="shared" ref="K18:L18" si="6">+K20</f>
        <v>0</v>
      </c>
      <c r="L18" s="19">
        <f t="shared" si="6"/>
        <v>0</v>
      </c>
      <c r="M18" s="154"/>
      <c r="N18" s="154"/>
      <c r="O18" s="154"/>
      <c r="P18" s="154"/>
      <c r="Q18" s="154"/>
    </row>
    <row r="19" spans="2:17" ht="32.4" x14ac:dyDescent="0.3">
      <c r="B19" s="151"/>
      <c r="C19" s="151"/>
      <c r="D19" s="151"/>
      <c r="E19" s="152"/>
      <c r="F19" s="152"/>
      <c r="G19" s="37" t="s">
        <v>243</v>
      </c>
      <c r="H19" s="184"/>
      <c r="I19" s="184"/>
      <c r="J19" s="153"/>
      <c r="K19" s="19"/>
      <c r="L19" s="19"/>
    </row>
    <row r="20" spans="2:17" x14ac:dyDescent="0.3">
      <c r="B20" s="151"/>
      <c r="C20" s="151"/>
      <c r="D20" s="151"/>
      <c r="E20" s="152"/>
      <c r="F20" s="152"/>
      <c r="G20" s="36" t="s">
        <v>244</v>
      </c>
      <c r="H20" s="184">
        <f t="shared" ref="H20:I20" si="7">+H22+H26</f>
        <v>130085.80839999994</v>
      </c>
      <c r="I20" s="184">
        <f t="shared" si="7"/>
        <v>124860.2</v>
      </c>
      <c r="J20" s="153">
        <f>+J22+J26</f>
        <v>18160.440000000002</v>
      </c>
      <c r="K20" s="156">
        <f t="shared" ref="K20:L20" si="8">+K22+K26</f>
        <v>0</v>
      </c>
      <c r="L20" s="156">
        <f t="shared" si="8"/>
        <v>0</v>
      </c>
    </row>
    <row r="21" spans="2:17" x14ac:dyDescent="0.3">
      <c r="B21" s="151"/>
      <c r="C21" s="151"/>
      <c r="D21" s="151"/>
      <c r="E21" s="152"/>
      <c r="F21" s="152"/>
      <c r="G21" s="37" t="s">
        <v>245</v>
      </c>
      <c r="H21" s="184">
        <f>+H22</f>
        <v>116756.49889999993</v>
      </c>
      <c r="I21" s="184">
        <f>+I22</f>
        <v>106231.2</v>
      </c>
      <c r="J21" s="153">
        <f>+J22</f>
        <v>11825</v>
      </c>
      <c r="K21" s="19">
        <f>+K22</f>
        <v>0</v>
      </c>
      <c r="L21" s="19">
        <f t="shared" ref="J21:L22" si="9">+L22</f>
        <v>0</v>
      </c>
    </row>
    <row r="22" spans="2:17" x14ac:dyDescent="0.3">
      <c r="B22" s="151"/>
      <c r="C22" s="151"/>
      <c r="D22" s="151"/>
      <c r="E22" s="152"/>
      <c r="F22" s="152"/>
      <c r="G22" s="37" t="s">
        <v>246</v>
      </c>
      <c r="H22" s="184">
        <f t="shared" ref="H22:I22" si="10">+H23</f>
        <v>116756.49889999993</v>
      </c>
      <c r="I22" s="184">
        <f t="shared" si="10"/>
        <v>106231.2</v>
      </c>
      <c r="J22" s="153">
        <f t="shared" si="9"/>
        <v>11825</v>
      </c>
      <c r="K22" s="19">
        <f t="shared" si="9"/>
        <v>0</v>
      </c>
      <c r="L22" s="19">
        <f t="shared" si="9"/>
        <v>0</v>
      </c>
    </row>
    <row r="23" spans="2:17" ht="21.6" x14ac:dyDescent="0.3">
      <c r="B23" s="151"/>
      <c r="C23" s="151"/>
      <c r="D23" s="151"/>
      <c r="E23" s="152"/>
      <c r="F23" s="152"/>
      <c r="G23" s="36" t="s">
        <v>247</v>
      </c>
      <c r="H23" s="184">
        <f t="shared" ref="H23:I23" si="11">+H24+H25</f>
        <v>116756.49889999993</v>
      </c>
      <c r="I23" s="184">
        <f t="shared" si="11"/>
        <v>106231.2</v>
      </c>
      <c r="J23" s="153">
        <f>+J24+J25</f>
        <v>11825</v>
      </c>
      <c r="K23" s="19">
        <f t="shared" ref="K23:L23" si="12">+K24+K25</f>
        <v>0</v>
      </c>
      <c r="L23" s="19">
        <f t="shared" si="12"/>
        <v>0</v>
      </c>
    </row>
    <row r="24" spans="2:17" ht="21.6" x14ac:dyDescent="0.3">
      <c r="B24" s="151"/>
      <c r="C24" s="151"/>
      <c r="D24" s="151"/>
      <c r="E24" s="152"/>
      <c r="F24" s="152"/>
      <c r="G24" s="37" t="s">
        <v>248</v>
      </c>
      <c r="H24" s="158">
        <v>115062.04339999994</v>
      </c>
      <c r="I24" s="158">
        <v>104490.2</v>
      </c>
      <c r="J24" s="153">
        <v>9460</v>
      </c>
      <c r="K24" s="158"/>
      <c r="L24" s="158"/>
    </row>
    <row r="25" spans="2:17" ht="21.6" x14ac:dyDescent="0.3">
      <c r="B25" s="151"/>
      <c r="C25" s="151"/>
      <c r="D25" s="151"/>
      <c r="E25" s="152"/>
      <c r="F25" s="152"/>
      <c r="G25" s="36" t="s">
        <v>249</v>
      </c>
      <c r="H25" s="185">
        <v>1694.4555</v>
      </c>
      <c r="I25" s="185">
        <v>1741</v>
      </c>
      <c r="J25" s="159">
        <v>2365</v>
      </c>
      <c r="K25" s="160"/>
      <c r="L25" s="36"/>
    </row>
    <row r="26" spans="2:17" ht="21.6" x14ac:dyDescent="0.3">
      <c r="B26" s="151"/>
      <c r="C26" s="151"/>
      <c r="D26" s="151"/>
      <c r="E26" s="152"/>
      <c r="F26" s="152"/>
      <c r="G26" s="37" t="s">
        <v>250</v>
      </c>
      <c r="H26" s="184">
        <f t="shared" ref="H26:I26" si="13">+H27+H31+H34+H37+H39+H42</f>
        <v>13329.309499999999</v>
      </c>
      <c r="I26" s="184">
        <f t="shared" si="13"/>
        <v>18629</v>
      </c>
      <c r="J26" s="153">
        <f>+J27+J31+J34+J37+J39+J42</f>
        <v>6335.4400000000005</v>
      </c>
      <c r="K26" s="156">
        <f t="shared" ref="K26:L26" si="14">+K27+K31+K34+K37+K39+K42</f>
        <v>0</v>
      </c>
      <c r="L26" s="156">
        <f t="shared" si="14"/>
        <v>0</v>
      </c>
    </row>
    <row r="27" spans="2:17" x14ac:dyDescent="0.3">
      <c r="B27" s="151"/>
      <c r="C27" s="151"/>
      <c r="D27" s="151"/>
      <c r="E27" s="152"/>
      <c r="F27" s="152"/>
      <c r="G27" s="36" t="s">
        <v>251</v>
      </c>
      <c r="H27" s="184">
        <f t="shared" ref="H27:I27" si="15">+H28+H29+H30</f>
        <v>6972.3516</v>
      </c>
      <c r="I27" s="184">
        <f t="shared" si="15"/>
        <v>7349</v>
      </c>
      <c r="J27" s="153">
        <f>+J28+J29+J30</f>
        <v>0</v>
      </c>
      <c r="K27" s="19">
        <f t="shared" ref="K27:L27" si="16">+K28+K29+K30</f>
        <v>0</v>
      </c>
      <c r="L27" s="19">
        <f t="shared" si="16"/>
        <v>0</v>
      </c>
    </row>
    <row r="28" spans="2:17" x14ac:dyDescent="0.3">
      <c r="B28" s="151"/>
      <c r="C28" s="151"/>
      <c r="D28" s="151"/>
      <c r="E28" s="152"/>
      <c r="F28" s="152"/>
      <c r="G28" s="37" t="s">
        <v>252</v>
      </c>
      <c r="H28" s="158">
        <v>4469.2329</v>
      </c>
      <c r="I28" s="158">
        <v>3900</v>
      </c>
      <c r="J28" s="161"/>
      <c r="K28" s="37"/>
      <c r="L28" s="37"/>
    </row>
    <row r="29" spans="2:17" x14ac:dyDescent="0.3">
      <c r="B29" s="151"/>
      <c r="C29" s="151"/>
      <c r="D29" s="151"/>
      <c r="E29" s="152"/>
      <c r="F29" s="152"/>
      <c r="G29" s="37" t="s">
        <v>253</v>
      </c>
      <c r="H29" s="158">
        <v>1048.6842999999999</v>
      </c>
      <c r="I29" s="158">
        <v>1560</v>
      </c>
      <c r="J29" s="161"/>
      <c r="K29" s="37"/>
      <c r="L29" s="37"/>
    </row>
    <row r="30" spans="2:17" x14ac:dyDescent="0.3">
      <c r="B30" s="151"/>
      <c r="C30" s="151"/>
      <c r="D30" s="151"/>
      <c r="E30" s="152"/>
      <c r="F30" s="152"/>
      <c r="G30" s="36" t="s">
        <v>254</v>
      </c>
      <c r="H30" s="158">
        <v>1454.4343999999999</v>
      </c>
      <c r="I30" s="158">
        <v>1889</v>
      </c>
      <c r="J30" s="161"/>
      <c r="K30" s="37"/>
      <c r="L30" s="37"/>
    </row>
    <row r="31" spans="2:17" ht="21.6" x14ac:dyDescent="0.3">
      <c r="B31" s="151"/>
      <c r="C31" s="151"/>
      <c r="D31" s="151"/>
      <c r="E31" s="152"/>
      <c r="F31" s="152"/>
      <c r="G31" s="37" t="s">
        <v>255</v>
      </c>
      <c r="H31" s="184">
        <f t="shared" ref="H31:I31" si="17">+H32+H33</f>
        <v>1824.0700000000004</v>
      </c>
      <c r="I31" s="184">
        <f t="shared" si="17"/>
        <v>1700</v>
      </c>
      <c r="J31" s="162">
        <f>+J32+J33</f>
        <v>2000</v>
      </c>
      <c r="K31" s="19">
        <f t="shared" ref="K31:L31" si="18">+K32+K33</f>
        <v>0</v>
      </c>
      <c r="L31" s="19">
        <f t="shared" si="18"/>
        <v>0</v>
      </c>
    </row>
    <row r="32" spans="2:17" x14ac:dyDescent="0.3">
      <c r="B32" s="151"/>
      <c r="C32" s="151"/>
      <c r="D32" s="151"/>
      <c r="E32" s="152"/>
      <c r="F32" s="152"/>
      <c r="G32" s="36" t="s">
        <v>256</v>
      </c>
      <c r="H32" s="185">
        <v>1824.0700000000004</v>
      </c>
      <c r="I32" s="185">
        <v>700</v>
      </c>
      <c r="J32" s="163">
        <v>2000</v>
      </c>
      <c r="K32" s="36"/>
      <c r="L32" s="36"/>
    </row>
    <row r="33" spans="2:17" ht="21.6" x14ac:dyDescent="0.3">
      <c r="B33" s="151"/>
      <c r="C33" s="151"/>
      <c r="D33" s="151"/>
      <c r="E33" s="152"/>
      <c r="F33" s="152"/>
      <c r="G33" s="37" t="s">
        <v>257</v>
      </c>
      <c r="H33" s="158">
        <v>0</v>
      </c>
      <c r="I33" s="158">
        <v>1000</v>
      </c>
      <c r="J33" s="157"/>
      <c r="K33" s="37"/>
      <c r="L33" s="37"/>
    </row>
    <row r="34" spans="2:17" ht="21.6" x14ac:dyDescent="0.3">
      <c r="B34" s="151"/>
      <c r="C34" s="151"/>
      <c r="D34" s="151"/>
      <c r="E34" s="152"/>
      <c r="F34" s="152"/>
      <c r="G34" s="36" t="s">
        <v>258</v>
      </c>
      <c r="H34" s="184">
        <f>+H35+H36</f>
        <v>482.02440000000001</v>
      </c>
      <c r="I34" s="184">
        <f t="shared" ref="I34" si="19">+I35+I36</f>
        <v>1180</v>
      </c>
      <c r="J34" s="162">
        <f>+J35+J36</f>
        <v>935.44</v>
      </c>
      <c r="K34" s="19">
        <f t="shared" ref="K34:L34" si="20">+K35+K36</f>
        <v>0</v>
      </c>
      <c r="L34" s="19">
        <f t="shared" si="20"/>
        <v>0</v>
      </c>
    </row>
    <row r="35" spans="2:17" x14ac:dyDescent="0.3">
      <c r="B35" s="151"/>
      <c r="C35" s="151"/>
      <c r="D35" s="151"/>
      <c r="E35" s="152"/>
      <c r="F35" s="152"/>
      <c r="G35" s="36" t="s">
        <v>259</v>
      </c>
      <c r="H35" s="185">
        <v>112.70890000000001</v>
      </c>
      <c r="I35" s="185">
        <v>180</v>
      </c>
      <c r="J35" s="163"/>
      <c r="K35" s="36"/>
      <c r="L35" s="36"/>
    </row>
    <row r="36" spans="2:17" x14ac:dyDescent="0.3">
      <c r="B36" s="151"/>
      <c r="C36" s="151"/>
      <c r="D36" s="151"/>
      <c r="E36" s="152"/>
      <c r="F36" s="152"/>
      <c r="G36" s="37" t="s">
        <v>260</v>
      </c>
      <c r="H36" s="158">
        <v>369.31549999999999</v>
      </c>
      <c r="I36" s="158">
        <v>1000</v>
      </c>
      <c r="J36" s="157">
        <v>935.44</v>
      </c>
      <c r="K36" s="37"/>
      <c r="L36" s="37"/>
    </row>
    <row r="37" spans="2:17" ht="21.6" x14ac:dyDescent="0.3">
      <c r="B37" s="151"/>
      <c r="C37" s="151"/>
      <c r="D37" s="151"/>
      <c r="E37" s="152"/>
      <c r="F37" s="152"/>
      <c r="G37" s="37" t="s">
        <v>261</v>
      </c>
      <c r="H37" s="184">
        <f t="shared" ref="H37:I37" si="21">+H38</f>
        <v>0</v>
      </c>
      <c r="I37" s="184">
        <f t="shared" si="21"/>
        <v>2200</v>
      </c>
      <c r="J37" s="162">
        <f>+J38</f>
        <v>0</v>
      </c>
      <c r="K37" s="19">
        <f t="shared" ref="K37:L37" si="22">+K38</f>
        <v>0</v>
      </c>
      <c r="L37" s="19">
        <f t="shared" si="22"/>
        <v>0</v>
      </c>
    </row>
    <row r="38" spans="2:17" x14ac:dyDescent="0.3">
      <c r="B38" s="151"/>
      <c r="C38" s="151"/>
      <c r="D38" s="151"/>
      <c r="E38" s="152"/>
      <c r="F38" s="152"/>
      <c r="G38" s="36" t="s">
        <v>262</v>
      </c>
      <c r="H38" s="185">
        <v>0</v>
      </c>
      <c r="I38" s="185">
        <v>2200</v>
      </c>
      <c r="J38" s="163"/>
      <c r="K38" s="36"/>
      <c r="L38" s="36"/>
    </row>
    <row r="39" spans="2:17" x14ac:dyDescent="0.3">
      <c r="B39" s="151"/>
      <c r="C39" s="151"/>
      <c r="D39" s="151"/>
      <c r="E39" s="152"/>
      <c r="F39" s="152"/>
      <c r="G39" s="37" t="s">
        <v>263</v>
      </c>
      <c r="H39" s="184">
        <f t="shared" ref="H39:I39" si="23">+H40+H41</f>
        <v>616.97680000000003</v>
      </c>
      <c r="I39" s="184">
        <f t="shared" si="23"/>
        <v>1100</v>
      </c>
      <c r="J39" s="162">
        <f>+J40+J41</f>
        <v>0</v>
      </c>
      <c r="K39" s="19">
        <f t="shared" ref="K39:L39" si="24">+K40+K41</f>
        <v>0</v>
      </c>
      <c r="L39" s="19">
        <f t="shared" si="24"/>
        <v>0</v>
      </c>
    </row>
    <row r="40" spans="2:17" ht="21.6" x14ac:dyDescent="0.3">
      <c r="B40" s="151"/>
      <c r="C40" s="151"/>
      <c r="D40" s="151"/>
      <c r="E40" s="152"/>
      <c r="F40" s="152"/>
      <c r="G40" s="36" t="s">
        <v>264</v>
      </c>
      <c r="H40" s="185">
        <v>616.97680000000003</v>
      </c>
      <c r="I40" s="185">
        <v>620</v>
      </c>
      <c r="J40" s="163"/>
      <c r="K40" s="36"/>
      <c r="L40" s="36"/>
    </row>
    <row r="41" spans="2:17" x14ac:dyDescent="0.3">
      <c r="B41" s="151"/>
      <c r="C41" s="151"/>
      <c r="D41" s="151"/>
      <c r="E41" s="152"/>
      <c r="F41" s="152"/>
      <c r="G41" s="37" t="s">
        <v>265</v>
      </c>
      <c r="H41" s="158">
        <v>0</v>
      </c>
      <c r="I41" s="158">
        <v>480</v>
      </c>
      <c r="J41" s="157"/>
      <c r="K41" s="37"/>
      <c r="L41" s="37"/>
    </row>
    <row r="42" spans="2:17" x14ac:dyDescent="0.3">
      <c r="B42" s="151"/>
      <c r="C42" s="151"/>
      <c r="D42" s="151"/>
      <c r="E42" s="152"/>
      <c r="F42" s="152"/>
      <c r="G42" s="36" t="s">
        <v>266</v>
      </c>
      <c r="H42" s="184">
        <f>+H43+H44</f>
        <v>3433.8866999999996</v>
      </c>
      <c r="I42" s="184">
        <f>+I43+I44</f>
        <v>5100</v>
      </c>
      <c r="J42" s="162">
        <f>+J43+J44</f>
        <v>3400</v>
      </c>
      <c r="K42" s="19">
        <f>+K43+K44</f>
        <v>0</v>
      </c>
      <c r="L42" s="19">
        <f t="shared" ref="L42" si="25">+L43+L44</f>
        <v>0</v>
      </c>
    </row>
    <row r="43" spans="2:17" ht="43.2" x14ac:dyDescent="0.3">
      <c r="B43" s="151"/>
      <c r="C43" s="151"/>
      <c r="D43" s="151"/>
      <c r="E43" s="152"/>
      <c r="F43" s="152"/>
      <c r="G43" s="37" t="s">
        <v>267</v>
      </c>
      <c r="H43" s="185">
        <v>74.280799999999999</v>
      </c>
      <c r="I43" s="185">
        <v>100</v>
      </c>
      <c r="J43" s="163"/>
      <c r="K43" s="36"/>
      <c r="L43" s="36"/>
    </row>
    <row r="44" spans="2:17" x14ac:dyDescent="0.3">
      <c r="B44" s="151"/>
      <c r="C44" s="151"/>
      <c r="D44" s="151"/>
      <c r="E44" s="152"/>
      <c r="F44" s="152"/>
      <c r="G44" s="37" t="s">
        <v>268</v>
      </c>
      <c r="H44" s="158">
        <v>3359.6058999999996</v>
      </c>
      <c r="I44" s="158">
        <v>5000</v>
      </c>
      <c r="J44" s="157">
        <v>3400</v>
      </c>
      <c r="K44" s="37"/>
      <c r="L44" s="37"/>
    </row>
    <row r="45" spans="2:17" ht="43.2" x14ac:dyDescent="0.3">
      <c r="B45" s="151" t="s">
        <v>237</v>
      </c>
      <c r="C45" s="151" t="s">
        <v>238</v>
      </c>
      <c r="D45" s="151" t="s">
        <v>239</v>
      </c>
      <c r="E45" s="152" t="s">
        <v>240</v>
      </c>
      <c r="F45" s="152" t="s">
        <v>288</v>
      </c>
      <c r="G45" s="37" t="s">
        <v>231</v>
      </c>
      <c r="H45" s="19">
        <f>+H47</f>
        <v>521089.4</v>
      </c>
      <c r="I45" s="19">
        <f t="shared" ref="I45:L45" si="26">+I47</f>
        <v>238300</v>
      </c>
      <c r="J45" s="156">
        <f t="shared" si="26"/>
        <v>82790.259999999995</v>
      </c>
      <c r="K45" s="19">
        <f t="shared" si="26"/>
        <v>3300</v>
      </c>
      <c r="L45" s="19">
        <f t="shared" si="26"/>
        <v>0</v>
      </c>
      <c r="M45" s="154"/>
      <c r="N45" s="154"/>
      <c r="O45" s="154"/>
      <c r="P45" s="154"/>
      <c r="Q45" s="154"/>
    </row>
    <row r="46" spans="2:17" x14ac:dyDescent="0.3">
      <c r="B46" s="151"/>
      <c r="C46" s="151"/>
      <c r="D46" s="151"/>
      <c r="E46" s="152"/>
      <c r="F46" s="152"/>
      <c r="G46" s="36" t="s">
        <v>129</v>
      </c>
      <c r="H46" s="19"/>
      <c r="I46" s="19"/>
      <c r="J46" s="156"/>
      <c r="K46" s="19"/>
      <c r="L46" s="19"/>
    </row>
    <row r="47" spans="2:17" ht="21.6" x14ac:dyDescent="0.3">
      <c r="B47" s="151"/>
      <c r="C47" s="151"/>
      <c r="D47" s="151"/>
      <c r="E47" s="152"/>
      <c r="F47" s="152"/>
      <c r="G47" s="37" t="s">
        <v>242</v>
      </c>
      <c r="H47" s="19">
        <f>+H49</f>
        <v>521089.4</v>
      </c>
      <c r="I47" s="19">
        <f t="shared" ref="I47:L47" si="27">+I49</f>
        <v>238300</v>
      </c>
      <c r="J47" s="156">
        <f t="shared" si="27"/>
        <v>82790.259999999995</v>
      </c>
      <c r="K47" s="19">
        <f t="shared" si="27"/>
        <v>3300</v>
      </c>
      <c r="L47" s="19">
        <f t="shared" si="27"/>
        <v>0</v>
      </c>
      <c r="M47" s="154"/>
      <c r="N47" s="154"/>
      <c r="O47" s="154"/>
      <c r="P47" s="154"/>
    </row>
    <row r="48" spans="2:17" ht="32.4" x14ac:dyDescent="0.3">
      <c r="B48" s="151"/>
      <c r="C48" s="151"/>
      <c r="D48" s="151"/>
      <c r="E48" s="152"/>
      <c r="F48" s="152"/>
      <c r="G48" s="36" t="s">
        <v>243</v>
      </c>
      <c r="H48" s="19"/>
      <c r="I48" s="19"/>
      <c r="J48" s="156"/>
      <c r="K48" s="19"/>
      <c r="L48" s="19"/>
    </row>
    <row r="49" spans="2:12" x14ac:dyDescent="0.3">
      <c r="B49" s="151"/>
      <c r="C49" s="151"/>
      <c r="D49" s="151"/>
      <c r="E49" s="152"/>
      <c r="F49" s="152"/>
      <c r="G49" s="37" t="s">
        <v>244</v>
      </c>
      <c r="H49" s="19">
        <f>+H50+H51</f>
        <v>521089.4</v>
      </c>
      <c r="I49" s="19">
        <f>+I50</f>
        <v>238300</v>
      </c>
      <c r="J49" s="19">
        <f t="shared" ref="J49" si="28">+J50</f>
        <v>82790.259999999995</v>
      </c>
      <c r="K49" s="19">
        <f t="shared" ref="K49" si="29">+K50</f>
        <v>3300</v>
      </c>
      <c r="L49" s="19">
        <f t="shared" ref="L49" si="30">+L50</f>
        <v>0</v>
      </c>
    </row>
    <row r="50" spans="2:12" x14ac:dyDescent="0.3">
      <c r="B50" s="151"/>
      <c r="C50" s="151"/>
      <c r="D50" s="151"/>
      <c r="E50" s="152"/>
      <c r="F50" s="152"/>
      <c r="G50" s="36" t="s">
        <v>245</v>
      </c>
      <c r="H50" s="19">
        <f>+H59+H62</f>
        <v>521089.4</v>
      </c>
      <c r="I50" s="19">
        <f>+I59+I62+I51</f>
        <v>238300</v>
      </c>
      <c r="J50" s="164">
        <f>+J59+J62+J51+J55+J57</f>
        <v>82790.259999999995</v>
      </c>
      <c r="K50" s="19">
        <f>+K59+K62+K51</f>
        <v>3300</v>
      </c>
      <c r="L50" s="19">
        <f>+L59+L62+L51</f>
        <v>0</v>
      </c>
    </row>
    <row r="51" spans="2:12" x14ac:dyDescent="0.3">
      <c r="B51" s="151"/>
      <c r="C51" s="151"/>
      <c r="D51" s="151"/>
      <c r="E51" s="152"/>
      <c r="F51" s="152"/>
      <c r="G51" s="37" t="s">
        <v>246</v>
      </c>
      <c r="H51" s="19"/>
      <c r="I51" s="19">
        <f>+I52</f>
        <v>155000</v>
      </c>
      <c r="J51" s="19">
        <f t="shared" ref="J51" si="31">+J52</f>
        <v>75790</v>
      </c>
      <c r="K51" s="19">
        <f t="shared" ref="K51" si="32">+K52</f>
        <v>0</v>
      </c>
      <c r="L51" s="19">
        <f t="shared" ref="L51" si="33">+L52</f>
        <v>0</v>
      </c>
    </row>
    <row r="52" spans="2:12" ht="21.6" x14ac:dyDescent="0.3">
      <c r="B52" s="151"/>
      <c r="C52" s="151"/>
      <c r="D52" s="151"/>
      <c r="E52" s="152"/>
      <c r="F52" s="152"/>
      <c r="G52" s="36" t="s">
        <v>247</v>
      </c>
      <c r="H52" s="19"/>
      <c r="I52" s="19">
        <f>+I53+I54</f>
        <v>155000</v>
      </c>
      <c r="J52" s="19">
        <f t="shared" ref="J52" si="34">+J53+J54</f>
        <v>75790</v>
      </c>
      <c r="K52" s="19">
        <f t="shared" ref="K52" si="35">+K53+K54</f>
        <v>0</v>
      </c>
      <c r="L52" s="19">
        <f t="shared" ref="L52" si="36">+L53+L54</f>
        <v>0</v>
      </c>
    </row>
    <row r="53" spans="2:12" ht="21.6" x14ac:dyDescent="0.3">
      <c r="B53" s="151"/>
      <c r="C53" s="151"/>
      <c r="D53" s="151"/>
      <c r="E53" s="152"/>
      <c r="F53" s="152"/>
      <c r="G53" s="37" t="s">
        <v>248</v>
      </c>
      <c r="H53" s="19"/>
      <c r="I53" s="19">
        <v>152880</v>
      </c>
      <c r="J53" s="156">
        <v>69960</v>
      </c>
      <c r="K53" s="19"/>
      <c r="L53" s="19"/>
    </row>
    <row r="54" spans="2:12" ht="21.6" x14ac:dyDescent="0.3">
      <c r="B54" s="151"/>
      <c r="C54" s="151"/>
      <c r="D54" s="151"/>
      <c r="E54" s="152"/>
      <c r="F54" s="152"/>
      <c r="G54" s="36" t="s">
        <v>249</v>
      </c>
      <c r="H54" s="19"/>
      <c r="I54" s="19">
        <v>2120</v>
      </c>
      <c r="J54" s="156">
        <v>5830</v>
      </c>
      <c r="K54" s="19"/>
      <c r="L54" s="19"/>
    </row>
    <row r="55" spans="2:12" ht="21.6" x14ac:dyDescent="0.3">
      <c r="B55" s="151"/>
      <c r="C55" s="151"/>
      <c r="D55" s="151"/>
      <c r="E55" s="152"/>
      <c r="F55" s="152"/>
      <c r="G55" s="37" t="s">
        <v>255</v>
      </c>
      <c r="H55" s="19"/>
      <c r="I55" s="19"/>
      <c r="J55" s="156">
        <f>+J56</f>
        <v>2500</v>
      </c>
      <c r="K55" s="19"/>
      <c r="L55" s="19"/>
    </row>
    <row r="56" spans="2:12" x14ac:dyDescent="0.3">
      <c r="B56" s="151"/>
      <c r="C56" s="151"/>
      <c r="D56" s="151"/>
      <c r="E56" s="152"/>
      <c r="F56" s="152"/>
      <c r="G56" s="36" t="s">
        <v>256</v>
      </c>
      <c r="H56" s="19"/>
      <c r="I56" s="19"/>
      <c r="J56" s="156">
        <v>2500</v>
      </c>
      <c r="K56" s="19"/>
      <c r="L56" s="19"/>
    </row>
    <row r="57" spans="2:12" ht="21.6" x14ac:dyDescent="0.3">
      <c r="B57" s="151"/>
      <c r="C57" s="151"/>
      <c r="D57" s="151"/>
      <c r="E57" s="152"/>
      <c r="F57" s="152"/>
      <c r="G57" s="36" t="s">
        <v>258</v>
      </c>
      <c r="H57" s="19"/>
      <c r="I57" s="19"/>
      <c r="J57" s="156">
        <f>+J58</f>
        <v>1200.26</v>
      </c>
      <c r="K57" s="19"/>
      <c r="L57" s="19"/>
    </row>
    <row r="58" spans="2:12" x14ac:dyDescent="0.3">
      <c r="B58" s="151"/>
      <c r="C58" s="151"/>
      <c r="D58" s="151"/>
      <c r="E58" s="152"/>
      <c r="F58" s="152"/>
      <c r="G58" s="37" t="s">
        <v>260</v>
      </c>
      <c r="H58" s="19"/>
      <c r="I58" s="19"/>
      <c r="J58" s="156">
        <v>1200.26</v>
      </c>
      <c r="K58" s="19"/>
      <c r="L58" s="19"/>
    </row>
    <row r="59" spans="2:12" x14ac:dyDescent="0.3">
      <c r="B59" s="151"/>
      <c r="C59" s="151"/>
      <c r="D59" s="151"/>
      <c r="E59" s="152"/>
      <c r="F59" s="152"/>
      <c r="G59" s="37" t="s">
        <v>269</v>
      </c>
      <c r="H59" s="19">
        <f>+H60</f>
        <v>354000</v>
      </c>
      <c r="I59" s="19">
        <f t="shared" ref="I59:I60" si="37">+I60</f>
        <v>70000</v>
      </c>
      <c r="J59" s="19">
        <f t="shared" ref="J59:J60" si="38">+J60</f>
        <v>0</v>
      </c>
      <c r="K59" s="19">
        <f t="shared" ref="K59:K60" si="39">+K60</f>
        <v>0</v>
      </c>
      <c r="L59" s="19">
        <f t="shared" ref="L59:L60" si="40">+L60</f>
        <v>0</v>
      </c>
    </row>
    <row r="60" spans="2:12" ht="21.6" x14ac:dyDescent="0.3">
      <c r="B60" s="151"/>
      <c r="C60" s="151"/>
      <c r="D60" s="151"/>
      <c r="E60" s="152"/>
      <c r="F60" s="152"/>
      <c r="G60" s="36" t="s">
        <v>270</v>
      </c>
      <c r="H60" s="19">
        <f>+H61</f>
        <v>354000</v>
      </c>
      <c r="I60" s="19">
        <f t="shared" si="37"/>
        <v>70000</v>
      </c>
      <c r="J60" s="19">
        <f t="shared" si="38"/>
        <v>0</v>
      </c>
      <c r="K60" s="19">
        <f t="shared" si="39"/>
        <v>0</v>
      </c>
      <c r="L60" s="19">
        <f t="shared" si="40"/>
        <v>0</v>
      </c>
    </row>
    <row r="61" spans="2:12" x14ac:dyDescent="0.3">
      <c r="B61" s="151"/>
      <c r="C61" s="151"/>
      <c r="D61" s="151"/>
      <c r="E61" s="152"/>
      <c r="F61" s="152"/>
      <c r="G61" s="37" t="s">
        <v>271</v>
      </c>
      <c r="H61" s="19">
        <v>354000</v>
      </c>
      <c r="I61" s="19">
        <v>70000</v>
      </c>
      <c r="J61" s="164"/>
      <c r="K61" s="19"/>
      <c r="L61" s="19"/>
    </row>
    <row r="62" spans="2:12" x14ac:dyDescent="0.3">
      <c r="B62" s="151"/>
      <c r="C62" s="151"/>
      <c r="D62" s="151"/>
      <c r="E62" s="152"/>
      <c r="F62" s="152"/>
      <c r="G62" s="37" t="s">
        <v>266</v>
      </c>
      <c r="H62" s="19">
        <f>+H63+H64</f>
        <v>167089.4</v>
      </c>
      <c r="I62" s="19">
        <f t="shared" ref="I62" si="41">+I63+I64</f>
        <v>13300</v>
      </c>
      <c r="J62" s="164">
        <f>+J63+J64</f>
        <v>3300</v>
      </c>
      <c r="K62" s="164">
        <f t="shared" ref="K62" si="42">+K63+K64</f>
        <v>3300</v>
      </c>
      <c r="L62" s="164">
        <f t="shared" ref="L62" si="43">+L63+L64</f>
        <v>0</v>
      </c>
    </row>
    <row r="63" spans="2:12" ht="43.2" x14ac:dyDescent="0.3">
      <c r="B63" s="151"/>
      <c r="C63" s="151"/>
      <c r="D63" s="151"/>
      <c r="E63" s="152"/>
      <c r="F63" s="152"/>
      <c r="G63" s="36" t="s">
        <v>267</v>
      </c>
      <c r="H63" s="19">
        <v>163850</v>
      </c>
      <c r="I63" s="19">
        <v>10000</v>
      </c>
      <c r="J63" s="164"/>
      <c r="K63" s="19"/>
      <c r="L63" s="19"/>
    </row>
    <row r="64" spans="2:12" x14ac:dyDescent="0.3">
      <c r="B64" s="151"/>
      <c r="C64" s="151"/>
      <c r="D64" s="151"/>
      <c r="E64" s="152"/>
      <c r="F64" s="152"/>
      <c r="G64" s="37" t="s">
        <v>268</v>
      </c>
      <c r="H64" s="19">
        <f>2699.5+539.9</f>
        <v>3239.4</v>
      </c>
      <c r="I64" s="19">
        <v>3300</v>
      </c>
      <c r="J64" s="164">
        <v>3300</v>
      </c>
      <c r="K64" s="19">
        <v>3300</v>
      </c>
      <c r="L64" s="19">
        <v>0</v>
      </c>
    </row>
    <row r="65" spans="2:17" ht="43.2" x14ac:dyDescent="0.3">
      <c r="B65" s="151" t="s">
        <v>237</v>
      </c>
      <c r="C65" s="151" t="s">
        <v>238</v>
      </c>
      <c r="D65" s="151" t="s">
        <v>239</v>
      </c>
      <c r="E65" s="152" t="s">
        <v>240</v>
      </c>
      <c r="F65" s="152" t="s">
        <v>293</v>
      </c>
      <c r="G65" s="37" t="s">
        <v>294</v>
      </c>
      <c r="H65" s="184">
        <f>+H67</f>
        <v>4267472.7</v>
      </c>
      <c r="I65" s="184">
        <f t="shared" ref="I65" si="44">+I67</f>
        <v>646510</v>
      </c>
      <c r="J65" s="184">
        <f>+J67</f>
        <v>297675</v>
      </c>
      <c r="K65" s="184">
        <f>+K67</f>
        <v>248351.09</v>
      </c>
      <c r="L65" s="184">
        <f>+L67</f>
        <v>99000</v>
      </c>
      <c r="M65" s="154"/>
      <c r="N65" s="154"/>
      <c r="O65" s="154"/>
      <c r="P65" s="154"/>
      <c r="Q65" s="154"/>
    </row>
    <row r="66" spans="2:17" x14ac:dyDescent="0.3">
      <c r="B66" s="151"/>
      <c r="C66" s="151"/>
      <c r="D66" s="151"/>
      <c r="E66" s="152"/>
      <c r="F66" s="152"/>
      <c r="G66" s="36" t="s">
        <v>129</v>
      </c>
      <c r="H66" s="184"/>
      <c r="I66" s="185"/>
      <c r="J66" s="185"/>
      <c r="K66" s="185"/>
      <c r="L66" s="185"/>
    </row>
    <row r="67" spans="2:17" ht="34.200000000000003" customHeight="1" x14ac:dyDescent="0.3">
      <c r="B67" s="151"/>
      <c r="C67" s="151"/>
      <c r="D67" s="151"/>
      <c r="E67" s="152"/>
      <c r="F67" s="152"/>
      <c r="G67" s="37" t="s">
        <v>242</v>
      </c>
      <c r="H67" s="184">
        <f>+H69</f>
        <v>4267472.7</v>
      </c>
      <c r="I67" s="184">
        <f>+I69</f>
        <v>646510</v>
      </c>
      <c r="J67" s="184">
        <f>+J69</f>
        <v>297675</v>
      </c>
      <c r="K67" s="184">
        <f>+K69</f>
        <v>248351.09</v>
      </c>
      <c r="L67" s="184">
        <f>+L69</f>
        <v>99000</v>
      </c>
      <c r="M67" s="154"/>
      <c r="N67" s="154"/>
      <c r="O67" s="154"/>
      <c r="P67" s="154"/>
      <c r="Q67" s="154"/>
    </row>
    <row r="68" spans="2:17" ht="32.4" x14ac:dyDescent="0.3">
      <c r="B68" s="151"/>
      <c r="C68" s="151"/>
      <c r="D68" s="151"/>
      <c r="E68" s="152"/>
      <c r="F68" s="152"/>
      <c r="G68" s="37" t="s">
        <v>243</v>
      </c>
      <c r="H68" s="184"/>
      <c r="I68" s="184"/>
      <c r="J68" s="184"/>
      <c r="K68" s="184"/>
      <c r="L68" s="184"/>
    </row>
    <row r="69" spans="2:17" x14ac:dyDescent="0.3">
      <c r="B69" s="151"/>
      <c r="C69" s="151"/>
      <c r="D69" s="151"/>
      <c r="E69" s="152"/>
      <c r="F69" s="152"/>
      <c r="G69" s="36" t="s">
        <v>244</v>
      </c>
      <c r="H69" s="184">
        <f>+H70</f>
        <v>4267472.7</v>
      </c>
      <c r="I69" s="184">
        <f t="shared" ref="I69:L69" si="45">+I70</f>
        <v>646510</v>
      </c>
      <c r="J69" s="184">
        <f t="shared" si="45"/>
        <v>297675</v>
      </c>
      <c r="K69" s="184">
        <f t="shared" si="45"/>
        <v>248351.09</v>
      </c>
      <c r="L69" s="184">
        <f t="shared" si="45"/>
        <v>99000</v>
      </c>
    </row>
    <row r="70" spans="2:17" x14ac:dyDescent="0.3">
      <c r="B70" s="151"/>
      <c r="C70" s="151"/>
      <c r="D70" s="151"/>
      <c r="E70" s="152"/>
      <c r="F70" s="152"/>
      <c r="G70" s="37" t="s">
        <v>245</v>
      </c>
      <c r="H70" s="184">
        <f>+H71+H75+H95+H98</f>
        <v>4267472.7</v>
      </c>
      <c r="I70" s="184">
        <f>+I71+I75+I95+I98</f>
        <v>646510</v>
      </c>
      <c r="J70" s="184">
        <f>+J71+J75+J95+J98</f>
        <v>297675</v>
      </c>
      <c r="K70" s="184">
        <f>+K71+K75+K95+K98</f>
        <v>248351.09</v>
      </c>
      <c r="L70" s="184">
        <f>+L71+L75+L95+L98</f>
        <v>99000</v>
      </c>
    </row>
    <row r="71" spans="2:17" x14ac:dyDescent="0.3">
      <c r="B71" s="151"/>
      <c r="C71" s="151"/>
      <c r="D71" s="151"/>
      <c r="E71" s="152"/>
      <c r="F71" s="152"/>
      <c r="G71" s="36" t="s">
        <v>246</v>
      </c>
      <c r="H71" s="184">
        <f>+H72</f>
        <v>239618.93000000002</v>
      </c>
      <c r="I71" s="184">
        <f t="shared" ref="I71:L71" si="46">+I72</f>
        <v>220500</v>
      </c>
      <c r="J71" s="184">
        <f t="shared" si="46"/>
        <v>263802</v>
      </c>
      <c r="K71" s="184">
        <f t="shared" si="46"/>
        <v>215500</v>
      </c>
      <c r="L71" s="184">
        <f t="shared" si="46"/>
        <v>73650</v>
      </c>
    </row>
    <row r="72" spans="2:17" ht="21.6" x14ac:dyDescent="0.3">
      <c r="B72" s="151"/>
      <c r="C72" s="151"/>
      <c r="D72" s="151"/>
      <c r="E72" s="152"/>
      <c r="F72" s="152"/>
      <c r="G72" s="37" t="s">
        <v>247</v>
      </c>
      <c r="H72" s="184">
        <f>+H73+H74</f>
        <v>239618.93000000002</v>
      </c>
      <c r="I72" s="184">
        <f t="shared" ref="I72" si="47">+I73+I74</f>
        <v>220500</v>
      </c>
      <c r="J72" s="184">
        <f t="shared" ref="J72:K72" si="48">+J73+J74</f>
        <v>263802</v>
      </c>
      <c r="K72" s="184">
        <f t="shared" si="48"/>
        <v>215500</v>
      </c>
      <c r="L72" s="184">
        <f t="shared" ref="L72" si="49">+L73+L74</f>
        <v>73650</v>
      </c>
    </row>
    <row r="73" spans="2:17" ht="21.6" x14ac:dyDescent="0.3">
      <c r="B73" s="151"/>
      <c r="C73" s="151"/>
      <c r="D73" s="151"/>
      <c r="E73" s="152"/>
      <c r="F73" s="152"/>
      <c r="G73" s="37" t="s">
        <v>248</v>
      </c>
      <c r="H73" s="184">
        <f>143494.26+93422.5</f>
        <v>236916.76</v>
      </c>
      <c r="I73" s="184">
        <v>210000</v>
      </c>
      <c r="J73" s="184">
        <v>252252</v>
      </c>
      <c r="K73" s="184">
        <v>205500</v>
      </c>
      <c r="L73" s="184">
        <v>70000</v>
      </c>
    </row>
    <row r="74" spans="2:17" ht="21.6" x14ac:dyDescent="0.3">
      <c r="B74" s="151"/>
      <c r="C74" s="151"/>
      <c r="D74" s="151"/>
      <c r="E74" s="152"/>
      <c r="F74" s="152"/>
      <c r="G74" s="36" t="s">
        <v>249</v>
      </c>
      <c r="H74" s="184">
        <f>1955.67+746.5</f>
        <v>2702.17</v>
      </c>
      <c r="I74" s="184">
        <v>10500</v>
      </c>
      <c r="J74" s="184">
        <v>11550</v>
      </c>
      <c r="K74" s="184">
        <v>10000</v>
      </c>
      <c r="L74" s="184">
        <v>3650</v>
      </c>
    </row>
    <row r="75" spans="2:17" ht="21.6" x14ac:dyDescent="0.3">
      <c r="B75" s="151"/>
      <c r="C75" s="151"/>
      <c r="D75" s="151"/>
      <c r="E75" s="152"/>
      <c r="F75" s="152"/>
      <c r="G75" s="37" t="s">
        <v>250</v>
      </c>
      <c r="H75" s="184">
        <f>+H76+H80+H83+H86+H88+H90</f>
        <v>10928.770000000002</v>
      </c>
      <c r="I75" s="184">
        <f>+I76+I80+I83+I86+I88+I90</f>
        <v>21710</v>
      </c>
      <c r="J75" s="184">
        <f>+J76+J80+J83+J86+J88+J90</f>
        <v>29050</v>
      </c>
      <c r="K75" s="184">
        <f>+K76+K80+K83+K86+K88+K90</f>
        <v>28550</v>
      </c>
      <c r="L75" s="184">
        <f>+L76+L80+L83+L86+L88+L90</f>
        <v>21850</v>
      </c>
    </row>
    <row r="76" spans="2:17" x14ac:dyDescent="0.3">
      <c r="B76" s="151"/>
      <c r="C76" s="151"/>
      <c r="D76" s="151"/>
      <c r="E76" s="152"/>
      <c r="F76" s="152"/>
      <c r="G76" s="36" t="s">
        <v>251</v>
      </c>
      <c r="H76" s="184">
        <f>+H77+H78+H79</f>
        <v>7039.01</v>
      </c>
      <c r="I76" s="184">
        <f t="shared" ref="I76" si="50">+I77+I78+I79</f>
        <v>6700</v>
      </c>
      <c r="J76" s="184">
        <f t="shared" ref="J76:K76" si="51">+J77+J78+J79</f>
        <v>6700</v>
      </c>
      <c r="K76" s="184">
        <f t="shared" si="51"/>
        <v>6200</v>
      </c>
      <c r="L76" s="184">
        <f t="shared" ref="L76" si="52">+L77+L78+L79</f>
        <v>6700</v>
      </c>
    </row>
    <row r="77" spans="2:17" x14ac:dyDescent="0.3">
      <c r="B77" s="151"/>
      <c r="C77" s="151"/>
      <c r="D77" s="151"/>
      <c r="E77" s="152"/>
      <c r="F77" s="152"/>
      <c r="G77" s="37" t="s">
        <v>295</v>
      </c>
      <c r="H77" s="184">
        <f>1901.58+376.54</f>
        <v>2278.12</v>
      </c>
      <c r="I77" s="185">
        <v>2700</v>
      </c>
      <c r="J77" s="185">
        <v>2700</v>
      </c>
      <c r="K77" s="185">
        <v>2700</v>
      </c>
      <c r="L77" s="185">
        <v>2700</v>
      </c>
    </row>
    <row r="78" spans="2:17" x14ac:dyDescent="0.3">
      <c r="B78" s="151"/>
      <c r="C78" s="151"/>
      <c r="D78" s="151"/>
      <c r="E78" s="152"/>
      <c r="F78" s="152"/>
      <c r="G78" s="37" t="s">
        <v>253</v>
      </c>
      <c r="H78" s="184">
        <f>2385.45+472.35</f>
        <v>2857.7999999999997</v>
      </c>
      <c r="I78" s="158">
        <v>1000</v>
      </c>
      <c r="J78" s="158">
        <v>1000</v>
      </c>
      <c r="K78" s="158">
        <v>1000</v>
      </c>
      <c r="L78" s="158">
        <v>1000</v>
      </c>
    </row>
    <row r="79" spans="2:17" x14ac:dyDescent="0.3">
      <c r="B79" s="151"/>
      <c r="C79" s="151"/>
      <c r="D79" s="151"/>
      <c r="E79" s="152"/>
      <c r="F79" s="152"/>
      <c r="G79" s="37" t="s">
        <v>254</v>
      </c>
      <c r="H79" s="184">
        <f>1903.09</f>
        <v>1903.09</v>
      </c>
      <c r="I79" s="185">
        <v>3000</v>
      </c>
      <c r="J79" s="185">
        <v>3000</v>
      </c>
      <c r="K79" s="185">
        <v>2500</v>
      </c>
      <c r="L79" s="185">
        <v>3000</v>
      </c>
    </row>
    <row r="80" spans="2:17" ht="21.6" x14ac:dyDescent="0.3">
      <c r="B80" s="151"/>
      <c r="C80" s="151"/>
      <c r="D80" s="151"/>
      <c r="E80" s="152"/>
      <c r="F80" s="152"/>
      <c r="G80" s="36" t="s">
        <v>255</v>
      </c>
      <c r="H80" s="184">
        <f>+H81+H82</f>
        <v>2140.87</v>
      </c>
      <c r="I80" s="184">
        <f t="shared" ref="I80" si="53">+I81+I82</f>
        <v>3000</v>
      </c>
      <c r="J80" s="184">
        <f t="shared" ref="J80:K80" si="54">+J81+J82</f>
        <v>4000</v>
      </c>
      <c r="K80" s="184">
        <f t="shared" si="54"/>
        <v>4000</v>
      </c>
      <c r="L80" s="184">
        <f t="shared" ref="L80" si="55">+L81+L82</f>
        <v>3000</v>
      </c>
    </row>
    <row r="81" spans="2:12" x14ac:dyDescent="0.3">
      <c r="B81" s="151"/>
      <c r="C81" s="151"/>
      <c r="D81" s="151"/>
      <c r="E81" s="152"/>
      <c r="F81" s="152"/>
      <c r="G81" s="37" t="s">
        <v>256</v>
      </c>
      <c r="H81" s="184">
        <f>1953.38</f>
        <v>1953.38</v>
      </c>
      <c r="I81" s="185">
        <v>2000</v>
      </c>
      <c r="J81" s="185">
        <v>3000</v>
      </c>
      <c r="K81" s="185">
        <v>3000</v>
      </c>
      <c r="L81" s="185">
        <v>2000</v>
      </c>
    </row>
    <row r="82" spans="2:12" ht="21.6" x14ac:dyDescent="0.3">
      <c r="B82" s="151"/>
      <c r="C82" s="151"/>
      <c r="D82" s="151"/>
      <c r="E82" s="152"/>
      <c r="F82" s="152"/>
      <c r="G82" s="36" t="s">
        <v>257</v>
      </c>
      <c r="H82" s="184">
        <f>187.49</f>
        <v>187.49</v>
      </c>
      <c r="I82" s="158">
        <v>1000</v>
      </c>
      <c r="J82" s="158">
        <v>1000</v>
      </c>
      <c r="K82" s="158">
        <v>1000</v>
      </c>
      <c r="L82" s="158">
        <v>1000</v>
      </c>
    </row>
    <row r="83" spans="2:12" ht="21.6" x14ac:dyDescent="0.3">
      <c r="B83" s="151"/>
      <c r="C83" s="151"/>
      <c r="D83" s="151"/>
      <c r="E83" s="152"/>
      <c r="F83" s="152"/>
      <c r="G83" s="37" t="s">
        <v>258</v>
      </c>
      <c r="H83" s="184">
        <f>+H84+H85</f>
        <v>1576.4700000000003</v>
      </c>
      <c r="I83" s="184">
        <f t="shared" ref="I83" si="56">+I84+I85</f>
        <v>3360</v>
      </c>
      <c r="J83" s="184">
        <f t="shared" ref="J83:K83" si="57">+J84+J85</f>
        <v>3400</v>
      </c>
      <c r="K83" s="184">
        <f t="shared" si="57"/>
        <v>3400</v>
      </c>
      <c r="L83" s="184">
        <f t="shared" ref="L83" si="58">+L84+L85</f>
        <v>2400</v>
      </c>
    </row>
    <row r="84" spans="2:12" x14ac:dyDescent="0.3">
      <c r="B84" s="151"/>
      <c r="C84" s="151"/>
      <c r="D84" s="151"/>
      <c r="E84" s="152"/>
      <c r="F84" s="152"/>
      <c r="G84" s="37" t="s">
        <v>259</v>
      </c>
      <c r="H84" s="184">
        <f>272.62+20</f>
        <v>292.62</v>
      </c>
      <c r="I84" s="185">
        <v>360</v>
      </c>
      <c r="J84" s="185">
        <v>400</v>
      </c>
      <c r="K84" s="185">
        <v>400</v>
      </c>
      <c r="L84" s="185">
        <v>400</v>
      </c>
    </row>
    <row r="85" spans="2:12" x14ac:dyDescent="0.3">
      <c r="B85" s="151"/>
      <c r="C85" s="151"/>
      <c r="D85" s="151"/>
      <c r="E85" s="152"/>
      <c r="F85" s="152"/>
      <c r="G85" s="36" t="s">
        <v>260</v>
      </c>
      <c r="H85" s="184">
        <f>1212.38+71.47</f>
        <v>1283.8500000000001</v>
      </c>
      <c r="I85" s="158">
        <v>3000</v>
      </c>
      <c r="J85" s="158">
        <v>3000</v>
      </c>
      <c r="K85" s="158">
        <v>3000</v>
      </c>
      <c r="L85" s="158">
        <v>2000</v>
      </c>
    </row>
    <row r="86" spans="2:12" ht="21.6" x14ac:dyDescent="0.3">
      <c r="B86" s="151"/>
      <c r="C86" s="151"/>
      <c r="D86" s="151"/>
      <c r="E86" s="152"/>
      <c r="F86" s="152"/>
      <c r="G86" s="37" t="s">
        <v>261</v>
      </c>
      <c r="H86" s="184">
        <f>+H87</f>
        <v>0</v>
      </c>
      <c r="I86" s="184">
        <f t="shared" ref="I86:L86" si="59">+I87</f>
        <v>3600</v>
      </c>
      <c r="J86" s="184">
        <f t="shared" si="59"/>
        <v>3600</v>
      </c>
      <c r="K86" s="184">
        <f t="shared" si="59"/>
        <v>3600</v>
      </c>
      <c r="L86" s="184">
        <f t="shared" si="59"/>
        <v>3000</v>
      </c>
    </row>
    <row r="87" spans="2:12" x14ac:dyDescent="0.3">
      <c r="B87" s="151"/>
      <c r="C87" s="151"/>
      <c r="D87" s="151"/>
      <c r="E87" s="152"/>
      <c r="F87" s="152"/>
      <c r="G87" s="36" t="s">
        <v>262</v>
      </c>
      <c r="H87" s="184"/>
      <c r="I87" s="158">
        <v>3600</v>
      </c>
      <c r="J87" s="158">
        <v>3600</v>
      </c>
      <c r="K87" s="158">
        <v>3600</v>
      </c>
      <c r="L87" s="158">
        <v>3000</v>
      </c>
    </row>
    <row r="88" spans="2:12" ht="21.6" x14ac:dyDescent="0.3">
      <c r="B88" s="151"/>
      <c r="C88" s="151"/>
      <c r="D88" s="151"/>
      <c r="E88" s="152"/>
      <c r="F88" s="152"/>
      <c r="G88" s="37" t="s">
        <v>289</v>
      </c>
      <c r="H88" s="185">
        <f>+H89</f>
        <v>0</v>
      </c>
      <c r="I88" s="185">
        <f>+I89</f>
        <v>1200</v>
      </c>
      <c r="J88" s="185">
        <f>+J89</f>
        <v>3000</v>
      </c>
      <c r="K88" s="185">
        <f>+K89</f>
        <v>3000</v>
      </c>
      <c r="L88" s="185">
        <f>+L89</f>
        <v>1500</v>
      </c>
    </row>
    <row r="89" spans="2:12" ht="21.6" x14ac:dyDescent="0.3">
      <c r="B89" s="151"/>
      <c r="C89" s="151"/>
      <c r="D89" s="151"/>
      <c r="E89" s="152"/>
      <c r="F89" s="152"/>
      <c r="G89" s="37" t="s">
        <v>290</v>
      </c>
      <c r="H89" s="184"/>
      <c r="I89" s="158">
        <v>1200</v>
      </c>
      <c r="J89" s="158">
        <v>3000</v>
      </c>
      <c r="K89" s="158">
        <v>3000</v>
      </c>
      <c r="L89" s="158">
        <v>1500</v>
      </c>
    </row>
    <row r="90" spans="2:12" x14ac:dyDescent="0.3">
      <c r="B90" s="151"/>
      <c r="C90" s="151"/>
      <c r="D90" s="151"/>
      <c r="E90" s="152"/>
      <c r="F90" s="152"/>
      <c r="G90" s="36" t="s">
        <v>263</v>
      </c>
      <c r="H90" s="184">
        <f>+H91+H93+H94+H92</f>
        <v>172.42000000000002</v>
      </c>
      <c r="I90" s="184">
        <f t="shared" ref="I90" si="60">+I91+I93+I94+I92</f>
        <v>3850</v>
      </c>
      <c r="J90" s="184">
        <f>+J91+J93+J94+J92</f>
        <v>8350</v>
      </c>
      <c r="K90" s="184">
        <f>+K91+K93+K94+K92</f>
        <v>8350</v>
      </c>
      <c r="L90" s="184">
        <f>+L91+L93+L94+L92</f>
        <v>5250</v>
      </c>
    </row>
    <row r="91" spans="2:12" x14ac:dyDescent="0.3">
      <c r="B91" s="151"/>
      <c r="C91" s="151"/>
      <c r="D91" s="151"/>
      <c r="E91" s="152"/>
      <c r="F91" s="152"/>
      <c r="G91" s="37" t="s">
        <v>291</v>
      </c>
      <c r="H91" s="184">
        <f>128.78+25.5</f>
        <v>154.28</v>
      </c>
      <c r="I91" s="185">
        <v>1200</v>
      </c>
      <c r="J91" s="185">
        <v>1200</v>
      </c>
      <c r="K91" s="185">
        <v>1200</v>
      </c>
      <c r="L91" s="185">
        <v>1000</v>
      </c>
    </row>
    <row r="92" spans="2:12" x14ac:dyDescent="0.3">
      <c r="B92" s="151"/>
      <c r="C92" s="151"/>
      <c r="D92" s="151"/>
      <c r="E92" s="152"/>
      <c r="F92" s="152"/>
      <c r="G92" s="37" t="s">
        <v>292</v>
      </c>
      <c r="H92" s="184"/>
      <c r="I92" s="185"/>
      <c r="J92" s="185">
        <v>4500</v>
      </c>
      <c r="K92" s="185">
        <v>4500</v>
      </c>
      <c r="L92" s="185">
        <v>3000</v>
      </c>
    </row>
    <row r="93" spans="2:12" ht="21.6" x14ac:dyDescent="0.3">
      <c r="B93" s="151"/>
      <c r="C93" s="151"/>
      <c r="D93" s="151"/>
      <c r="E93" s="152"/>
      <c r="F93" s="152"/>
      <c r="G93" s="36" t="s">
        <v>264</v>
      </c>
      <c r="H93" s="184"/>
      <c r="I93" s="158">
        <v>250</v>
      </c>
      <c r="J93" s="158">
        <v>250</v>
      </c>
      <c r="K93" s="158">
        <v>250</v>
      </c>
      <c r="L93" s="158">
        <v>250</v>
      </c>
    </row>
    <row r="94" spans="2:12" ht="25.2" customHeight="1" x14ac:dyDescent="0.3">
      <c r="B94" s="151"/>
      <c r="C94" s="151"/>
      <c r="D94" s="151"/>
      <c r="E94" s="152"/>
      <c r="F94" s="152"/>
      <c r="G94" s="37" t="s">
        <v>265</v>
      </c>
      <c r="H94" s="184">
        <f>15.14+3</f>
        <v>18.14</v>
      </c>
      <c r="I94" s="185">
        <v>2400</v>
      </c>
      <c r="J94" s="185">
        <v>2400</v>
      </c>
      <c r="K94" s="185">
        <v>2400</v>
      </c>
      <c r="L94" s="185">
        <v>1000</v>
      </c>
    </row>
    <row r="95" spans="2:12" x14ac:dyDescent="0.3">
      <c r="B95" s="151"/>
      <c r="C95" s="151"/>
      <c r="D95" s="151"/>
      <c r="E95" s="152"/>
      <c r="F95" s="152"/>
      <c r="G95" s="37" t="s">
        <v>269</v>
      </c>
      <c r="H95" s="184">
        <f>+H96</f>
        <v>3741000</v>
      </c>
      <c r="I95" s="184">
        <f t="shared" ref="I95:L95" si="61">+I96</f>
        <v>400000</v>
      </c>
      <c r="J95" s="184">
        <f t="shared" si="61"/>
        <v>0</v>
      </c>
      <c r="K95" s="184">
        <f t="shared" si="61"/>
        <v>0</v>
      </c>
      <c r="L95" s="184">
        <f t="shared" si="61"/>
        <v>0</v>
      </c>
    </row>
    <row r="96" spans="2:12" ht="21.6" x14ac:dyDescent="0.3">
      <c r="B96" s="151"/>
      <c r="C96" s="151"/>
      <c r="D96" s="151"/>
      <c r="E96" s="152"/>
      <c r="F96" s="152"/>
      <c r="G96" s="36" t="s">
        <v>270</v>
      </c>
      <c r="H96" s="184">
        <f>+H97</f>
        <v>3741000</v>
      </c>
      <c r="I96" s="184">
        <f>+I97</f>
        <v>400000</v>
      </c>
      <c r="J96" s="184">
        <f>+J97</f>
        <v>0</v>
      </c>
      <c r="K96" s="184">
        <f>+K97</f>
        <v>0</v>
      </c>
      <c r="L96" s="184">
        <f>+L97</f>
        <v>0</v>
      </c>
    </row>
    <row r="97" spans="2:17" x14ac:dyDescent="0.3">
      <c r="B97" s="151"/>
      <c r="C97" s="151"/>
      <c r="D97" s="151"/>
      <c r="E97" s="152"/>
      <c r="F97" s="152"/>
      <c r="G97" s="37" t="s">
        <v>271</v>
      </c>
      <c r="H97" s="184">
        <f>3741000</f>
        <v>3741000</v>
      </c>
      <c r="I97" s="158">
        <v>400000</v>
      </c>
      <c r="J97" s="158">
        <v>0</v>
      </c>
      <c r="K97" s="158">
        <v>0</v>
      </c>
      <c r="L97" s="158">
        <v>0</v>
      </c>
    </row>
    <row r="98" spans="2:17" x14ac:dyDescent="0.3">
      <c r="B98" s="151"/>
      <c r="C98" s="151"/>
      <c r="D98" s="151"/>
      <c r="E98" s="152"/>
      <c r="F98" s="152"/>
      <c r="G98" s="36" t="s">
        <v>266</v>
      </c>
      <c r="H98" s="184">
        <f>+H99+H100</f>
        <v>275925</v>
      </c>
      <c r="I98" s="184">
        <f t="shared" ref="I98" si="62">+I99+I100</f>
        <v>4300</v>
      </c>
      <c r="J98" s="184">
        <f t="shared" ref="J98:K98" si="63">+J99+J100</f>
        <v>4823</v>
      </c>
      <c r="K98" s="184">
        <f t="shared" si="63"/>
        <v>4301.09</v>
      </c>
      <c r="L98" s="184">
        <f t="shared" ref="L98" si="64">+L99+L100</f>
        <v>3500</v>
      </c>
    </row>
    <row r="99" spans="2:17" ht="43.2" x14ac:dyDescent="0.3">
      <c r="B99" s="151"/>
      <c r="C99" s="151"/>
      <c r="D99" s="151"/>
      <c r="E99" s="152"/>
      <c r="F99" s="152"/>
      <c r="G99" s="37" t="s">
        <v>267</v>
      </c>
      <c r="H99" s="184">
        <f>272575</f>
        <v>272575</v>
      </c>
      <c r="I99" s="185">
        <v>800</v>
      </c>
      <c r="J99" s="185">
        <v>1323</v>
      </c>
      <c r="K99" s="185">
        <v>801.09</v>
      </c>
      <c r="L99" s="185"/>
    </row>
    <row r="100" spans="2:17" x14ac:dyDescent="0.3">
      <c r="B100" s="151"/>
      <c r="C100" s="151"/>
      <c r="D100" s="151"/>
      <c r="E100" s="152"/>
      <c r="F100" s="152"/>
      <c r="G100" s="37" t="s">
        <v>268</v>
      </c>
      <c r="H100" s="184">
        <v>3350</v>
      </c>
      <c r="I100" s="158">
        <v>3500</v>
      </c>
      <c r="J100" s="158">
        <v>3500</v>
      </c>
      <c r="K100" s="158">
        <v>3500</v>
      </c>
      <c r="L100" s="158">
        <v>3500</v>
      </c>
    </row>
    <row r="101" spans="2:17" ht="43.2" x14ac:dyDescent="0.3">
      <c r="B101" s="151" t="s">
        <v>237</v>
      </c>
      <c r="C101" s="151" t="s">
        <v>238</v>
      </c>
      <c r="D101" s="151" t="s">
        <v>239</v>
      </c>
      <c r="E101" s="152" t="s">
        <v>240</v>
      </c>
      <c r="F101" s="152" t="s">
        <v>296</v>
      </c>
      <c r="G101" s="37" t="s">
        <v>297</v>
      </c>
      <c r="H101" s="19">
        <f t="shared" ref="H101:K101" si="65">+H103</f>
        <v>628947.9</v>
      </c>
      <c r="I101" s="19">
        <f t="shared" si="65"/>
        <v>814604.9</v>
      </c>
      <c r="J101" s="19">
        <f>+J103</f>
        <v>432862.5</v>
      </c>
      <c r="K101" s="19">
        <f t="shared" si="65"/>
        <v>124062.5</v>
      </c>
      <c r="L101" s="19">
        <f>+L103</f>
        <v>148175</v>
      </c>
      <c r="M101" s="190"/>
      <c r="N101" s="190"/>
      <c r="O101" s="190"/>
      <c r="P101" s="190"/>
      <c r="Q101" s="190"/>
    </row>
    <row r="102" spans="2:17" x14ac:dyDescent="0.3">
      <c r="B102" s="151"/>
      <c r="C102" s="151"/>
      <c r="D102" s="151"/>
      <c r="E102" s="152"/>
      <c r="F102" s="152"/>
      <c r="G102" s="36" t="s">
        <v>129</v>
      </c>
      <c r="H102" s="36"/>
      <c r="I102" s="36"/>
      <c r="J102" s="36"/>
      <c r="K102" s="19"/>
      <c r="L102" s="19"/>
      <c r="M102" s="89"/>
    </row>
    <row r="103" spans="2:17" ht="32.4" customHeight="1" x14ac:dyDescent="0.3">
      <c r="B103" s="151"/>
      <c r="C103" s="151"/>
      <c r="D103" s="151"/>
      <c r="E103" s="152"/>
      <c r="F103" s="152"/>
      <c r="G103" s="37" t="s">
        <v>242</v>
      </c>
      <c r="H103" s="19">
        <f>+H105</f>
        <v>628947.9</v>
      </c>
      <c r="I103" s="19">
        <f>+I105</f>
        <v>814604.9</v>
      </c>
      <c r="J103" s="19">
        <f>+J105</f>
        <v>432862.5</v>
      </c>
      <c r="K103" s="19">
        <f t="shared" ref="K103" si="66">+K105</f>
        <v>124062.5</v>
      </c>
      <c r="L103" s="19">
        <f t="shared" ref="L103" si="67">+L105</f>
        <v>148175</v>
      </c>
      <c r="M103" s="190"/>
      <c r="N103" s="190"/>
      <c r="O103" s="190"/>
      <c r="P103" s="190"/>
      <c r="Q103" s="190"/>
    </row>
    <row r="104" spans="2:17" ht="32.4" x14ac:dyDescent="0.3">
      <c r="B104" s="151"/>
      <c r="C104" s="151"/>
      <c r="D104" s="151"/>
      <c r="E104" s="152"/>
      <c r="F104" s="152"/>
      <c r="G104" s="37" t="s">
        <v>243</v>
      </c>
      <c r="H104" s="37"/>
      <c r="I104" s="37"/>
      <c r="J104" s="37"/>
      <c r="K104" s="19"/>
      <c r="L104" s="19"/>
      <c r="M104" s="89"/>
    </row>
    <row r="105" spans="2:17" x14ac:dyDescent="0.3">
      <c r="B105" s="151"/>
      <c r="C105" s="151"/>
      <c r="D105" s="151"/>
      <c r="E105" s="152"/>
      <c r="F105" s="152"/>
      <c r="G105" s="36" t="s">
        <v>244</v>
      </c>
      <c r="H105" s="19">
        <f t="shared" ref="H105" si="68">+H106</f>
        <v>628947.9</v>
      </c>
      <c r="I105" s="19">
        <f>+I106</f>
        <v>814604.9</v>
      </c>
      <c r="J105" s="19">
        <f>+J106</f>
        <v>432862.5</v>
      </c>
      <c r="K105" s="19">
        <f t="shared" ref="K105:L105" si="69">+K106</f>
        <v>124062.5</v>
      </c>
      <c r="L105" s="19">
        <f t="shared" si="69"/>
        <v>148175</v>
      </c>
      <c r="M105" s="89"/>
    </row>
    <row r="106" spans="2:17" x14ac:dyDescent="0.3">
      <c r="B106" s="151"/>
      <c r="C106" s="151"/>
      <c r="D106" s="151"/>
      <c r="E106" s="152"/>
      <c r="F106" s="152"/>
      <c r="G106" s="37" t="s">
        <v>245</v>
      </c>
      <c r="H106" s="19">
        <f>+H107+H111+H131+H134</f>
        <v>628947.9</v>
      </c>
      <c r="I106" s="19">
        <f>+I107+I111+I131+I134</f>
        <v>814604.9</v>
      </c>
      <c r="J106" s="19">
        <f>+J107+J111+J131+J134</f>
        <v>432862.5</v>
      </c>
      <c r="K106" s="19">
        <f t="shared" ref="K106" si="70">+K107+K111+K131+K134</f>
        <v>124062.5</v>
      </c>
      <c r="L106" s="19">
        <f t="shared" ref="L106" si="71">+L107+L111+L131+L134</f>
        <v>148175</v>
      </c>
      <c r="M106" s="89"/>
    </row>
    <row r="107" spans="2:17" x14ac:dyDescent="0.3">
      <c r="B107" s="151"/>
      <c r="C107" s="151"/>
      <c r="D107" s="151"/>
      <c r="E107" s="152"/>
      <c r="F107" s="152"/>
      <c r="G107" s="36" t="s">
        <v>246</v>
      </c>
      <c r="H107" s="19">
        <f t="shared" ref="H107:L107" si="72">+H108</f>
        <v>0</v>
      </c>
      <c r="I107" s="19">
        <f t="shared" si="72"/>
        <v>37300</v>
      </c>
      <c r="J107" s="19">
        <f>+J108</f>
        <v>151000</v>
      </c>
      <c r="K107" s="19">
        <f t="shared" si="72"/>
        <v>97139.5</v>
      </c>
      <c r="L107" s="19">
        <f t="shared" si="72"/>
        <v>121252</v>
      </c>
      <c r="M107" s="89"/>
    </row>
    <row r="108" spans="2:17" ht="21.6" x14ac:dyDescent="0.3">
      <c r="B108" s="151"/>
      <c r="C108" s="151"/>
      <c r="D108" s="151"/>
      <c r="E108" s="152"/>
      <c r="F108" s="152"/>
      <c r="G108" s="37" t="s">
        <v>247</v>
      </c>
      <c r="H108" s="19">
        <f t="shared" ref="H108:K108" si="73">+H109+H110</f>
        <v>0</v>
      </c>
      <c r="I108" s="19">
        <f t="shared" si="73"/>
        <v>37300</v>
      </c>
      <c r="J108" s="19">
        <f>+J109+J110</f>
        <v>151000</v>
      </c>
      <c r="K108" s="19">
        <f t="shared" si="73"/>
        <v>97139.5</v>
      </c>
      <c r="L108" s="19">
        <f t="shared" ref="L108" si="74">+L109+L110</f>
        <v>121252</v>
      </c>
      <c r="M108" s="89"/>
    </row>
    <row r="109" spans="2:17" ht="21.6" x14ac:dyDescent="0.3">
      <c r="B109" s="151"/>
      <c r="C109" s="151"/>
      <c r="D109" s="151"/>
      <c r="E109" s="152"/>
      <c r="F109" s="152"/>
      <c r="G109" s="37" t="s">
        <v>248</v>
      </c>
      <c r="H109" s="19"/>
      <c r="I109" s="36">
        <v>34300</v>
      </c>
      <c r="J109" s="36">
        <v>140000</v>
      </c>
      <c r="K109" s="19">
        <v>95000</v>
      </c>
      <c r="L109" s="19">
        <v>115000</v>
      </c>
      <c r="M109" s="89"/>
    </row>
    <row r="110" spans="2:17" ht="21.6" x14ac:dyDescent="0.3">
      <c r="B110" s="151"/>
      <c r="C110" s="151"/>
      <c r="D110" s="151"/>
      <c r="E110" s="152"/>
      <c r="F110" s="152"/>
      <c r="G110" s="36" t="s">
        <v>249</v>
      </c>
      <c r="H110" s="19"/>
      <c r="I110" s="37">
        <v>3000</v>
      </c>
      <c r="J110" s="37">
        <v>11000</v>
      </c>
      <c r="K110" s="19">
        <v>2139.5</v>
      </c>
      <c r="L110" s="19">
        <v>6252</v>
      </c>
      <c r="M110" s="89"/>
    </row>
    <row r="111" spans="2:17" ht="21.6" x14ac:dyDescent="0.3">
      <c r="B111" s="151"/>
      <c r="C111" s="151"/>
      <c r="D111" s="151"/>
      <c r="E111" s="152"/>
      <c r="F111" s="152"/>
      <c r="G111" s="37" t="s">
        <v>250</v>
      </c>
      <c r="H111" s="19">
        <f t="shared" ref="H111:K111" si="75">+H112+H116+H119+H122+H124+H126</f>
        <v>0</v>
      </c>
      <c r="I111" s="19">
        <f t="shared" si="75"/>
        <v>6040</v>
      </c>
      <c r="J111" s="19">
        <f t="shared" ref="J111" si="76">+J112+J116+J119+J122+J124+J126</f>
        <v>24743</v>
      </c>
      <c r="K111" s="19">
        <f t="shared" si="75"/>
        <v>23323</v>
      </c>
      <c r="L111" s="19">
        <f t="shared" ref="L111" si="77">+L112+L116+L119+L122+L124+L126</f>
        <v>23323</v>
      </c>
      <c r="M111" s="89"/>
    </row>
    <row r="112" spans="2:17" x14ac:dyDescent="0.3">
      <c r="B112" s="151"/>
      <c r="C112" s="151"/>
      <c r="D112" s="151"/>
      <c r="E112" s="152"/>
      <c r="F112" s="152"/>
      <c r="G112" s="36" t="s">
        <v>251</v>
      </c>
      <c r="H112" s="19">
        <f t="shared" ref="H112:K112" si="78">+H113+H114+H115</f>
        <v>0</v>
      </c>
      <c r="I112" s="19">
        <f t="shared" si="78"/>
        <v>840</v>
      </c>
      <c r="J112" s="19">
        <f t="shared" ref="J112" si="79">+J113+J114+J115</f>
        <v>6880</v>
      </c>
      <c r="K112" s="19">
        <f t="shared" si="78"/>
        <v>7460</v>
      </c>
      <c r="L112" s="19">
        <f t="shared" ref="L112" si="80">+L113+L114+L115</f>
        <v>7460</v>
      </c>
      <c r="M112" s="89"/>
    </row>
    <row r="113" spans="2:13" x14ac:dyDescent="0.3">
      <c r="B113" s="151"/>
      <c r="C113" s="151"/>
      <c r="D113" s="151"/>
      <c r="E113" s="152"/>
      <c r="F113" s="152"/>
      <c r="G113" s="37" t="s">
        <v>295</v>
      </c>
      <c r="H113" s="19"/>
      <c r="I113" s="36"/>
      <c r="J113" s="36">
        <v>4000</v>
      </c>
      <c r="K113" s="36">
        <v>4000</v>
      </c>
      <c r="L113" s="36">
        <v>4000</v>
      </c>
      <c r="M113" s="89"/>
    </row>
    <row r="114" spans="2:13" x14ac:dyDescent="0.3">
      <c r="B114" s="151"/>
      <c r="C114" s="151"/>
      <c r="D114" s="151"/>
      <c r="E114" s="152"/>
      <c r="F114" s="152"/>
      <c r="G114" s="37" t="s">
        <v>253</v>
      </c>
      <c r="H114" s="19"/>
      <c r="I114" s="37"/>
      <c r="J114" s="37">
        <v>1560</v>
      </c>
      <c r="K114" s="37">
        <v>1560</v>
      </c>
      <c r="L114" s="37">
        <v>1560</v>
      </c>
      <c r="M114" s="89"/>
    </row>
    <row r="115" spans="2:13" x14ac:dyDescent="0.3">
      <c r="B115" s="151"/>
      <c r="C115" s="151"/>
      <c r="D115" s="151"/>
      <c r="E115" s="152"/>
      <c r="F115" s="152"/>
      <c r="G115" s="37" t="s">
        <v>254</v>
      </c>
      <c r="H115" s="19"/>
      <c r="I115" s="36">
        <v>840</v>
      </c>
      <c r="J115" s="36">
        <v>1320</v>
      </c>
      <c r="K115" s="36">
        <v>1900</v>
      </c>
      <c r="L115" s="36">
        <v>1900</v>
      </c>
      <c r="M115" s="89"/>
    </row>
    <row r="116" spans="2:13" ht="21.6" x14ac:dyDescent="0.3">
      <c r="B116" s="151"/>
      <c r="C116" s="151"/>
      <c r="D116" s="151"/>
      <c r="E116" s="152"/>
      <c r="F116" s="152"/>
      <c r="G116" s="36" t="s">
        <v>255</v>
      </c>
      <c r="H116" s="19">
        <f t="shared" ref="H116:I116" si="81">+H117+H118</f>
        <v>0</v>
      </c>
      <c r="I116" s="19">
        <f t="shared" si="81"/>
        <v>2000</v>
      </c>
      <c r="J116" s="19">
        <f t="shared" ref="J116" si="82">+J117+J118</f>
        <v>4000</v>
      </c>
      <c r="K116" s="19">
        <f t="shared" ref="K116" si="83">+K117+K118</f>
        <v>4000</v>
      </c>
      <c r="L116" s="19">
        <f t="shared" ref="L116" si="84">+L117+L118</f>
        <v>4000</v>
      </c>
      <c r="M116" s="89"/>
    </row>
    <row r="117" spans="2:13" x14ac:dyDescent="0.3">
      <c r="B117" s="151"/>
      <c r="C117" s="151"/>
      <c r="D117" s="151"/>
      <c r="E117" s="152"/>
      <c r="F117" s="152"/>
      <c r="G117" s="37" t="s">
        <v>256</v>
      </c>
      <c r="H117" s="36"/>
      <c r="I117" s="36">
        <v>2000</v>
      </c>
      <c r="J117" s="36">
        <v>3000</v>
      </c>
      <c r="K117" s="36">
        <v>3000</v>
      </c>
      <c r="L117" s="36">
        <v>3000</v>
      </c>
      <c r="M117" s="89"/>
    </row>
    <row r="118" spans="2:13" ht="21.6" x14ac:dyDescent="0.3">
      <c r="B118" s="151"/>
      <c r="C118" s="151"/>
      <c r="D118" s="151"/>
      <c r="E118" s="152"/>
      <c r="F118" s="152"/>
      <c r="G118" s="36" t="s">
        <v>257</v>
      </c>
      <c r="H118" s="37"/>
      <c r="I118" s="37"/>
      <c r="J118" s="37">
        <v>1000</v>
      </c>
      <c r="K118" s="37">
        <v>1000</v>
      </c>
      <c r="L118" s="37">
        <v>1000</v>
      </c>
    </row>
    <row r="119" spans="2:13" ht="21.6" x14ac:dyDescent="0.3">
      <c r="B119" s="151"/>
      <c r="C119" s="151"/>
      <c r="D119" s="151"/>
      <c r="E119" s="152"/>
      <c r="F119" s="152"/>
      <c r="G119" s="37" t="s">
        <v>258</v>
      </c>
      <c r="H119" s="19">
        <f t="shared" ref="H119:I119" si="85">+H120+H121</f>
        <v>0</v>
      </c>
      <c r="I119" s="19">
        <f t="shared" si="85"/>
        <v>2000</v>
      </c>
      <c r="J119" s="19">
        <f t="shared" ref="J119" si="86">+J120+J121</f>
        <v>2163</v>
      </c>
      <c r="K119" s="19">
        <f t="shared" ref="K119" si="87">+K120+K121</f>
        <v>2163</v>
      </c>
      <c r="L119" s="19">
        <f t="shared" ref="L119" si="88">+L120+L121</f>
        <v>2163</v>
      </c>
    </row>
    <row r="120" spans="2:13" x14ac:dyDescent="0.3">
      <c r="B120" s="151"/>
      <c r="C120" s="151"/>
      <c r="D120" s="151"/>
      <c r="E120" s="152"/>
      <c r="F120" s="152"/>
      <c r="G120" s="37" t="s">
        <v>259</v>
      </c>
      <c r="H120" s="36"/>
      <c r="I120" s="36"/>
      <c r="J120" s="36">
        <v>163</v>
      </c>
      <c r="K120" s="36">
        <v>163</v>
      </c>
      <c r="L120" s="36">
        <v>163</v>
      </c>
    </row>
    <row r="121" spans="2:13" x14ac:dyDescent="0.3">
      <c r="B121" s="151"/>
      <c r="C121" s="151"/>
      <c r="D121" s="151"/>
      <c r="E121" s="152"/>
      <c r="F121" s="152"/>
      <c r="G121" s="36" t="s">
        <v>260</v>
      </c>
      <c r="H121" s="37"/>
      <c r="I121" s="37">
        <v>2000</v>
      </c>
      <c r="J121" s="37">
        <v>2000</v>
      </c>
      <c r="K121" s="37">
        <v>2000</v>
      </c>
      <c r="L121" s="37">
        <v>2000</v>
      </c>
    </row>
    <row r="122" spans="2:13" ht="21.6" x14ac:dyDescent="0.3">
      <c r="B122" s="151"/>
      <c r="C122" s="151"/>
      <c r="D122" s="151"/>
      <c r="E122" s="152"/>
      <c r="F122" s="152"/>
      <c r="G122" s="37" t="s">
        <v>261</v>
      </c>
      <c r="H122" s="19">
        <f t="shared" ref="H122:J122" si="89">+H123</f>
        <v>0</v>
      </c>
      <c r="I122" s="19">
        <f t="shared" si="89"/>
        <v>1200</v>
      </c>
      <c r="J122" s="19">
        <f t="shared" si="89"/>
        <v>1200</v>
      </c>
      <c r="K122" s="19">
        <f t="shared" ref="K122:L122" si="90">+K123</f>
        <v>2200</v>
      </c>
      <c r="L122" s="19">
        <f t="shared" si="90"/>
        <v>2200</v>
      </c>
    </row>
    <row r="123" spans="2:13" x14ac:dyDescent="0.3">
      <c r="B123" s="151"/>
      <c r="C123" s="151"/>
      <c r="D123" s="151"/>
      <c r="E123" s="152"/>
      <c r="F123" s="152"/>
      <c r="G123" s="36" t="s">
        <v>262</v>
      </c>
      <c r="H123" s="37"/>
      <c r="I123" s="37">
        <v>1200</v>
      </c>
      <c r="J123" s="37">
        <v>1200</v>
      </c>
      <c r="K123" s="37">
        <v>2200</v>
      </c>
      <c r="L123" s="37">
        <v>2200</v>
      </c>
    </row>
    <row r="124" spans="2:13" ht="21.6" x14ac:dyDescent="0.3">
      <c r="B124" s="151"/>
      <c r="C124" s="151"/>
      <c r="D124" s="151"/>
      <c r="E124" s="152"/>
      <c r="F124" s="152"/>
      <c r="G124" s="37" t="s">
        <v>289</v>
      </c>
      <c r="H124" s="36">
        <f t="shared" ref="H124:J124" si="91">+H125</f>
        <v>0</v>
      </c>
      <c r="I124" s="36">
        <f t="shared" si="91"/>
        <v>0</v>
      </c>
      <c r="J124" s="36">
        <f t="shared" si="91"/>
        <v>3000</v>
      </c>
      <c r="K124" s="36">
        <f t="shared" ref="K124:L124" si="92">+K125</f>
        <v>3000</v>
      </c>
      <c r="L124" s="36">
        <f t="shared" si="92"/>
        <v>3000</v>
      </c>
    </row>
    <row r="125" spans="2:13" ht="21.6" x14ac:dyDescent="0.3">
      <c r="B125" s="151"/>
      <c r="C125" s="151"/>
      <c r="D125" s="151"/>
      <c r="E125" s="152"/>
      <c r="F125" s="152"/>
      <c r="G125" s="37" t="s">
        <v>290</v>
      </c>
      <c r="H125" s="37"/>
      <c r="I125" s="37"/>
      <c r="J125" s="37">
        <v>3000</v>
      </c>
      <c r="K125" s="37">
        <v>3000</v>
      </c>
      <c r="L125" s="37">
        <v>3000</v>
      </c>
    </row>
    <row r="126" spans="2:13" x14ac:dyDescent="0.3">
      <c r="B126" s="151"/>
      <c r="C126" s="151"/>
      <c r="D126" s="151"/>
      <c r="E126" s="152"/>
      <c r="F126" s="152"/>
      <c r="G126" s="36" t="s">
        <v>263</v>
      </c>
      <c r="H126" s="19">
        <f t="shared" ref="H126:I126" si="93">+H127+H129+H130+H128</f>
        <v>0</v>
      </c>
      <c r="I126" s="19">
        <f t="shared" si="93"/>
        <v>0</v>
      </c>
      <c r="J126" s="19">
        <f t="shared" ref="J126" si="94">+J127+J129+J130+J128</f>
        <v>7500</v>
      </c>
      <c r="K126" s="19">
        <f t="shared" ref="K126" si="95">+K127+K129+K130+K128</f>
        <v>4500</v>
      </c>
      <c r="L126" s="19">
        <f t="shared" ref="L126" si="96">+L127+L129+L130+L128</f>
        <v>4500</v>
      </c>
    </row>
    <row r="127" spans="2:13" x14ac:dyDescent="0.3">
      <c r="B127" s="151"/>
      <c r="C127" s="151"/>
      <c r="D127" s="151"/>
      <c r="E127" s="152"/>
      <c r="F127" s="152"/>
      <c r="G127" s="37" t="s">
        <v>291</v>
      </c>
      <c r="H127" s="19"/>
      <c r="I127" s="36"/>
      <c r="J127" s="36"/>
      <c r="K127" s="36"/>
      <c r="L127" s="36"/>
    </row>
    <row r="128" spans="2:13" x14ac:dyDescent="0.3">
      <c r="B128" s="151"/>
      <c r="C128" s="151"/>
      <c r="D128" s="151"/>
      <c r="E128" s="152"/>
      <c r="F128" s="152"/>
      <c r="G128" s="37" t="s">
        <v>292</v>
      </c>
      <c r="H128" s="19"/>
      <c r="I128" s="36"/>
      <c r="J128" s="36">
        <v>4500</v>
      </c>
      <c r="K128" s="36">
        <v>4500</v>
      </c>
      <c r="L128" s="36">
        <v>4500</v>
      </c>
    </row>
    <row r="129" spans="2:17" ht="21.6" x14ac:dyDescent="0.3">
      <c r="B129" s="151"/>
      <c r="C129" s="151"/>
      <c r="D129" s="151"/>
      <c r="E129" s="152"/>
      <c r="F129" s="152"/>
      <c r="G129" s="36" t="s">
        <v>264</v>
      </c>
      <c r="H129" s="19"/>
      <c r="I129" s="37"/>
      <c r="J129" s="37"/>
      <c r="K129" s="37"/>
      <c r="L129" s="37"/>
    </row>
    <row r="130" spans="2:17" x14ac:dyDescent="0.3">
      <c r="B130" s="151"/>
      <c r="C130" s="151"/>
      <c r="D130" s="151"/>
      <c r="E130" s="152"/>
      <c r="F130" s="152"/>
      <c r="G130" s="37" t="s">
        <v>265</v>
      </c>
      <c r="H130" s="19"/>
      <c r="I130" s="36"/>
      <c r="J130" s="36">
        <v>3000</v>
      </c>
      <c r="K130" s="36"/>
      <c r="L130" s="36"/>
    </row>
    <row r="131" spans="2:17" x14ac:dyDescent="0.3">
      <c r="B131" s="151"/>
      <c r="C131" s="151"/>
      <c r="D131" s="151"/>
      <c r="E131" s="152"/>
      <c r="F131" s="152"/>
      <c r="G131" s="37" t="s">
        <v>269</v>
      </c>
      <c r="H131" s="19">
        <f t="shared" ref="H131:L132" si="97">+H132</f>
        <v>628947.9</v>
      </c>
      <c r="I131" s="19">
        <f t="shared" si="97"/>
        <v>667664.9</v>
      </c>
      <c r="J131" s="19">
        <f t="shared" si="97"/>
        <v>200000</v>
      </c>
      <c r="K131" s="19">
        <f t="shared" si="97"/>
        <v>0</v>
      </c>
      <c r="L131" s="19">
        <f t="shared" si="97"/>
        <v>0</v>
      </c>
    </row>
    <row r="132" spans="2:17" ht="21.6" x14ac:dyDescent="0.3">
      <c r="B132" s="151"/>
      <c r="C132" s="151"/>
      <c r="D132" s="151"/>
      <c r="E132" s="152"/>
      <c r="F132" s="152"/>
      <c r="G132" s="36" t="s">
        <v>270</v>
      </c>
      <c r="H132" s="19">
        <f t="shared" si="97"/>
        <v>628947.9</v>
      </c>
      <c r="I132" s="19">
        <f t="shared" si="97"/>
        <v>667664.9</v>
      </c>
      <c r="J132" s="19">
        <f t="shared" si="97"/>
        <v>200000</v>
      </c>
      <c r="K132" s="19">
        <f>+K133</f>
        <v>0</v>
      </c>
      <c r="L132" s="19">
        <f>+L133</f>
        <v>0</v>
      </c>
    </row>
    <row r="133" spans="2:17" x14ac:dyDescent="0.3">
      <c r="B133" s="151"/>
      <c r="C133" s="151"/>
      <c r="D133" s="151"/>
      <c r="E133" s="152"/>
      <c r="F133" s="152"/>
      <c r="G133" s="37" t="s">
        <v>271</v>
      </c>
      <c r="H133" s="19">
        <v>628947.9</v>
      </c>
      <c r="I133" s="37">
        <v>667664.9</v>
      </c>
      <c r="J133" s="37">
        <v>200000</v>
      </c>
      <c r="K133" s="19"/>
      <c r="L133" s="19"/>
      <c r="O133" s="155"/>
    </row>
    <row r="134" spans="2:17" x14ac:dyDescent="0.3">
      <c r="B134" s="151"/>
      <c r="C134" s="151"/>
      <c r="D134" s="151"/>
      <c r="E134" s="152"/>
      <c r="F134" s="152"/>
      <c r="G134" s="36" t="s">
        <v>266</v>
      </c>
      <c r="H134" s="19">
        <f t="shared" ref="H134:K134" si="98">+H135+H136</f>
        <v>0</v>
      </c>
      <c r="I134" s="19">
        <f t="shared" si="98"/>
        <v>103600</v>
      </c>
      <c r="J134" s="19">
        <f t="shared" ref="J134" si="99">+J135+J136</f>
        <v>57119.5</v>
      </c>
      <c r="K134" s="19">
        <f t="shared" si="98"/>
        <v>3600</v>
      </c>
      <c r="L134" s="19">
        <f t="shared" ref="L134" si="100">+L135+L136</f>
        <v>3600</v>
      </c>
      <c r="O134" s="155"/>
    </row>
    <row r="135" spans="2:17" ht="43.2" x14ac:dyDescent="0.3">
      <c r="B135" s="151"/>
      <c r="C135" s="151"/>
      <c r="D135" s="151"/>
      <c r="E135" s="152"/>
      <c r="F135" s="152"/>
      <c r="G135" s="37" t="s">
        <v>267</v>
      </c>
      <c r="H135" s="19"/>
      <c r="I135" s="36">
        <v>100000</v>
      </c>
      <c r="J135" s="36">
        <v>53519.5</v>
      </c>
      <c r="K135" s="36"/>
      <c r="L135" s="36"/>
      <c r="N135" s="155"/>
      <c r="O135" s="155"/>
    </row>
    <row r="136" spans="2:17" x14ac:dyDescent="0.3">
      <c r="B136" s="151"/>
      <c r="C136" s="151"/>
      <c r="D136" s="151"/>
      <c r="E136" s="152"/>
      <c r="F136" s="152"/>
      <c r="G136" s="37" t="s">
        <v>268</v>
      </c>
      <c r="H136" s="19"/>
      <c r="I136" s="37">
        <v>3600</v>
      </c>
      <c r="J136" s="37">
        <v>3600</v>
      </c>
      <c r="K136" s="37">
        <v>3600</v>
      </c>
      <c r="L136" s="37">
        <v>3600</v>
      </c>
    </row>
    <row r="137" spans="2:17" ht="52.2" customHeight="1" x14ac:dyDescent="0.3">
      <c r="B137" s="151" t="s">
        <v>237</v>
      </c>
      <c r="C137" s="151" t="s">
        <v>238</v>
      </c>
      <c r="D137" s="151" t="s">
        <v>239</v>
      </c>
      <c r="E137" s="151" t="s">
        <v>240</v>
      </c>
      <c r="F137" s="151" t="s">
        <v>298</v>
      </c>
      <c r="G137" s="37" t="s">
        <v>299</v>
      </c>
      <c r="H137" s="184">
        <f>+H139</f>
        <v>1300584.1000000001</v>
      </c>
      <c r="I137" s="184">
        <f>+I139</f>
        <v>213260</v>
      </c>
      <c r="J137" s="184">
        <f>+J139</f>
        <v>102715</v>
      </c>
      <c r="K137" s="184">
        <f>+K139</f>
        <v>159615.5</v>
      </c>
      <c r="L137" s="184">
        <f>+L139</f>
        <v>216376.9425</v>
      </c>
      <c r="M137" s="154"/>
      <c r="N137" s="154"/>
      <c r="O137" s="154"/>
      <c r="P137" s="154"/>
      <c r="Q137" s="154"/>
    </row>
    <row r="138" spans="2:17" x14ac:dyDescent="0.3">
      <c r="B138" s="151"/>
      <c r="C138" s="151"/>
      <c r="D138" s="151"/>
      <c r="E138" s="152"/>
      <c r="F138" s="152"/>
      <c r="G138" s="36" t="s">
        <v>129</v>
      </c>
      <c r="H138" s="184"/>
      <c r="I138" s="185"/>
      <c r="J138" s="185"/>
      <c r="K138" s="185"/>
      <c r="L138" s="185"/>
      <c r="M138" s="154"/>
    </row>
    <row r="139" spans="2:17" ht="31.2" customHeight="1" x14ac:dyDescent="0.3">
      <c r="B139" s="151"/>
      <c r="C139" s="151"/>
      <c r="D139" s="151"/>
      <c r="E139" s="152"/>
      <c r="F139" s="152"/>
      <c r="G139" s="37" t="s">
        <v>242</v>
      </c>
      <c r="H139" s="184">
        <f>+H141</f>
        <v>1300584.1000000001</v>
      </c>
      <c r="I139" s="184">
        <f>+I141</f>
        <v>213260</v>
      </c>
      <c r="J139" s="184">
        <f>+J141</f>
        <v>102715</v>
      </c>
      <c r="K139" s="184">
        <f>+K141</f>
        <v>159615.5</v>
      </c>
      <c r="L139" s="184">
        <f>+L141</f>
        <v>216376.9425</v>
      </c>
      <c r="M139" s="154"/>
      <c r="N139" s="154"/>
      <c r="O139" s="154"/>
      <c r="P139" s="154"/>
      <c r="Q139" s="154"/>
    </row>
    <row r="140" spans="2:17" ht="32.4" x14ac:dyDescent="0.3">
      <c r="B140" s="151"/>
      <c r="C140" s="151"/>
      <c r="D140" s="151"/>
      <c r="E140" s="152"/>
      <c r="F140" s="152"/>
      <c r="G140" s="37" t="s">
        <v>243</v>
      </c>
      <c r="H140" s="184"/>
      <c r="I140" s="158"/>
      <c r="J140" s="158"/>
      <c r="K140" s="158"/>
      <c r="L140" s="158"/>
    </row>
    <row r="141" spans="2:17" x14ac:dyDescent="0.3">
      <c r="B141" s="151"/>
      <c r="C141" s="151"/>
      <c r="D141" s="151"/>
      <c r="E141" s="152"/>
      <c r="F141" s="152"/>
      <c r="G141" s="36" t="s">
        <v>244</v>
      </c>
      <c r="H141" s="184">
        <f t="shared" ref="H141:L141" si="101">+H142</f>
        <v>1300584.1000000001</v>
      </c>
      <c r="I141" s="184">
        <f t="shared" si="101"/>
        <v>213260</v>
      </c>
      <c r="J141" s="184">
        <f t="shared" si="101"/>
        <v>102715</v>
      </c>
      <c r="K141" s="184">
        <f t="shared" si="101"/>
        <v>159615.5</v>
      </c>
      <c r="L141" s="184">
        <f t="shared" si="101"/>
        <v>216376.9425</v>
      </c>
    </row>
    <row r="142" spans="2:17" x14ac:dyDescent="0.3">
      <c r="B142" s="151"/>
      <c r="C142" s="151"/>
      <c r="D142" s="151"/>
      <c r="E142" s="152"/>
      <c r="F142" s="152"/>
      <c r="G142" s="37" t="s">
        <v>245</v>
      </c>
      <c r="H142" s="184">
        <f t="shared" ref="H142:I142" si="102">+H143+H147+H167+H170</f>
        <v>1300584.1000000001</v>
      </c>
      <c r="I142" s="184">
        <f t="shared" si="102"/>
        <v>213260</v>
      </c>
      <c r="J142" s="184">
        <f t="shared" ref="J142:K142" si="103">+J143+J147+J167+J170</f>
        <v>102715</v>
      </c>
      <c r="K142" s="184">
        <f t="shared" si="103"/>
        <v>159615.5</v>
      </c>
      <c r="L142" s="184">
        <f t="shared" ref="L142" si="104">+L143+L147+L167+L170</f>
        <v>216376.9425</v>
      </c>
    </row>
    <row r="143" spans="2:17" x14ac:dyDescent="0.3">
      <c r="B143" s="151"/>
      <c r="C143" s="151"/>
      <c r="D143" s="151"/>
      <c r="E143" s="152"/>
      <c r="F143" s="152"/>
      <c r="G143" s="36" t="s">
        <v>246</v>
      </c>
      <c r="H143" s="184">
        <f t="shared" ref="H143:L143" si="105">+H144</f>
        <v>0</v>
      </c>
      <c r="I143" s="184">
        <f t="shared" si="105"/>
        <v>60000</v>
      </c>
      <c r="J143" s="184">
        <f t="shared" si="105"/>
        <v>80355</v>
      </c>
      <c r="K143" s="184">
        <f t="shared" si="105"/>
        <v>134000</v>
      </c>
      <c r="L143" s="184">
        <f t="shared" si="105"/>
        <v>177000</v>
      </c>
    </row>
    <row r="144" spans="2:17" ht="21.6" x14ac:dyDescent="0.3">
      <c r="B144" s="151"/>
      <c r="C144" s="151"/>
      <c r="D144" s="151"/>
      <c r="E144" s="152"/>
      <c r="F144" s="152"/>
      <c r="G144" s="37" t="s">
        <v>247</v>
      </c>
      <c r="H144" s="184">
        <f t="shared" ref="H144:I144" si="106">+H145+H146</f>
        <v>0</v>
      </c>
      <c r="I144" s="184">
        <f t="shared" si="106"/>
        <v>60000</v>
      </c>
      <c r="J144" s="184">
        <f t="shared" ref="J144:K144" si="107">+J145+J146</f>
        <v>80355</v>
      </c>
      <c r="K144" s="184">
        <f t="shared" si="107"/>
        <v>134000</v>
      </c>
      <c r="L144" s="184">
        <f t="shared" ref="L144" si="108">+L145+L146</f>
        <v>177000</v>
      </c>
    </row>
    <row r="145" spans="2:12" ht="21.6" x14ac:dyDescent="0.3">
      <c r="B145" s="151"/>
      <c r="C145" s="151"/>
      <c r="D145" s="151"/>
      <c r="E145" s="152"/>
      <c r="F145" s="152"/>
      <c r="G145" s="37" t="s">
        <v>248</v>
      </c>
      <c r="H145" s="19"/>
      <c r="I145" s="184">
        <v>50000</v>
      </c>
      <c r="J145" s="184">
        <v>77000</v>
      </c>
      <c r="K145" s="184">
        <v>120000</v>
      </c>
      <c r="L145" s="184">
        <v>160000</v>
      </c>
    </row>
    <row r="146" spans="2:12" ht="21.6" x14ac:dyDescent="0.3">
      <c r="B146" s="151"/>
      <c r="C146" s="151"/>
      <c r="D146" s="151"/>
      <c r="E146" s="152"/>
      <c r="F146" s="152"/>
      <c r="G146" s="36" t="s">
        <v>249</v>
      </c>
      <c r="H146" s="19"/>
      <c r="I146" s="158">
        <v>10000</v>
      </c>
      <c r="J146" s="158">
        <v>3355</v>
      </c>
      <c r="K146" s="158">
        <v>14000</v>
      </c>
      <c r="L146" s="158">
        <v>17000</v>
      </c>
    </row>
    <row r="147" spans="2:12" ht="21.6" x14ac:dyDescent="0.3">
      <c r="B147" s="151"/>
      <c r="C147" s="151"/>
      <c r="D147" s="151"/>
      <c r="E147" s="152"/>
      <c r="F147" s="152"/>
      <c r="G147" s="37" t="s">
        <v>250</v>
      </c>
      <c r="H147" s="19"/>
      <c r="I147" s="184">
        <f>I148+I152+I155+I158+I160+I162</f>
        <v>9260</v>
      </c>
      <c r="J147" s="184">
        <f>J148+J152+J155+J158+J160+J162</f>
        <v>18360</v>
      </c>
      <c r="K147" s="184">
        <f>K148+K152+K155+K158+K160+K162</f>
        <v>20960</v>
      </c>
      <c r="L147" s="184">
        <f>L148+L152+L155+L158+L160+L162</f>
        <v>32460</v>
      </c>
    </row>
    <row r="148" spans="2:12" x14ac:dyDescent="0.3">
      <c r="B148" s="151"/>
      <c r="C148" s="151"/>
      <c r="D148" s="151"/>
      <c r="E148" s="152"/>
      <c r="F148" s="152"/>
      <c r="G148" s="36" t="s">
        <v>251</v>
      </c>
      <c r="H148" s="19">
        <f t="shared" ref="H148:I148" si="109">+H149+H150+H151</f>
        <v>0</v>
      </c>
      <c r="I148" s="184">
        <f t="shared" si="109"/>
        <v>3360</v>
      </c>
      <c r="J148" s="184">
        <f t="shared" ref="J148:K148" si="110">+J149+J150+J151</f>
        <v>3360</v>
      </c>
      <c r="K148" s="184">
        <f t="shared" si="110"/>
        <v>4960</v>
      </c>
      <c r="L148" s="184">
        <f t="shared" ref="L148" si="111">+L149+L150+L151</f>
        <v>4960</v>
      </c>
    </row>
    <row r="149" spans="2:12" x14ac:dyDescent="0.3">
      <c r="B149" s="151"/>
      <c r="C149" s="151"/>
      <c r="D149" s="151"/>
      <c r="E149" s="152"/>
      <c r="F149" s="152"/>
      <c r="G149" s="37" t="s">
        <v>295</v>
      </c>
      <c r="H149" s="19"/>
      <c r="I149" s="184"/>
      <c r="J149" s="184"/>
      <c r="K149" s="184"/>
      <c r="L149" s="184"/>
    </row>
    <row r="150" spans="2:12" x14ac:dyDescent="0.3">
      <c r="B150" s="151"/>
      <c r="C150" s="151"/>
      <c r="D150" s="151"/>
      <c r="E150" s="152"/>
      <c r="F150" s="152"/>
      <c r="G150" s="37" t="s">
        <v>253</v>
      </c>
      <c r="H150" s="19"/>
      <c r="I150" s="184">
        <v>960</v>
      </c>
      <c r="J150" s="184">
        <v>960</v>
      </c>
      <c r="K150" s="184">
        <v>1960</v>
      </c>
      <c r="L150" s="184">
        <v>1960</v>
      </c>
    </row>
    <row r="151" spans="2:12" x14ac:dyDescent="0.3">
      <c r="B151" s="151"/>
      <c r="C151" s="151"/>
      <c r="D151" s="151"/>
      <c r="E151" s="152"/>
      <c r="F151" s="152"/>
      <c r="G151" s="37" t="s">
        <v>254</v>
      </c>
      <c r="H151" s="19"/>
      <c r="I151" s="184">
        <v>2400</v>
      </c>
      <c r="J151" s="184">
        <v>2400</v>
      </c>
      <c r="K151" s="184">
        <v>3000</v>
      </c>
      <c r="L151" s="184">
        <v>3000</v>
      </c>
    </row>
    <row r="152" spans="2:12" ht="21.6" x14ac:dyDescent="0.3">
      <c r="B152" s="151"/>
      <c r="C152" s="151"/>
      <c r="D152" s="151"/>
      <c r="E152" s="152"/>
      <c r="F152" s="152"/>
      <c r="G152" s="36" t="s">
        <v>255</v>
      </c>
      <c r="H152" s="19">
        <f t="shared" ref="H152:I152" si="112">+H153+H154</f>
        <v>0</v>
      </c>
      <c r="I152" s="184">
        <f t="shared" si="112"/>
        <v>2500</v>
      </c>
      <c r="J152" s="184">
        <f t="shared" ref="J152:K152" si="113">+J153+J154</f>
        <v>3500</v>
      </c>
      <c r="K152" s="184">
        <f t="shared" si="113"/>
        <v>3500</v>
      </c>
      <c r="L152" s="184">
        <f t="shared" ref="L152" si="114">+L153+L154</f>
        <v>4500</v>
      </c>
    </row>
    <row r="153" spans="2:12" x14ac:dyDescent="0.3">
      <c r="B153" s="151"/>
      <c r="C153" s="151"/>
      <c r="D153" s="151"/>
      <c r="E153" s="152"/>
      <c r="F153" s="152"/>
      <c r="G153" s="37" t="s">
        <v>256</v>
      </c>
      <c r="H153" s="19"/>
      <c r="I153" s="184">
        <v>2000</v>
      </c>
      <c r="J153" s="184">
        <v>3000</v>
      </c>
      <c r="K153" s="184">
        <v>3000</v>
      </c>
      <c r="L153" s="184">
        <v>4000</v>
      </c>
    </row>
    <row r="154" spans="2:12" ht="21.6" x14ac:dyDescent="0.3">
      <c r="B154" s="151"/>
      <c r="C154" s="151"/>
      <c r="D154" s="151"/>
      <c r="E154" s="152"/>
      <c r="F154" s="152"/>
      <c r="G154" s="36" t="s">
        <v>257</v>
      </c>
      <c r="H154" s="19"/>
      <c r="I154" s="184">
        <v>500</v>
      </c>
      <c r="J154" s="184">
        <v>500</v>
      </c>
      <c r="K154" s="184">
        <v>500</v>
      </c>
      <c r="L154" s="184">
        <v>500</v>
      </c>
    </row>
    <row r="155" spans="2:12" ht="21.6" x14ac:dyDescent="0.3">
      <c r="B155" s="151"/>
      <c r="C155" s="151"/>
      <c r="D155" s="151"/>
      <c r="E155" s="152"/>
      <c r="F155" s="152"/>
      <c r="G155" s="37" t="s">
        <v>258</v>
      </c>
      <c r="H155" s="19">
        <f t="shared" ref="H155:I155" si="115">+H156+H157</f>
        <v>0</v>
      </c>
      <c r="I155" s="184">
        <f t="shared" si="115"/>
        <v>1000</v>
      </c>
      <c r="J155" s="184">
        <f t="shared" ref="J155:K155" si="116">+J156+J157</f>
        <v>1000</v>
      </c>
      <c r="K155" s="184">
        <f t="shared" si="116"/>
        <v>2000</v>
      </c>
      <c r="L155" s="184">
        <f t="shared" ref="L155" si="117">+L156+L157</f>
        <v>2000</v>
      </c>
    </row>
    <row r="156" spans="2:12" x14ac:dyDescent="0.3">
      <c r="B156" s="151"/>
      <c r="C156" s="151"/>
      <c r="D156" s="151"/>
      <c r="E156" s="152"/>
      <c r="F156" s="152"/>
      <c r="G156" s="37" t="s">
        <v>259</v>
      </c>
      <c r="H156" s="19"/>
      <c r="I156" s="184"/>
      <c r="J156" s="184"/>
      <c r="K156" s="184"/>
      <c r="L156" s="184"/>
    </row>
    <row r="157" spans="2:12" x14ac:dyDescent="0.3">
      <c r="B157" s="151"/>
      <c r="C157" s="151"/>
      <c r="D157" s="151"/>
      <c r="E157" s="152"/>
      <c r="F157" s="152"/>
      <c r="G157" s="36" t="s">
        <v>260</v>
      </c>
      <c r="H157" s="19"/>
      <c r="I157" s="184">
        <v>1000</v>
      </c>
      <c r="J157" s="184">
        <v>1000</v>
      </c>
      <c r="K157" s="184">
        <v>2000</v>
      </c>
      <c r="L157" s="184">
        <v>2000</v>
      </c>
    </row>
    <row r="158" spans="2:12" ht="21.6" x14ac:dyDescent="0.3">
      <c r="B158" s="151"/>
      <c r="C158" s="151"/>
      <c r="D158" s="151"/>
      <c r="E158" s="152"/>
      <c r="F158" s="152"/>
      <c r="G158" s="37" t="s">
        <v>261</v>
      </c>
      <c r="H158" s="19">
        <f t="shared" ref="H158:L158" si="118">+H159</f>
        <v>0</v>
      </c>
      <c r="I158" s="184">
        <f t="shared" si="118"/>
        <v>400</v>
      </c>
      <c r="J158" s="184">
        <f t="shared" si="118"/>
        <v>2000</v>
      </c>
      <c r="K158" s="184">
        <f t="shared" si="118"/>
        <v>2000</v>
      </c>
      <c r="L158" s="184">
        <f t="shared" si="118"/>
        <v>3000</v>
      </c>
    </row>
    <row r="159" spans="2:12" x14ac:dyDescent="0.3">
      <c r="B159" s="151"/>
      <c r="C159" s="151"/>
      <c r="D159" s="151"/>
      <c r="E159" s="152"/>
      <c r="F159" s="152"/>
      <c r="G159" s="36" t="s">
        <v>262</v>
      </c>
      <c r="H159" s="19"/>
      <c r="I159" s="184">
        <v>400</v>
      </c>
      <c r="J159" s="184">
        <v>2000</v>
      </c>
      <c r="K159" s="184">
        <v>2000</v>
      </c>
      <c r="L159" s="184">
        <v>3000</v>
      </c>
    </row>
    <row r="160" spans="2:12" ht="21.6" x14ac:dyDescent="0.3">
      <c r="B160" s="151"/>
      <c r="C160" s="151"/>
      <c r="D160" s="151"/>
      <c r="E160" s="152"/>
      <c r="F160" s="152"/>
      <c r="G160" s="37" t="s">
        <v>289</v>
      </c>
      <c r="H160" s="36">
        <f t="shared" ref="H160:L160" si="119">+H161</f>
        <v>0</v>
      </c>
      <c r="I160" s="185">
        <f t="shared" si="119"/>
        <v>2000</v>
      </c>
      <c r="J160" s="185">
        <f t="shared" si="119"/>
        <v>4500</v>
      </c>
      <c r="K160" s="185">
        <f t="shared" si="119"/>
        <v>4500</v>
      </c>
      <c r="L160" s="185">
        <f t="shared" si="119"/>
        <v>4500</v>
      </c>
    </row>
    <row r="161" spans="2:17" ht="21.6" x14ac:dyDescent="0.3">
      <c r="B161" s="151"/>
      <c r="C161" s="151"/>
      <c r="D161" s="151"/>
      <c r="E161" s="152"/>
      <c r="F161" s="152"/>
      <c r="G161" s="37" t="s">
        <v>290</v>
      </c>
      <c r="H161" s="19"/>
      <c r="I161" s="158">
        <v>2000</v>
      </c>
      <c r="J161" s="158">
        <v>4500</v>
      </c>
      <c r="K161" s="158">
        <v>4500</v>
      </c>
      <c r="L161" s="158">
        <v>4500</v>
      </c>
    </row>
    <row r="162" spans="2:17" x14ac:dyDescent="0.3">
      <c r="B162" s="151"/>
      <c r="C162" s="151"/>
      <c r="D162" s="151"/>
      <c r="E162" s="152"/>
      <c r="F162" s="152"/>
      <c r="G162" s="36" t="s">
        <v>263</v>
      </c>
      <c r="H162" s="19">
        <f t="shared" ref="H162:I162" si="120">+H163+H165+H166+H164</f>
        <v>0</v>
      </c>
      <c r="I162" s="184">
        <f t="shared" si="120"/>
        <v>0</v>
      </c>
      <c r="J162" s="184">
        <f t="shared" ref="J162:K162" si="121">+J163+J165+J166+J164</f>
        <v>4000</v>
      </c>
      <c r="K162" s="184">
        <f t="shared" si="121"/>
        <v>4000</v>
      </c>
      <c r="L162" s="184">
        <f t="shared" ref="L162" si="122">+L163+L165+L166+L164</f>
        <v>13500</v>
      </c>
    </row>
    <row r="163" spans="2:17" x14ac:dyDescent="0.3">
      <c r="B163" s="151"/>
      <c r="C163" s="151"/>
      <c r="D163" s="151"/>
      <c r="E163" s="152"/>
      <c r="F163" s="152"/>
      <c r="G163" s="37" t="s">
        <v>291</v>
      </c>
      <c r="H163" s="19"/>
      <c r="I163" s="184"/>
      <c r="J163" s="184"/>
      <c r="K163" s="184"/>
      <c r="L163" s="184">
        <v>3000</v>
      </c>
    </row>
    <row r="164" spans="2:17" x14ac:dyDescent="0.3">
      <c r="B164" s="151"/>
      <c r="C164" s="151"/>
      <c r="D164" s="151"/>
      <c r="E164" s="152"/>
      <c r="F164" s="152"/>
      <c r="G164" s="37" t="s">
        <v>292</v>
      </c>
      <c r="H164" s="19"/>
      <c r="I164" s="184"/>
      <c r="J164" s="184">
        <v>4000</v>
      </c>
      <c r="K164" s="184">
        <v>4000</v>
      </c>
      <c r="L164" s="184">
        <v>5500</v>
      </c>
    </row>
    <row r="165" spans="2:17" ht="21.6" x14ac:dyDescent="0.3">
      <c r="B165" s="151"/>
      <c r="C165" s="151"/>
      <c r="D165" s="151"/>
      <c r="E165" s="152"/>
      <c r="F165" s="152"/>
      <c r="G165" s="36" t="s">
        <v>264</v>
      </c>
      <c r="H165" s="19"/>
      <c r="I165" s="184"/>
      <c r="J165" s="184"/>
      <c r="K165" s="184"/>
      <c r="L165" s="184">
        <v>2000</v>
      </c>
    </row>
    <row r="166" spans="2:17" x14ac:dyDescent="0.3">
      <c r="B166" s="151"/>
      <c r="C166" s="151"/>
      <c r="D166" s="151"/>
      <c r="E166" s="152"/>
      <c r="F166" s="152"/>
      <c r="G166" s="37" t="s">
        <v>265</v>
      </c>
      <c r="H166" s="19"/>
      <c r="I166" s="184"/>
      <c r="J166" s="184"/>
      <c r="K166" s="184"/>
      <c r="L166" s="184">
        <v>3000</v>
      </c>
    </row>
    <row r="167" spans="2:17" x14ac:dyDescent="0.3">
      <c r="B167" s="151"/>
      <c r="C167" s="151"/>
      <c r="D167" s="151"/>
      <c r="E167" s="152"/>
      <c r="F167" s="152"/>
      <c r="G167" s="37" t="s">
        <v>269</v>
      </c>
      <c r="H167" s="184">
        <f>+H168</f>
        <v>1150584.1000000001</v>
      </c>
      <c r="I167" s="184">
        <f t="shared" ref="I167:L168" si="123">+I168</f>
        <v>110000</v>
      </c>
      <c r="J167" s="184">
        <f t="shared" si="123"/>
        <v>0</v>
      </c>
      <c r="K167" s="184">
        <f t="shared" si="123"/>
        <v>0</v>
      </c>
      <c r="L167" s="184">
        <f t="shared" si="123"/>
        <v>0</v>
      </c>
    </row>
    <row r="168" spans="2:17" ht="21.6" x14ac:dyDescent="0.3">
      <c r="B168" s="151"/>
      <c r="C168" s="151"/>
      <c r="D168" s="151"/>
      <c r="E168" s="152"/>
      <c r="F168" s="152"/>
      <c r="G168" s="36" t="s">
        <v>270</v>
      </c>
      <c r="H168" s="184">
        <f>+H169</f>
        <v>1150584.1000000001</v>
      </c>
      <c r="I168" s="184">
        <f t="shared" si="123"/>
        <v>110000</v>
      </c>
      <c r="J168" s="184">
        <f t="shared" si="123"/>
        <v>0</v>
      </c>
      <c r="K168" s="184">
        <f t="shared" si="123"/>
        <v>0</v>
      </c>
      <c r="L168" s="184">
        <f t="shared" si="123"/>
        <v>0</v>
      </c>
    </row>
    <row r="169" spans="2:17" x14ac:dyDescent="0.3">
      <c r="B169" s="151"/>
      <c r="C169" s="151"/>
      <c r="D169" s="151"/>
      <c r="E169" s="152"/>
      <c r="F169" s="152"/>
      <c r="G169" s="37" t="s">
        <v>271</v>
      </c>
      <c r="H169" s="184">
        <v>1150584.1000000001</v>
      </c>
      <c r="I169" s="158">
        <v>110000</v>
      </c>
      <c r="J169" s="158"/>
      <c r="K169" s="158"/>
      <c r="L169" s="158"/>
    </row>
    <row r="170" spans="2:17" x14ac:dyDescent="0.3">
      <c r="B170" s="151"/>
      <c r="C170" s="151"/>
      <c r="D170" s="151"/>
      <c r="E170" s="152"/>
      <c r="F170" s="152"/>
      <c r="G170" s="36" t="s">
        <v>266</v>
      </c>
      <c r="H170" s="184">
        <f t="shared" ref="H170:I170" si="124">+H171+H172</f>
        <v>150000</v>
      </c>
      <c r="I170" s="184">
        <f t="shared" si="124"/>
        <v>34000</v>
      </c>
      <c r="J170" s="184">
        <f t="shared" ref="J170" si="125">+J171+J172</f>
        <v>4000</v>
      </c>
      <c r="K170" s="184">
        <f>+K171+K172</f>
        <v>4655.5</v>
      </c>
      <c r="L170" s="184">
        <f t="shared" ref="L170" si="126">+L171+L172</f>
        <v>6916.9425000000047</v>
      </c>
    </row>
    <row r="171" spans="2:17" ht="43.2" x14ac:dyDescent="0.3">
      <c r="B171" s="151"/>
      <c r="C171" s="151"/>
      <c r="D171" s="151"/>
      <c r="E171" s="152"/>
      <c r="F171" s="152"/>
      <c r="G171" s="37" t="s">
        <v>267</v>
      </c>
      <c r="H171" s="185">
        <v>150000</v>
      </c>
      <c r="I171" s="185">
        <v>30000</v>
      </c>
      <c r="J171" s="185"/>
      <c r="K171" s="185"/>
      <c r="L171" s="185">
        <v>2000</v>
      </c>
    </row>
    <row r="172" spans="2:17" x14ac:dyDescent="0.3">
      <c r="B172" s="151"/>
      <c r="C172" s="151"/>
      <c r="D172" s="151"/>
      <c r="E172" s="152"/>
      <c r="F172" s="152"/>
      <c r="G172" s="37" t="s">
        <v>268</v>
      </c>
      <c r="H172" s="37"/>
      <c r="I172" s="158">
        <v>4000</v>
      </c>
      <c r="J172" s="158">
        <v>4000</v>
      </c>
      <c r="K172" s="158">
        <v>4655.5</v>
      </c>
      <c r="L172" s="158">
        <v>4916.9425000000047</v>
      </c>
    </row>
    <row r="173" spans="2:17" ht="43.2" x14ac:dyDescent="0.3">
      <c r="B173" s="151" t="s">
        <v>237</v>
      </c>
      <c r="C173" s="151" t="s">
        <v>238</v>
      </c>
      <c r="D173" s="151" t="s">
        <v>239</v>
      </c>
      <c r="E173" s="151" t="s">
        <v>240</v>
      </c>
      <c r="F173" s="151" t="s">
        <v>300</v>
      </c>
      <c r="G173" s="37" t="s">
        <v>301</v>
      </c>
      <c r="H173" s="19">
        <f t="shared" ref="H173" si="127">+H175</f>
        <v>0</v>
      </c>
      <c r="I173" s="19">
        <f t="shared" ref="I173:L173" si="128">+I175</f>
        <v>100000</v>
      </c>
      <c r="J173" s="19">
        <f>+J175</f>
        <v>700000</v>
      </c>
      <c r="K173" s="19">
        <f>+K175</f>
        <v>300000</v>
      </c>
      <c r="L173" s="19">
        <f t="shared" si="128"/>
        <v>0</v>
      </c>
      <c r="M173" s="154"/>
      <c r="N173" s="154"/>
      <c r="O173" s="154"/>
      <c r="P173" s="154"/>
      <c r="Q173" s="154"/>
    </row>
    <row r="174" spans="2:17" x14ac:dyDescent="0.3">
      <c r="B174" s="151"/>
      <c r="C174" s="151"/>
      <c r="D174" s="151"/>
      <c r="E174" s="152"/>
      <c r="F174" s="152"/>
      <c r="G174" s="37" t="s">
        <v>129</v>
      </c>
      <c r="H174" s="19"/>
      <c r="I174" s="19"/>
      <c r="J174" s="19"/>
      <c r="K174" s="19"/>
      <c r="L174" s="19"/>
      <c r="M174" s="154"/>
    </row>
    <row r="175" spans="2:17" ht="21.6" x14ac:dyDescent="0.3">
      <c r="B175" s="151"/>
      <c r="C175" s="151"/>
      <c r="D175" s="151"/>
      <c r="E175" s="152"/>
      <c r="F175" s="152"/>
      <c r="G175" s="36" t="s">
        <v>242</v>
      </c>
      <c r="H175" s="19">
        <f t="shared" ref="H175" si="129">+H177</f>
        <v>0</v>
      </c>
      <c r="I175" s="19">
        <f t="shared" ref="I175:L175" si="130">+I177</f>
        <v>100000</v>
      </c>
      <c r="J175" s="156">
        <f>+J177</f>
        <v>700000</v>
      </c>
      <c r="K175" s="19">
        <f t="shared" si="130"/>
        <v>300000</v>
      </c>
      <c r="L175" s="19">
        <f t="shared" si="130"/>
        <v>0</v>
      </c>
      <c r="M175" s="154"/>
      <c r="N175" s="154"/>
      <c r="O175" s="154"/>
      <c r="P175" s="154"/>
      <c r="Q175" s="154"/>
    </row>
    <row r="176" spans="2:17" ht="32.4" x14ac:dyDescent="0.3">
      <c r="B176" s="151"/>
      <c r="C176" s="151"/>
      <c r="D176" s="151"/>
      <c r="E176" s="152"/>
      <c r="F176" s="152"/>
      <c r="G176" s="37" t="s">
        <v>243</v>
      </c>
      <c r="H176" s="19"/>
      <c r="I176" s="19"/>
      <c r="J176" s="19"/>
      <c r="K176" s="19"/>
      <c r="L176" s="19"/>
    </row>
    <row r="177" spans="2:17" x14ac:dyDescent="0.3">
      <c r="B177" s="151"/>
      <c r="C177" s="151"/>
      <c r="D177" s="151"/>
      <c r="E177" s="152"/>
      <c r="F177" s="152"/>
      <c r="G177" s="36" t="s">
        <v>244</v>
      </c>
      <c r="H177" s="156">
        <f>+H178</f>
        <v>0</v>
      </c>
      <c r="I177" s="156">
        <f t="shared" ref="I177:L177" si="131">+I178</f>
        <v>100000</v>
      </c>
      <c r="J177" s="156">
        <f t="shared" si="131"/>
        <v>700000</v>
      </c>
      <c r="K177" s="156">
        <f t="shared" si="131"/>
        <v>300000</v>
      </c>
      <c r="L177" s="156">
        <f t="shared" si="131"/>
        <v>0</v>
      </c>
    </row>
    <row r="178" spans="2:17" x14ac:dyDescent="0.3">
      <c r="B178" s="151"/>
      <c r="C178" s="151"/>
      <c r="D178" s="151"/>
      <c r="E178" s="152"/>
      <c r="F178" s="152"/>
      <c r="G178" s="37" t="s">
        <v>245</v>
      </c>
      <c r="H178" s="156">
        <f>+H179+H182</f>
        <v>0</v>
      </c>
      <c r="I178" s="156">
        <f t="shared" ref="I178:L178" si="132">+I179+I182</f>
        <v>100000</v>
      </c>
      <c r="J178" s="156">
        <f t="shared" si="132"/>
        <v>700000</v>
      </c>
      <c r="K178" s="156">
        <f t="shared" si="132"/>
        <v>300000</v>
      </c>
      <c r="L178" s="156">
        <f t="shared" si="132"/>
        <v>0</v>
      </c>
    </row>
    <row r="179" spans="2:17" x14ac:dyDescent="0.3">
      <c r="B179" s="151"/>
      <c r="C179" s="151"/>
      <c r="D179" s="151"/>
      <c r="E179" s="152"/>
      <c r="F179" s="152"/>
      <c r="G179" s="37" t="s">
        <v>269</v>
      </c>
      <c r="H179" s="19">
        <f t="shared" ref="H179:L180" si="133">+H180</f>
        <v>0</v>
      </c>
      <c r="I179" s="19">
        <f t="shared" si="133"/>
        <v>80000</v>
      </c>
      <c r="J179" s="19">
        <f t="shared" si="133"/>
        <v>500000</v>
      </c>
      <c r="K179" s="19">
        <f t="shared" si="133"/>
        <v>250000</v>
      </c>
      <c r="L179" s="19">
        <f t="shared" si="133"/>
        <v>0</v>
      </c>
    </row>
    <row r="180" spans="2:17" ht="21.6" x14ac:dyDescent="0.3">
      <c r="B180" s="151"/>
      <c r="C180" s="151"/>
      <c r="D180" s="151"/>
      <c r="E180" s="152"/>
      <c r="F180" s="152"/>
      <c r="G180" s="36" t="s">
        <v>270</v>
      </c>
      <c r="H180" s="19">
        <f t="shared" si="133"/>
        <v>0</v>
      </c>
      <c r="I180" s="19">
        <f t="shared" si="133"/>
        <v>80000</v>
      </c>
      <c r="J180" s="19">
        <f t="shared" si="133"/>
        <v>500000</v>
      </c>
      <c r="K180" s="19">
        <f t="shared" si="133"/>
        <v>250000</v>
      </c>
      <c r="L180" s="19">
        <f t="shared" si="133"/>
        <v>0</v>
      </c>
    </row>
    <row r="181" spans="2:17" x14ac:dyDescent="0.3">
      <c r="B181" s="151"/>
      <c r="C181" s="151"/>
      <c r="D181" s="151"/>
      <c r="E181" s="152"/>
      <c r="F181" s="152"/>
      <c r="G181" s="37" t="s">
        <v>271</v>
      </c>
      <c r="H181" s="167"/>
      <c r="I181" s="37">
        <v>80000</v>
      </c>
      <c r="J181" s="19">
        <v>500000</v>
      </c>
      <c r="K181" s="19">
        <v>250000</v>
      </c>
      <c r="L181" s="19"/>
    </row>
    <row r="182" spans="2:17" x14ac:dyDescent="0.3">
      <c r="B182" s="151"/>
      <c r="C182" s="151"/>
      <c r="D182" s="151"/>
      <c r="E182" s="152"/>
      <c r="F182" s="152"/>
      <c r="G182" s="36" t="s">
        <v>266</v>
      </c>
      <c r="H182" s="19">
        <f t="shared" ref="H182:J182" si="134">+H183+H184</f>
        <v>0</v>
      </c>
      <c r="I182" s="19">
        <f t="shared" si="134"/>
        <v>20000</v>
      </c>
      <c r="J182" s="19">
        <f t="shared" si="134"/>
        <v>200000</v>
      </c>
      <c r="K182" s="19">
        <f>+K183+K184</f>
        <v>50000</v>
      </c>
      <c r="L182" s="19">
        <f>+L183+L184</f>
        <v>0</v>
      </c>
    </row>
    <row r="183" spans="2:17" ht="43.2" x14ac:dyDescent="0.3">
      <c r="B183" s="151"/>
      <c r="C183" s="151"/>
      <c r="D183" s="151"/>
      <c r="E183" s="152"/>
      <c r="F183" s="152"/>
      <c r="G183" s="37" t="s">
        <v>267</v>
      </c>
      <c r="H183" s="19"/>
      <c r="I183" s="36">
        <v>20000</v>
      </c>
      <c r="J183" s="36">
        <v>200000</v>
      </c>
      <c r="K183" s="36">
        <v>50000</v>
      </c>
      <c r="L183" s="36"/>
    </row>
    <row r="184" spans="2:17" x14ac:dyDescent="0.3">
      <c r="B184" s="151"/>
      <c r="C184" s="151"/>
      <c r="D184" s="151"/>
      <c r="E184" s="152"/>
      <c r="F184" s="152"/>
      <c r="G184" s="37" t="s">
        <v>268</v>
      </c>
      <c r="H184" s="19"/>
      <c r="I184" s="37"/>
      <c r="J184" s="37"/>
      <c r="K184" s="37"/>
      <c r="L184" s="37"/>
    </row>
    <row r="185" spans="2:17" ht="64.8" x14ac:dyDescent="0.3">
      <c r="B185" s="151" t="s">
        <v>237</v>
      </c>
      <c r="C185" s="151" t="s">
        <v>238</v>
      </c>
      <c r="D185" s="151" t="s">
        <v>239</v>
      </c>
      <c r="E185" s="151" t="s">
        <v>240</v>
      </c>
      <c r="F185" s="151" t="s">
        <v>311</v>
      </c>
      <c r="G185" s="19" t="s">
        <v>272</v>
      </c>
      <c r="H185" s="158">
        <f>+H187</f>
        <v>463903.51696929999</v>
      </c>
      <c r="I185" s="158">
        <f>+I187</f>
        <v>1000533.2</v>
      </c>
      <c r="J185" s="19">
        <f>+J187</f>
        <v>174800</v>
      </c>
      <c r="K185" s="19">
        <f>+K187</f>
        <v>0</v>
      </c>
      <c r="L185" s="19">
        <f>+L187</f>
        <v>0</v>
      </c>
      <c r="M185" s="154"/>
      <c r="N185" s="154"/>
      <c r="O185" s="154"/>
      <c r="P185" s="154"/>
      <c r="Q185" s="154"/>
    </row>
    <row r="186" spans="2:17" x14ac:dyDescent="0.3">
      <c r="B186" s="151"/>
      <c r="C186" s="151"/>
      <c r="D186" s="151"/>
      <c r="E186" s="152"/>
      <c r="F186" s="152"/>
      <c r="G186" s="36" t="s">
        <v>129</v>
      </c>
      <c r="H186" s="158"/>
      <c r="I186" s="158"/>
      <c r="J186" s="19"/>
      <c r="K186" s="19"/>
      <c r="L186" s="19"/>
    </row>
    <row r="187" spans="2:17" ht="34.200000000000003" customHeight="1" x14ac:dyDescent="0.3">
      <c r="B187" s="151"/>
      <c r="C187" s="151"/>
      <c r="D187" s="151"/>
      <c r="E187" s="152"/>
      <c r="F187" s="152"/>
      <c r="G187" s="37" t="s">
        <v>242</v>
      </c>
      <c r="H187" s="158">
        <f>+H189</f>
        <v>463903.51696929999</v>
      </c>
      <c r="I187" s="158">
        <f>+I189</f>
        <v>1000533.2</v>
      </c>
      <c r="J187" s="19">
        <f>+J189</f>
        <v>174800</v>
      </c>
      <c r="K187" s="19">
        <f>+K189</f>
        <v>0</v>
      </c>
      <c r="L187" s="19">
        <f>+L189</f>
        <v>0</v>
      </c>
      <c r="M187" s="154"/>
      <c r="N187" s="154"/>
      <c r="O187" s="154"/>
      <c r="P187" s="154"/>
      <c r="Q187" s="154"/>
    </row>
    <row r="188" spans="2:17" ht="32.4" x14ac:dyDescent="0.3">
      <c r="B188" s="151"/>
      <c r="C188" s="151"/>
      <c r="D188" s="151"/>
      <c r="E188" s="152"/>
      <c r="F188" s="152"/>
      <c r="G188" s="37" t="s">
        <v>243</v>
      </c>
      <c r="H188" s="158"/>
      <c r="I188" s="158"/>
      <c r="J188" s="19"/>
      <c r="K188" s="19"/>
      <c r="L188" s="19"/>
    </row>
    <row r="189" spans="2:17" x14ac:dyDescent="0.3">
      <c r="B189" s="151"/>
      <c r="C189" s="151"/>
      <c r="D189" s="151"/>
      <c r="E189" s="152"/>
      <c r="F189" s="152"/>
      <c r="G189" s="36" t="s">
        <v>244</v>
      </c>
      <c r="H189" s="158">
        <f t="shared" ref="H189:I190" si="135">+H190</f>
        <v>463903.51696929999</v>
      </c>
      <c r="I189" s="158">
        <f t="shared" si="135"/>
        <v>1000533.2</v>
      </c>
      <c r="J189" s="19">
        <f t="shared" ref="J189:L190" si="136">+J190</f>
        <v>174800</v>
      </c>
      <c r="K189" s="19">
        <f t="shared" si="136"/>
        <v>0</v>
      </c>
      <c r="L189" s="19">
        <f t="shared" si="136"/>
        <v>0</v>
      </c>
    </row>
    <row r="190" spans="2:17" ht="21.6" x14ac:dyDescent="0.3">
      <c r="B190" s="151"/>
      <c r="C190" s="151"/>
      <c r="D190" s="151"/>
      <c r="E190" s="152"/>
      <c r="F190" s="152"/>
      <c r="G190" s="37" t="s">
        <v>273</v>
      </c>
      <c r="H190" s="158">
        <f t="shared" si="135"/>
        <v>463903.51696929999</v>
      </c>
      <c r="I190" s="158">
        <f t="shared" si="135"/>
        <v>1000533.2</v>
      </c>
      <c r="J190" s="19">
        <f t="shared" si="136"/>
        <v>174800</v>
      </c>
      <c r="K190" s="19">
        <f t="shared" si="136"/>
        <v>0</v>
      </c>
      <c r="L190" s="19">
        <f t="shared" si="136"/>
        <v>0</v>
      </c>
    </row>
    <row r="191" spans="2:17" x14ac:dyDescent="0.3">
      <c r="B191" s="151"/>
      <c r="C191" s="151"/>
      <c r="D191" s="151"/>
      <c r="E191" s="152"/>
      <c r="F191" s="152"/>
      <c r="G191" s="37" t="s">
        <v>274</v>
      </c>
      <c r="H191" s="158">
        <f>+H192+H194</f>
        <v>463903.51696929999</v>
      </c>
      <c r="I191" s="158">
        <f>+I192+I194</f>
        <v>1000533.2</v>
      </c>
      <c r="J191" s="19">
        <f>+J192+J194</f>
        <v>174800</v>
      </c>
      <c r="K191" s="19">
        <f t="shared" ref="K191" si="137">+K192+K194</f>
        <v>0</v>
      </c>
      <c r="L191" s="19">
        <f t="shared" ref="L191" si="138">+L192+L194</f>
        <v>0</v>
      </c>
    </row>
    <row r="192" spans="2:17" x14ac:dyDescent="0.3">
      <c r="B192" s="151"/>
      <c r="C192" s="151"/>
      <c r="D192" s="151"/>
      <c r="E192" s="152"/>
      <c r="F192" s="152"/>
      <c r="G192" s="36" t="s">
        <v>275</v>
      </c>
      <c r="H192" s="158">
        <f>+H193</f>
        <v>307719.34910980001</v>
      </c>
      <c r="I192" s="158">
        <f>+I193</f>
        <v>0</v>
      </c>
      <c r="J192" s="19">
        <f>+J193</f>
        <v>0</v>
      </c>
      <c r="K192" s="19">
        <f t="shared" ref="K192" si="139">+K193</f>
        <v>0</v>
      </c>
      <c r="L192" s="19">
        <f t="shared" ref="L192" si="140">+L193</f>
        <v>0</v>
      </c>
    </row>
    <row r="193" spans="2:17" ht="21.6" x14ac:dyDescent="0.3">
      <c r="B193" s="151"/>
      <c r="C193" s="151"/>
      <c r="D193" s="151"/>
      <c r="E193" s="152"/>
      <c r="F193" s="152"/>
      <c r="G193" s="37" t="s">
        <v>276</v>
      </c>
      <c r="H193" s="158">
        <v>307719.34910980001</v>
      </c>
      <c r="I193" s="158">
        <v>0</v>
      </c>
      <c r="J193" s="19"/>
      <c r="K193" s="19"/>
      <c r="L193" s="19"/>
    </row>
    <row r="194" spans="2:17" x14ac:dyDescent="0.3">
      <c r="B194" s="151"/>
      <c r="C194" s="151"/>
      <c r="D194" s="151"/>
      <c r="E194" s="152"/>
      <c r="F194" s="152"/>
      <c r="G194" s="37" t="s">
        <v>277</v>
      </c>
      <c r="H194" s="158">
        <f>+H195</f>
        <v>156184.16785949998</v>
      </c>
      <c r="I194" s="158">
        <f>+I195</f>
        <v>1000533.2</v>
      </c>
      <c r="J194" s="19">
        <f>+J195</f>
        <v>174800</v>
      </c>
      <c r="K194" s="19">
        <f t="shared" ref="K194" si="141">+K195</f>
        <v>0</v>
      </c>
      <c r="L194" s="19">
        <f t="shared" ref="L194" si="142">+L195</f>
        <v>0</v>
      </c>
    </row>
    <row r="195" spans="2:17" x14ac:dyDescent="0.3">
      <c r="B195" s="151"/>
      <c r="C195" s="151"/>
      <c r="D195" s="151"/>
      <c r="E195" s="152"/>
      <c r="F195" s="152"/>
      <c r="G195" s="36" t="s">
        <v>278</v>
      </c>
      <c r="H195" s="158">
        <v>156184.16785949998</v>
      </c>
      <c r="I195" s="158">
        <v>1000533.2</v>
      </c>
      <c r="J195" s="19">
        <v>174800</v>
      </c>
      <c r="K195" s="19"/>
      <c r="L195" s="19"/>
    </row>
    <row r="196" spans="2:17" ht="43.2" x14ac:dyDescent="0.3">
      <c r="B196" s="151" t="s">
        <v>237</v>
      </c>
      <c r="C196" s="151" t="s">
        <v>238</v>
      </c>
      <c r="D196" s="151" t="s">
        <v>239</v>
      </c>
      <c r="E196" s="151" t="s">
        <v>240</v>
      </c>
      <c r="F196" s="151" t="s">
        <v>279</v>
      </c>
      <c r="G196" s="37" t="s">
        <v>234</v>
      </c>
      <c r="H196" s="166">
        <f>+H198</f>
        <v>12039678.129999999</v>
      </c>
      <c r="I196" s="166">
        <f>+I198</f>
        <v>3757815.2</v>
      </c>
      <c r="J196" s="19">
        <f>+J198</f>
        <v>3075543.8</v>
      </c>
      <c r="K196" s="19">
        <f>+K198</f>
        <v>0</v>
      </c>
      <c r="L196" s="19">
        <f>+L198</f>
        <v>0</v>
      </c>
      <c r="M196" s="154"/>
      <c r="N196" s="154"/>
      <c r="O196" s="154"/>
      <c r="P196" s="154"/>
      <c r="Q196" s="154"/>
    </row>
    <row r="197" spans="2:17" x14ac:dyDescent="0.3">
      <c r="B197" s="151"/>
      <c r="C197" s="151"/>
      <c r="D197" s="151"/>
      <c r="E197" s="152"/>
      <c r="F197" s="152"/>
      <c r="G197" s="36" t="s">
        <v>129</v>
      </c>
      <c r="H197" s="166"/>
      <c r="I197" s="166"/>
      <c r="J197" s="19"/>
      <c r="K197" s="19"/>
      <c r="L197" s="19"/>
    </row>
    <row r="198" spans="2:17" ht="34.200000000000003" customHeight="1" x14ac:dyDescent="0.3">
      <c r="B198" s="151"/>
      <c r="C198" s="151"/>
      <c r="D198" s="151"/>
      <c r="E198" s="152"/>
      <c r="F198" s="152"/>
      <c r="G198" s="37" t="s">
        <v>242</v>
      </c>
      <c r="H198" s="166">
        <f>+H200</f>
        <v>12039678.129999999</v>
      </c>
      <c r="I198" s="166">
        <f>+I200</f>
        <v>3757815.2</v>
      </c>
      <c r="J198" s="19">
        <f>+J200</f>
        <v>3075543.8</v>
      </c>
      <c r="K198" s="19">
        <f>+K200</f>
        <v>0</v>
      </c>
      <c r="L198" s="19">
        <f>+L200</f>
        <v>0</v>
      </c>
      <c r="M198" s="226"/>
      <c r="N198" s="226"/>
      <c r="O198" s="226"/>
      <c r="P198" s="226"/>
      <c r="Q198" s="226"/>
    </row>
    <row r="199" spans="2:17" ht="32.4" x14ac:dyDescent="0.3">
      <c r="B199" s="151"/>
      <c r="C199" s="151"/>
      <c r="D199" s="151"/>
      <c r="E199" s="152"/>
      <c r="F199" s="152"/>
      <c r="G199" s="37" t="s">
        <v>243</v>
      </c>
      <c r="H199" s="166"/>
      <c r="I199" s="166"/>
      <c r="J199" s="19"/>
      <c r="K199" s="19"/>
      <c r="L199" s="19"/>
    </row>
    <row r="200" spans="2:17" x14ac:dyDescent="0.3">
      <c r="B200" s="151"/>
      <c r="C200" s="151"/>
      <c r="D200" s="151"/>
      <c r="E200" s="152"/>
      <c r="F200" s="152"/>
      <c r="G200" s="36" t="s">
        <v>244</v>
      </c>
      <c r="H200" s="166">
        <f t="shared" ref="H200:L201" si="143">+H201</f>
        <v>12039678.129999999</v>
      </c>
      <c r="I200" s="166">
        <f t="shared" si="143"/>
        <v>3757815.2</v>
      </c>
      <c r="J200" s="19">
        <f t="shared" si="143"/>
        <v>3075543.8</v>
      </c>
      <c r="K200" s="19">
        <f t="shared" si="143"/>
        <v>0</v>
      </c>
      <c r="L200" s="19">
        <f t="shared" si="143"/>
        <v>0</v>
      </c>
    </row>
    <row r="201" spans="2:17" ht="21.6" x14ac:dyDescent="0.3">
      <c r="B201" s="151"/>
      <c r="C201" s="151"/>
      <c r="D201" s="151"/>
      <c r="E201" s="152"/>
      <c r="F201" s="152"/>
      <c r="G201" s="37" t="s">
        <v>273</v>
      </c>
      <c r="H201" s="166">
        <f t="shared" si="143"/>
        <v>12039678.129999999</v>
      </c>
      <c r="I201" s="166">
        <f t="shared" si="143"/>
        <v>3757815.2</v>
      </c>
      <c r="J201" s="19">
        <f t="shared" si="143"/>
        <v>3075543.8</v>
      </c>
      <c r="K201" s="19">
        <f t="shared" si="143"/>
        <v>0</v>
      </c>
      <c r="L201" s="19">
        <f t="shared" si="143"/>
        <v>0</v>
      </c>
    </row>
    <row r="202" spans="2:17" x14ac:dyDescent="0.3">
      <c r="B202" s="151"/>
      <c r="C202" s="151"/>
      <c r="D202" s="151"/>
      <c r="E202" s="152"/>
      <c r="F202" s="152"/>
      <c r="G202" s="37" t="s">
        <v>274</v>
      </c>
      <c r="H202" s="166">
        <f>+H203+H205</f>
        <v>12039678.129999999</v>
      </c>
      <c r="I202" s="166">
        <f>+I203+I205</f>
        <v>3757815.2</v>
      </c>
      <c r="J202" s="19">
        <f>+J203+J205</f>
        <v>3075543.8</v>
      </c>
      <c r="K202" s="19">
        <f t="shared" ref="K202:L202" si="144">+K203+K205</f>
        <v>0</v>
      </c>
      <c r="L202" s="19">
        <f t="shared" si="144"/>
        <v>0</v>
      </c>
    </row>
    <row r="203" spans="2:17" x14ac:dyDescent="0.3">
      <c r="B203" s="151"/>
      <c r="C203" s="151"/>
      <c r="D203" s="151"/>
      <c r="E203" s="152"/>
      <c r="F203" s="152"/>
      <c r="G203" s="36" t="s">
        <v>275</v>
      </c>
      <c r="H203" s="166">
        <f>+H204</f>
        <v>11407722.489999998</v>
      </c>
      <c r="I203" s="166">
        <f>+I204</f>
        <v>3067604.2</v>
      </c>
      <c r="J203" s="19">
        <f>+J204</f>
        <v>3005543.8</v>
      </c>
      <c r="K203" s="19">
        <f t="shared" ref="K203:L203" si="145">+K204</f>
        <v>0</v>
      </c>
      <c r="L203" s="19">
        <f t="shared" si="145"/>
        <v>0</v>
      </c>
    </row>
    <row r="204" spans="2:17" ht="21.6" x14ac:dyDescent="0.3">
      <c r="B204" s="151"/>
      <c r="C204" s="151"/>
      <c r="D204" s="151"/>
      <c r="E204" s="152"/>
      <c r="F204" s="152"/>
      <c r="G204" s="37" t="s">
        <v>276</v>
      </c>
      <c r="H204" s="166">
        <f>9416170.61+1991551.88</f>
        <v>11407722.489999998</v>
      </c>
      <c r="I204" s="166">
        <v>3067604.2</v>
      </c>
      <c r="J204" s="19">
        <v>3005543.8</v>
      </c>
      <c r="K204" s="19"/>
      <c r="L204" s="19"/>
    </row>
    <row r="205" spans="2:17" x14ac:dyDescent="0.3">
      <c r="B205" s="151"/>
      <c r="C205" s="151"/>
      <c r="D205" s="151"/>
      <c r="E205" s="152"/>
      <c r="F205" s="152"/>
      <c r="G205" s="37" t="s">
        <v>277</v>
      </c>
      <c r="H205" s="166">
        <f>+H206</f>
        <v>631955.6399999999</v>
      </c>
      <c r="I205" s="166">
        <f>+I206</f>
        <v>690211</v>
      </c>
      <c r="J205" s="19">
        <f>+J206</f>
        <v>70000</v>
      </c>
      <c r="K205" s="19">
        <f t="shared" ref="K205:L205" si="146">+K206</f>
        <v>0</v>
      </c>
      <c r="L205" s="19">
        <f t="shared" si="146"/>
        <v>0</v>
      </c>
    </row>
    <row r="206" spans="2:17" x14ac:dyDescent="0.3">
      <c r="B206" s="151"/>
      <c r="C206" s="151"/>
      <c r="D206" s="151"/>
      <c r="E206" s="152"/>
      <c r="F206" s="152"/>
      <c r="G206" s="36" t="s">
        <v>278</v>
      </c>
      <c r="H206" s="166">
        <f>542988.94+88966.7</f>
        <v>631955.6399999999</v>
      </c>
      <c r="I206" s="166">
        <v>690211</v>
      </c>
      <c r="J206" s="19">
        <v>70000</v>
      </c>
      <c r="K206" s="19"/>
      <c r="L206" s="19"/>
    </row>
    <row r="207" spans="2:17" ht="43.2" x14ac:dyDescent="0.3">
      <c r="B207" s="151" t="s">
        <v>237</v>
      </c>
      <c r="C207" s="151" t="s">
        <v>238</v>
      </c>
      <c r="D207" s="151" t="s">
        <v>239</v>
      </c>
      <c r="E207" s="151" t="s">
        <v>240</v>
      </c>
      <c r="F207" s="151" t="s">
        <v>453</v>
      </c>
      <c r="G207" s="37" t="str">
        <f>'Հ3 Մաս 2'!D17</f>
        <v>Եվրոպական ներդրումային բանկի աջակցությամբ իրականացվող Հյուսիս-հարավ միջանցքի զարգացման վարկային ծրագիր, Տրանշ 3</v>
      </c>
      <c r="H207" s="166">
        <f>+H209</f>
        <v>1615396.9362999999</v>
      </c>
      <c r="I207" s="166">
        <f>+I209</f>
        <v>1246490.8</v>
      </c>
      <c r="J207" s="184">
        <f>+J209</f>
        <v>1346500</v>
      </c>
      <c r="K207" s="19">
        <f>+K209</f>
        <v>0</v>
      </c>
      <c r="L207" s="19">
        <f>+L209</f>
        <v>0</v>
      </c>
      <c r="M207" s="154"/>
      <c r="N207" s="154"/>
      <c r="O207" s="154"/>
      <c r="P207" s="154"/>
      <c r="Q207" s="154"/>
    </row>
    <row r="208" spans="2:17" x14ac:dyDescent="0.3">
      <c r="B208" s="151"/>
      <c r="C208" s="151"/>
      <c r="D208" s="151"/>
      <c r="E208" s="152"/>
      <c r="F208" s="152"/>
      <c r="G208" s="36" t="s">
        <v>129</v>
      </c>
      <c r="H208" s="166"/>
      <c r="I208" s="166"/>
      <c r="J208" s="184"/>
      <c r="K208" s="19"/>
      <c r="L208" s="19"/>
    </row>
    <row r="209" spans="2:17" ht="34.200000000000003" customHeight="1" x14ac:dyDescent="0.3">
      <c r="B209" s="151"/>
      <c r="C209" s="151"/>
      <c r="D209" s="151"/>
      <c r="E209" s="152"/>
      <c r="F209" s="152"/>
      <c r="G209" s="37" t="s">
        <v>242</v>
      </c>
      <c r="H209" s="166">
        <f>+H211</f>
        <v>1615396.9362999999</v>
      </c>
      <c r="I209" s="166">
        <f>+I211</f>
        <v>1246490.8</v>
      </c>
      <c r="J209" s="184">
        <f>+J211</f>
        <v>1346500</v>
      </c>
      <c r="K209" s="19">
        <f>+K211</f>
        <v>0</v>
      </c>
      <c r="L209" s="19">
        <f>+L211</f>
        <v>0</v>
      </c>
      <c r="M209" s="226"/>
      <c r="N209" s="226"/>
      <c r="O209" s="226"/>
      <c r="P209" s="226"/>
      <c r="Q209" s="226"/>
    </row>
    <row r="210" spans="2:17" ht="32.4" x14ac:dyDescent="0.3">
      <c r="B210" s="151"/>
      <c r="C210" s="151"/>
      <c r="D210" s="151"/>
      <c r="E210" s="152"/>
      <c r="F210" s="152"/>
      <c r="G210" s="37" t="s">
        <v>243</v>
      </c>
      <c r="H210" s="166"/>
      <c r="I210" s="166"/>
      <c r="J210" s="184"/>
      <c r="K210" s="19"/>
      <c r="L210" s="19"/>
    </row>
    <row r="211" spans="2:17" x14ac:dyDescent="0.3">
      <c r="B211" s="151"/>
      <c r="C211" s="151"/>
      <c r="D211" s="151"/>
      <c r="E211" s="152"/>
      <c r="F211" s="152"/>
      <c r="G211" s="36" t="s">
        <v>244</v>
      </c>
      <c r="H211" s="166">
        <f t="shared" ref="H211:L212" si="147">+H212</f>
        <v>1615396.9362999999</v>
      </c>
      <c r="I211" s="166">
        <f t="shared" si="147"/>
        <v>1246490.8</v>
      </c>
      <c r="J211" s="184">
        <f t="shared" si="147"/>
        <v>1346500</v>
      </c>
      <c r="K211" s="19">
        <f t="shared" si="147"/>
        <v>0</v>
      </c>
      <c r="L211" s="19">
        <f t="shared" si="147"/>
        <v>0</v>
      </c>
    </row>
    <row r="212" spans="2:17" ht="21.6" x14ac:dyDescent="0.3">
      <c r="B212" s="151"/>
      <c r="C212" s="151"/>
      <c r="D212" s="151"/>
      <c r="E212" s="152"/>
      <c r="F212" s="152"/>
      <c r="G212" s="37" t="s">
        <v>273</v>
      </c>
      <c r="H212" s="166">
        <f t="shared" si="147"/>
        <v>1615396.9362999999</v>
      </c>
      <c r="I212" s="166">
        <f t="shared" si="147"/>
        <v>1246490.8</v>
      </c>
      <c r="J212" s="184">
        <f t="shared" si="147"/>
        <v>1346500</v>
      </c>
      <c r="K212" s="19">
        <f t="shared" si="147"/>
        <v>0</v>
      </c>
      <c r="L212" s="19">
        <f t="shared" si="147"/>
        <v>0</v>
      </c>
    </row>
    <row r="213" spans="2:17" x14ac:dyDescent="0.3">
      <c r="B213" s="151"/>
      <c r="C213" s="151"/>
      <c r="D213" s="151"/>
      <c r="E213" s="152"/>
      <c r="F213" s="152"/>
      <c r="G213" s="37" t="s">
        <v>274</v>
      </c>
      <c r="H213" s="166">
        <f>+H214+H216</f>
        <v>1615396.9362999999</v>
      </c>
      <c r="I213" s="166">
        <f>+I214+I216</f>
        <v>1246490.8</v>
      </c>
      <c r="J213" s="184">
        <f>+J214+J216</f>
        <v>1346500</v>
      </c>
      <c r="K213" s="19">
        <f t="shared" ref="K213:L213" si="148">+K214+K216</f>
        <v>0</v>
      </c>
      <c r="L213" s="19">
        <f t="shared" si="148"/>
        <v>0</v>
      </c>
    </row>
    <row r="214" spans="2:17" x14ac:dyDescent="0.3">
      <c r="B214" s="151"/>
      <c r="C214" s="151"/>
      <c r="D214" s="151"/>
      <c r="E214" s="152"/>
      <c r="F214" s="152"/>
      <c r="G214" s="36" t="s">
        <v>275</v>
      </c>
      <c r="H214" s="166">
        <f>+H215</f>
        <v>1201194.6635</v>
      </c>
      <c r="I214" s="166">
        <f>+I215</f>
        <v>1197764.6000000001</v>
      </c>
      <c r="J214" s="184">
        <f>+J215</f>
        <v>1319200</v>
      </c>
      <c r="K214" s="19">
        <f t="shared" ref="K214:L214" si="149">+K215</f>
        <v>0</v>
      </c>
      <c r="L214" s="19">
        <f t="shared" si="149"/>
        <v>0</v>
      </c>
    </row>
    <row r="215" spans="2:17" ht="21.6" x14ac:dyDescent="0.3">
      <c r="B215" s="151"/>
      <c r="C215" s="151"/>
      <c r="D215" s="151"/>
      <c r="E215" s="152"/>
      <c r="F215" s="152"/>
      <c r="G215" s="37" t="s">
        <v>276</v>
      </c>
      <c r="H215" s="166">
        <f>792258.0435+408936.62</f>
        <v>1201194.6635</v>
      </c>
      <c r="I215" s="166">
        <v>1197764.6000000001</v>
      </c>
      <c r="J215" s="184">
        <f>3200000/1000*412.25</f>
        <v>1319200</v>
      </c>
      <c r="K215" s="19"/>
      <c r="L215" s="19"/>
    </row>
    <row r="216" spans="2:17" x14ac:dyDescent="0.3">
      <c r="B216" s="151"/>
      <c r="C216" s="151"/>
      <c r="D216" s="151"/>
      <c r="E216" s="152"/>
      <c r="F216" s="152"/>
      <c r="G216" s="37" t="s">
        <v>277</v>
      </c>
      <c r="H216" s="166">
        <f>+H217</f>
        <v>414202.27279999998</v>
      </c>
      <c r="I216" s="166">
        <f>+I217</f>
        <v>48726.2</v>
      </c>
      <c r="J216" s="184">
        <f>+J217</f>
        <v>27300</v>
      </c>
      <c r="K216" s="19">
        <f t="shared" ref="K216:L216" si="150">+K217</f>
        <v>0</v>
      </c>
      <c r="L216" s="19">
        <f t="shared" si="150"/>
        <v>0</v>
      </c>
    </row>
    <row r="217" spans="2:17" x14ac:dyDescent="0.3">
      <c r="B217" s="151"/>
      <c r="C217" s="151"/>
      <c r="D217" s="151"/>
      <c r="E217" s="152"/>
      <c r="F217" s="152"/>
      <c r="G217" s="36" t="s">
        <v>278</v>
      </c>
      <c r="H217" s="166">
        <f>88123.1528+326079.12</f>
        <v>414202.27279999998</v>
      </c>
      <c r="I217" s="166">
        <v>48726.2</v>
      </c>
      <c r="J217" s="184">
        <v>27300</v>
      </c>
      <c r="K217" s="19"/>
      <c r="L217" s="19"/>
    </row>
    <row r="218" spans="2:17" ht="32.4" x14ac:dyDescent="0.3">
      <c r="B218" s="151" t="s">
        <v>237</v>
      </c>
      <c r="C218" s="151" t="s">
        <v>238</v>
      </c>
      <c r="D218" s="151" t="s">
        <v>239</v>
      </c>
      <c r="E218" s="151" t="s">
        <v>240</v>
      </c>
      <c r="F218" s="151" t="s">
        <v>305</v>
      </c>
      <c r="G218" s="36" t="s">
        <v>306</v>
      </c>
      <c r="H218" s="166">
        <f>+H220</f>
        <v>6744476.1699999999</v>
      </c>
      <c r="I218" s="166">
        <f t="shared" ref="I218" si="151">+I220</f>
        <v>10585075.200000001</v>
      </c>
      <c r="J218" s="166">
        <f t="shared" ref="J218:L218" si="152">+J220</f>
        <v>34331040</v>
      </c>
      <c r="K218" s="166">
        <f t="shared" si="152"/>
        <v>12516525</v>
      </c>
      <c r="L218" s="166">
        <f t="shared" si="152"/>
        <v>10927125</v>
      </c>
      <c r="M218" s="154"/>
      <c r="N218" s="154"/>
      <c r="O218" s="154"/>
      <c r="P218" s="154"/>
      <c r="Q218" s="154"/>
    </row>
    <row r="219" spans="2:17" x14ac:dyDescent="0.3">
      <c r="B219" s="151"/>
      <c r="C219" s="151"/>
      <c r="D219" s="151"/>
      <c r="E219" s="152"/>
      <c r="F219" s="152"/>
      <c r="G219" s="37" t="s">
        <v>129</v>
      </c>
      <c r="H219" s="166"/>
      <c r="I219" s="166"/>
      <c r="J219" s="166"/>
      <c r="K219" s="166"/>
      <c r="L219" s="166"/>
    </row>
    <row r="220" spans="2:17" ht="36" customHeight="1" x14ac:dyDescent="0.3">
      <c r="B220" s="151"/>
      <c r="C220" s="151"/>
      <c r="D220" s="151"/>
      <c r="E220" s="152"/>
      <c r="F220" s="152"/>
      <c r="G220" s="37" t="s">
        <v>242</v>
      </c>
      <c r="H220" s="166">
        <f>+H222</f>
        <v>6744476.1699999999</v>
      </c>
      <c r="I220" s="166">
        <f t="shared" ref="I220" si="153">+I222</f>
        <v>10585075.200000001</v>
      </c>
      <c r="J220" s="166">
        <f t="shared" ref="J220:L220" si="154">+J222</f>
        <v>34331040</v>
      </c>
      <c r="K220" s="166">
        <f t="shared" si="154"/>
        <v>12516525</v>
      </c>
      <c r="L220" s="166">
        <f t="shared" si="154"/>
        <v>10927125</v>
      </c>
      <c r="M220" s="154"/>
      <c r="N220" s="154"/>
      <c r="O220" s="154"/>
      <c r="P220" s="154"/>
      <c r="Q220" s="154"/>
    </row>
    <row r="221" spans="2:17" ht="32.4" x14ac:dyDescent="0.3">
      <c r="B221" s="151"/>
      <c r="C221" s="151"/>
      <c r="D221" s="151"/>
      <c r="E221" s="152"/>
      <c r="F221" s="152"/>
      <c r="G221" s="36" t="s">
        <v>243</v>
      </c>
      <c r="H221" s="166"/>
      <c r="I221" s="166"/>
      <c r="J221" s="166"/>
      <c r="K221" s="166"/>
      <c r="L221" s="166"/>
    </row>
    <row r="222" spans="2:17" x14ac:dyDescent="0.3">
      <c r="B222" s="151"/>
      <c r="C222" s="151"/>
      <c r="D222" s="151"/>
      <c r="E222" s="152"/>
      <c r="F222" s="152"/>
      <c r="G222" s="37" t="s">
        <v>244</v>
      </c>
      <c r="H222" s="166">
        <f>+H223</f>
        <v>6744476.1699999999</v>
      </c>
      <c r="I222" s="166">
        <f t="shared" ref="I222:I223" si="155">+I223</f>
        <v>10585075.200000001</v>
      </c>
      <c r="J222" s="166">
        <f t="shared" ref="J222:L223" si="156">+J223</f>
        <v>34331040</v>
      </c>
      <c r="K222" s="166">
        <f t="shared" si="156"/>
        <v>12516525</v>
      </c>
      <c r="L222" s="166">
        <f t="shared" si="156"/>
        <v>10927125</v>
      </c>
    </row>
    <row r="223" spans="2:17" ht="21.6" x14ac:dyDescent="0.3">
      <c r="B223" s="151"/>
      <c r="C223" s="151"/>
      <c r="D223" s="151"/>
      <c r="E223" s="152"/>
      <c r="F223" s="152"/>
      <c r="G223" s="37" t="s">
        <v>273</v>
      </c>
      <c r="H223" s="166">
        <f>+H224</f>
        <v>6744476.1699999999</v>
      </c>
      <c r="I223" s="166">
        <f t="shared" si="155"/>
        <v>10585075.200000001</v>
      </c>
      <c r="J223" s="166">
        <f t="shared" si="156"/>
        <v>34331040</v>
      </c>
      <c r="K223" s="166">
        <f t="shared" si="156"/>
        <v>12516525</v>
      </c>
      <c r="L223" s="166">
        <f t="shared" si="156"/>
        <v>10927125</v>
      </c>
    </row>
    <row r="224" spans="2:17" x14ac:dyDescent="0.3">
      <c r="B224" s="151"/>
      <c r="C224" s="151"/>
      <c r="D224" s="151"/>
      <c r="E224" s="152"/>
      <c r="F224" s="152"/>
      <c r="G224" s="36" t="s">
        <v>274</v>
      </c>
      <c r="H224" s="166">
        <f>+H225+H227+H229</f>
        <v>6744476.1699999999</v>
      </c>
      <c r="I224" s="166">
        <f t="shared" ref="I224" si="157">+I225+I227+I229</f>
        <v>10585075.200000001</v>
      </c>
      <c r="J224" s="166">
        <f t="shared" ref="J224:L224" si="158">+J225+J227+J229</f>
        <v>34331040</v>
      </c>
      <c r="K224" s="166">
        <f t="shared" si="158"/>
        <v>12516525</v>
      </c>
      <c r="L224" s="166">
        <f t="shared" si="158"/>
        <v>10927125</v>
      </c>
    </row>
    <row r="225" spans="2:17" x14ac:dyDescent="0.3">
      <c r="B225" s="151"/>
      <c r="C225" s="151"/>
      <c r="D225" s="151"/>
      <c r="E225" s="152"/>
      <c r="F225" s="152"/>
      <c r="G225" s="36" t="s">
        <v>275</v>
      </c>
      <c r="H225" s="166">
        <f>+H226</f>
        <v>6369190.54</v>
      </c>
      <c r="I225" s="166">
        <f t="shared" ref="I225" si="159">+I226</f>
        <v>9204653.3000000007</v>
      </c>
      <c r="J225" s="166">
        <f t="shared" ref="J225:L225" si="160">+J226</f>
        <v>32631040</v>
      </c>
      <c r="K225" s="166">
        <f t="shared" si="160"/>
        <v>10816525</v>
      </c>
      <c r="L225" s="166">
        <f t="shared" si="160"/>
        <v>9227125</v>
      </c>
    </row>
    <row r="226" spans="2:17" ht="21.6" x14ac:dyDescent="0.3">
      <c r="B226" s="151"/>
      <c r="C226" s="151"/>
      <c r="D226" s="151"/>
      <c r="E226" s="152"/>
      <c r="F226" s="152"/>
      <c r="G226" s="37" t="s">
        <v>276</v>
      </c>
      <c r="H226" s="166">
        <f>1099264.83+5269925.71</f>
        <v>6369190.54</v>
      </c>
      <c r="I226" s="166">
        <v>9204653.3000000007</v>
      </c>
      <c r="J226" s="166">
        <v>32631040</v>
      </c>
      <c r="K226" s="166">
        <v>10816525</v>
      </c>
      <c r="L226" s="166">
        <v>9227125</v>
      </c>
    </row>
    <row r="227" spans="2:17" ht="21.6" x14ac:dyDescent="0.3">
      <c r="B227" s="151"/>
      <c r="C227" s="151"/>
      <c r="D227" s="151"/>
      <c r="E227" s="152"/>
      <c r="F227" s="152"/>
      <c r="G227" s="37" t="s">
        <v>302</v>
      </c>
      <c r="H227" s="166">
        <f>+H228</f>
        <v>1414.07</v>
      </c>
      <c r="I227" s="166">
        <f t="shared" ref="I227" si="161">+I228</f>
        <v>0</v>
      </c>
      <c r="J227" s="166">
        <f t="shared" ref="J227:L227" si="162">+J228</f>
        <v>0</v>
      </c>
      <c r="K227" s="166">
        <f t="shared" si="162"/>
        <v>0</v>
      </c>
      <c r="L227" s="166">
        <f t="shared" si="162"/>
        <v>0</v>
      </c>
    </row>
    <row r="228" spans="2:17" x14ac:dyDescent="0.3">
      <c r="B228" s="151"/>
      <c r="C228" s="151"/>
      <c r="D228" s="151"/>
      <c r="E228" s="152"/>
      <c r="F228" s="152"/>
      <c r="G228" s="36" t="s">
        <v>303</v>
      </c>
      <c r="H228" s="166">
        <f>247.83+1166.24</f>
        <v>1414.07</v>
      </c>
      <c r="I228" s="166">
        <v>0</v>
      </c>
      <c r="J228" s="166">
        <v>0</v>
      </c>
      <c r="K228" s="166">
        <v>0</v>
      </c>
      <c r="L228" s="166">
        <v>0</v>
      </c>
    </row>
    <row r="229" spans="2:17" x14ac:dyDescent="0.3">
      <c r="B229" s="151"/>
      <c r="C229" s="151"/>
      <c r="D229" s="151"/>
      <c r="E229" s="152"/>
      <c r="F229" s="152"/>
      <c r="G229" s="37" t="s">
        <v>277</v>
      </c>
      <c r="H229" s="166">
        <f>+H230+H231</f>
        <v>373871.56</v>
      </c>
      <c r="I229" s="166">
        <f t="shared" ref="I229" si="163">+I230+I231</f>
        <v>1380421.9</v>
      </c>
      <c r="J229" s="166">
        <f t="shared" ref="J229:L229" si="164">+J230+J231</f>
        <v>1700000</v>
      </c>
      <c r="K229" s="166">
        <f t="shared" si="164"/>
        <v>1700000</v>
      </c>
      <c r="L229" s="166">
        <f t="shared" si="164"/>
        <v>1700000</v>
      </c>
    </row>
    <row r="230" spans="2:17" x14ac:dyDescent="0.3">
      <c r="B230" s="151"/>
      <c r="C230" s="151"/>
      <c r="D230" s="151"/>
      <c r="E230" s="152"/>
      <c r="F230" s="152"/>
      <c r="G230" s="37" t="s">
        <v>304</v>
      </c>
      <c r="H230" s="166"/>
      <c r="I230" s="166"/>
      <c r="J230" s="166"/>
      <c r="K230" s="166"/>
      <c r="L230" s="166"/>
    </row>
    <row r="231" spans="2:17" x14ac:dyDescent="0.3">
      <c r="B231" s="151"/>
      <c r="C231" s="151"/>
      <c r="D231" s="151"/>
      <c r="E231" s="152"/>
      <c r="F231" s="152"/>
      <c r="G231" s="36" t="s">
        <v>278</v>
      </c>
      <c r="H231" s="166">
        <f>128021.73+245849.83</f>
        <v>373871.56</v>
      </c>
      <c r="I231" s="166">
        <v>1380421.9</v>
      </c>
      <c r="J231" s="166">
        <v>1700000</v>
      </c>
      <c r="K231" s="166">
        <v>1700000</v>
      </c>
      <c r="L231" s="166">
        <v>1700000</v>
      </c>
    </row>
    <row r="232" spans="2:17" ht="43.2" x14ac:dyDescent="0.3">
      <c r="B232" s="151" t="s">
        <v>237</v>
      </c>
      <c r="C232" s="151" t="s">
        <v>238</v>
      </c>
      <c r="D232" s="151" t="s">
        <v>239</v>
      </c>
      <c r="E232" s="151" t="s">
        <v>240</v>
      </c>
      <c r="F232" s="152" t="s">
        <v>307</v>
      </c>
      <c r="G232" s="36" t="s">
        <v>308</v>
      </c>
      <c r="H232" s="19">
        <f t="shared" ref="H232:I232" si="165">+H234</f>
        <v>0</v>
      </c>
      <c r="I232" s="19">
        <f t="shared" si="165"/>
        <v>7707355.6999999993</v>
      </c>
      <c r="J232" s="19">
        <f t="shared" ref="J232:L232" si="166">+J234</f>
        <v>18119160</v>
      </c>
      <c r="K232" s="19">
        <f t="shared" si="166"/>
        <v>27139005</v>
      </c>
      <c r="L232" s="19">
        <f t="shared" si="166"/>
        <v>35443620</v>
      </c>
      <c r="M232" s="154"/>
      <c r="N232" s="154"/>
      <c r="O232" s="154"/>
      <c r="P232" s="154"/>
      <c r="Q232" s="154"/>
    </row>
    <row r="233" spans="2:17" x14ac:dyDescent="0.3">
      <c r="B233" s="151"/>
      <c r="C233" s="151"/>
      <c r="D233" s="151"/>
      <c r="E233" s="152"/>
      <c r="F233" s="152"/>
      <c r="G233" s="37" t="s">
        <v>129</v>
      </c>
      <c r="H233" s="19"/>
      <c r="I233" s="19"/>
      <c r="J233" s="19"/>
      <c r="K233" s="19"/>
      <c r="L233" s="19"/>
    </row>
    <row r="234" spans="2:17" ht="35.4" customHeight="1" x14ac:dyDescent="0.3">
      <c r="B234" s="151"/>
      <c r="C234" s="151"/>
      <c r="D234" s="151"/>
      <c r="E234" s="152"/>
      <c r="F234" s="152"/>
      <c r="G234" s="37" t="s">
        <v>242</v>
      </c>
      <c r="H234" s="19">
        <f t="shared" ref="H234:I234" si="167">+H236</f>
        <v>0</v>
      </c>
      <c r="I234" s="19">
        <f t="shared" si="167"/>
        <v>7707355.6999999993</v>
      </c>
      <c r="J234" s="19">
        <f t="shared" ref="J234:L234" si="168">+J236</f>
        <v>18119160</v>
      </c>
      <c r="K234" s="19">
        <f t="shared" si="168"/>
        <v>27139005</v>
      </c>
      <c r="L234" s="19">
        <f t="shared" si="168"/>
        <v>35443620</v>
      </c>
      <c r="M234" s="154"/>
      <c r="N234" s="154"/>
      <c r="O234" s="154"/>
      <c r="P234" s="154"/>
      <c r="Q234" s="154"/>
    </row>
    <row r="235" spans="2:17" ht="32.4" x14ac:dyDescent="0.3">
      <c r="B235" s="151"/>
      <c r="C235" s="151"/>
      <c r="D235" s="151"/>
      <c r="E235" s="152"/>
      <c r="F235" s="152"/>
      <c r="G235" s="36" t="s">
        <v>243</v>
      </c>
      <c r="H235" s="19"/>
      <c r="I235" s="19"/>
      <c r="J235" s="19"/>
      <c r="K235" s="19"/>
      <c r="L235" s="19"/>
    </row>
    <row r="236" spans="2:17" x14ac:dyDescent="0.3">
      <c r="B236" s="151"/>
      <c r="C236" s="151"/>
      <c r="D236" s="151"/>
      <c r="E236" s="152"/>
      <c r="F236" s="152"/>
      <c r="G236" s="37" t="s">
        <v>244</v>
      </c>
      <c r="H236" s="19">
        <f t="shared" ref="H236:L241" si="169">+H237</f>
        <v>0</v>
      </c>
      <c r="I236" s="19">
        <f t="shared" si="169"/>
        <v>7707355.6999999993</v>
      </c>
      <c r="J236" s="19">
        <f t="shared" si="169"/>
        <v>18119160</v>
      </c>
      <c r="K236" s="19">
        <f t="shared" si="169"/>
        <v>27139005</v>
      </c>
      <c r="L236" s="19">
        <f t="shared" si="169"/>
        <v>35443620</v>
      </c>
    </row>
    <row r="237" spans="2:17" ht="21.6" x14ac:dyDescent="0.3">
      <c r="B237" s="151"/>
      <c r="C237" s="151"/>
      <c r="D237" s="151"/>
      <c r="E237" s="152"/>
      <c r="F237" s="152"/>
      <c r="G237" s="37" t="s">
        <v>273</v>
      </c>
      <c r="H237" s="19">
        <f t="shared" si="169"/>
        <v>0</v>
      </c>
      <c r="I237" s="19">
        <f t="shared" si="169"/>
        <v>7707355.6999999993</v>
      </c>
      <c r="J237" s="19">
        <f t="shared" si="169"/>
        <v>18119160</v>
      </c>
      <c r="K237" s="19">
        <f t="shared" si="169"/>
        <v>27139005</v>
      </c>
      <c r="L237" s="19">
        <f t="shared" si="169"/>
        <v>35443620</v>
      </c>
    </row>
    <row r="238" spans="2:17" x14ac:dyDescent="0.3">
      <c r="B238" s="151"/>
      <c r="C238" s="151"/>
      <c r="D238" s="151"/>
      <c r="E238" s="152"/>
      <c r="F238" s="152"/>
      <c r="G238" s="36" t="s">
        <v>274</v>
      </c>
      <c r="H238" s="19">
        <f>+H239+H241</f>
        <v>0</v>
      </c>
      <c r="I238" s="19">
        <f>+I239+I241</f>
        <v>7707355.6999999993</v>
      </c>
      <c r="J238" s="19">
        <f>+J239+J241</f>
        <v>18119160</v>
      </c>
      <c r="K238" s="19">
        <f>+K239+K241</f>
        <v>27139005</v>
      </c>
      <c r="L238" s="19">
        <f>+L239+L241</f>
        <v>35443620</v>
      </c>
    </row>
    <row r="239" spans="2:17" x14ac:dyDescent="0.3">
      <c r="B239" s="151"/>
      <c r="C239" s="151"/>
      <c r="D239" s="151"/>
      <c r="E239" s="152"/>
      <c r="F239" s="152"/>
      <c r="G239" s="36" t="s">
        <v>275</v>
      </c>
      <c r="H239" s="19">
        <f>+H240</f>
        <v>0</v>
      </c>
      <c r="I239" s="19">
        <f>+I240</f>
        <v>6557004.0999999996</v>
      </c>
      <c r="J239" s="19">
        <f>+J240</f>
        <v>16819160</v>
      </c>
      <c r="K239" s="19">
        <f>+K240</f>
        <v>25839005</v>
      </c>
      <c r="L239" s="19">
        <f>+L240</f>
        <v>34143620</v>
      </c>
    </row>
    <row r="240" spans="2:17" ht="21.6" x14ac:dyDescent="0.3">
      <c r="B240" s="151"/>
      <c r="C240" s="151"/>
      <c r="D240" s="151"/>
      <c r="E240" s="152"/>
      <c r="F240" s="152"/>
      <c r="G240" s="37" t="s">
        <v>276</v>
      </c>
      <c r="H240" s="19"/>
      <c r="I240" s="19">
        <v>6557004.0999999996</v>
      </c>
      <c r="J240" s="19">
        <v>16819160</v>
      </c>
      <c r="K240" s="19">
        <v>25839005</v>
      </c>
      <c r="L240" s="19">
        <v>34143620</v>
      </c>
    </row>
    <row r="241" spans="1:17" x14ac:dyDescent="0.3">
      <c r="B241" s="151"/>
      <c r="C241" s="151"/>
      <c r="D241" s="151"/>
      <c r="E241" s="152"/>
      <c r="F241" s="152"/>
      <c r="G241" s="36" t="s">
        <v>277</v>
      </c>
      <c r="H241" s="19">
        <f t="shared" si="169"/>
        <v>0</v>
      </c>
      <c r="I241" s="19">
        <f t="shared" si="169"/>
        <v>1150351.6000000001</v>
      </c>
      <c r="J241" s="19">
        <f t="shared" si="169"/>
        <v>1300000</v>
      </c>
      <c r="K241" s="19">
        <f t="shared" si="169"/>
        <v>1300000</v>
      </c>
      <c r="L241" s="19">
        <f t="shared" si="169"/>
        <v>1300000</v>
      </c>
    </row>
    <row r="242" spans="1:17" x14ac:dyDescent="0.3">
      <c r="B242" s="151"/>
      <c r="C242" s="151"/>
      <c r="D242" s="151"/>
      <c r="E242" s="152"/>
      <c r="F242" s="152"/>
      <c r="G242" s="37" t="s">
        <v>278</v>
      </c>
      <c r="H242" s="19"/>
      <c r="I242" s="19">
        <v>1150351.6000000001</v>
      </c>
      <c r="J242" s="19">
        <v>1300000</v>
      </c>
      <c r="K242" s="19">
        <v>1300000</v>
      </c>
      <c r="L242" s="19">
        <v>1300000</v>
      </c>
    </row>
    <row r="243" spans="1:17" x14ac:dyDescent="0.3">
      <c r="B243" s="146" t="s">
        <v>44</v>
      </c>
      <c r="C243" s="146" t="s">
        <v>44</v>
      </c>
      <c r="D243" s="146" t="s">
        <v>44</v>
      </c>
      <c r="E243" s="146" t="s">
        <v>44</v>
      </c>
      <c r="F243" s="146" t="s">
        <v>44</v>
      </c>
      <c r="G243" s="77" t="s">
        <v>51</v>
      </c>
      <c r="H243" s="234">
        <f>+H9+H16+H45+H65+H101+H137+H173+H185+H196+H218+H232+H207</f>
        <v>28022325.341669295</v>
      </c>
      <c r="I243" s="234">
        <f t="shared" ref="I243:L243" si="170">+I9+I16+I45+I65+I101+I137+I173+I185+I196+I218+I232+I207</f>
        <v>26739848.400000002</v>
      </c>
      <c r="J243" s="234">
        <f t="shared" si="170"/>
        <v>58999000.299999997</v>
      </c>
      <c r="K243" s="234">
        <f t="shared" si="170"/>
        <v>40808612.390000001</v>
      </c>
      <c r="L243" s="234">
        <f t="shared" si="170"/>
        <v>47152050.2425</v>
      </c>
      <c r="M243" s="154"/>
      <c r="N243" s="154"/>
      <c r="O243" s="154"/>
      <c r="P243" s="154"/>
      <c r="Q243" s="154"/>
    </row>
    <row r="244" spans="1:17" x14ac:dyDescent="0.3">
      <c r="A244" s="1"/>
      <c r="J244" s="155"/>
      <c r="K244" s="155"/>
      <c r="L244" s="155"/>
      <c r="M244" s="236"/>
    </row>
    <row r="245" spans="1:17" x14ac:dyDescent="0.3">
      <c r="H245" s="165"/>
      <c r="I245" s="165"/>
      <c r="J245" s="165"/>
      <c r="K245" s="165"/>
      <c r="L245" s="165"/>
    </row>
    <row r="246" spans="1:17" x14ac:dyDescent="0.3">
      <c r="H246" s="165"/>
      <c r="I246" s="165"/>
      <c r="J246" s="165"/>
      <c r="K246" s="165"/>
      <c r="L246" s="165"/>
    </row>
    <row r="247" spans="1:17" x14ac:dyDescent="0.3">
      <c r="E247" s="89"/>
      <c r="H247" s="165"/>
      <c r="I247" s="165"/>
      <c r="J247" s="165"/>
      <c r="K247" s="165"/>
      <c r="L247" s="165"/>
    </row>
    <row r="248" spans="1:17" x14ac:dyDescent="0.3">
      <c r="H248" s="165"/>
      <c r="I248" s="165"/>
      <c r="J248" s="165"/>
      <c r="K248" s="165"/>
      <c r="L248" s="165"/>
    </row>
  </sheetData>
  <mergeCells count="8">
    <mergeCell ref="J4:J5"/>
    <mergeCell ref="K4:K5"/>
    <mergeCell ref="L4:L5"/>
    <mergeCell ref="B4:D4"/>
    <mergeCell ref="E4:F4"/>
    <mergeCell ref="G4:G5"/>
    <mergeCell ref="H4:H5"/>
    <mergeCell ref="I4:I5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21"/>
  <sheetViews>
    <sheetView topLeftCell="A10" workbookViewId="0">
      <selection activeCell="E18" sqref="E18:AC19"/>
    </sheetView>
  </sheetViews>
  <sheetFormatPr defaultRowHeight="14.4" x14ac:dyDescent="0.3"/>
  <cols>
    <col min="1" max="1" width="11.33203125" customWidth="1"/>
    <col min="2" max="2" width="10.5546875" customWidth="1"/>
    <col min="3" max="3" width="11.44140625" customWidth="1"/>
    <col min="4" max="4" width="30.5546875" customWidth="1"/>
    <col min="5" max="5" width="13.88671875" customWidth="1"/>
    <col min="6" max="6" width="11.109375" customWidth="1"/>
    <col min="7" max="7" width="11.44140625" customWidth="1"/>
    <col min="8" max="8" width="9.6640625" customWidth="1"/>
    <col min="9" max="10" width="10.5546875" customWidth="1"/>
    <col min="11" max="11" width="13.88671875" customWidth="1"/>
    <col min="12" max="12" width="10.77734375" customWidth="1"/>
    <col min="13" max="13" width="10.5546875" customWidth="1"/>
    <col min="14" max="14" width="10.77734375" customWidth="1"/>
    <col min="15" max="15" width="11" customWidth="1"/>
    <col min="16" max="16" width="11.77734375" customWidth="1"/>
    <col min="17" max="17" width="13.88671875" bestFit="1" customWidth="1"/>
    <col min="18" max="18" width="10.21875" bestFit="1" customWidth="1"/>
    <col min="19" max="19" width="10.77734375" bestFit="1" customWidth="1"/>
    <col min="20" max="20" width="9.88671875" bestFit="1" customWidth="1"/>
    <col min="21" max="21" width="11" bestFit="1" customWidth="1"/>
    <col min="22" max="22" width="11.88671875" bestFit="1" customWidth="1"/>
    <col min="23" max="23" width="13.88671875" bestFit="1" customWidth="1"/>
    <col min="24" max="24" width="10.21875" bestFit="1" customWidth="1"/>
    <col min="25" max="25" width="11.77734375" bestFit="1" customWidth="1"/>
    <col min="26" max="26" width="13.88671875" bestFit="1" customWidth="1"/>
    <col min="27" max="27" width="13.33203125" bestFit="1" customWidth="1"/>
    <col min="28" max="28" width="11.88671875" bestFit="1" customWidth="1"/>
  </cols>
  <sheetData>
    <row r="1" spans="1:28" ht="15" x14ac:dyDescent="0.3">
      <c r="A1" s="4" t="s">
        <v>153</v>
      </c>
    </row>
    <row r="2" spans="1:28" ht="14.25" customHeight="1" x14ac:dyDescent="0.3">
      <c r="AA2" t="s">
        <v>183</v>
      </c>
    </row>
    <row r="3" spans="1:28" ht="25.5" customHeight="1" x14ac:dyDescent="0.3">
      <c r="B3" s="305" t="s">
        <v>8</v>
      </c>
      <c r="C3" s="305"/>
      <c r="D3" s="305" t="s">
        <v>52</v>
      </c>
      <c r="E3" s="305" t="s">
        <v>221</v>
      </c>
      <c r="F3" s="305"/>
      <c r="G3" s="305"/>
      <c r="H3" s="305"/>
      <c r="I3" s="305"/>
      <c r="J3" s="305"/>
      <c r="K3" s="305" t="s">
        <v>220</v>
      </c>
      <c r="L3" s="305"/>
      <c r="M3" s="305"/>
      <c r="N3" s="305"/>
      <c r="O3" s="305"/>
      <c r="P3" s="305"/>
      <c r="Q3" s="305" t="s">
        <v>219</v>
      </c>
      <c r="R3" s="305"/>
      <c r="S3" s="305"/>
      <c r="T3" s="305"/>
      <c r="U3" s="305"/>
      <c r="V3" s="305"/>
      <c r="W3" s="305" t="s">
        <v>116</v>
      </c>
      <c r="X3" s="305"/>
      <c r="Y3" s="305"/>
      <c r="Z3" s="305" t="s">
        <v>137</v>
      </c>
      <c r="AA3" s="305"/>
      <c r="AB3" s="305"/>
    </row>
    <row r="4" spans="1:28" ht="126" customHeight="1" x14ac:dyDescent="0.3">
      <c r="B4" s="7" t="s">
        <v>2</v>
      </c>
      <c r="C4" s="7" t="s">
        <v>25</v>
      </c>
      <c r="D4" s="305"/>
      <c r="E4" s="8" t="s">
        <v>12</v>
      </c>
      <c r="F4" s="30" t="s">
        <v>454</v>
      </c>
      <c r="G4" s="30" t="s">
        <v>455</v>
      </c>
      <c r="H4" s="30" t="s">
        <v>458</v>
      </c>
      <c r="I4" s="30" t="s">
        <v>456</v>
      </c>
      <c r="J4" s="30" t="s">
        <v>457</v>
      </c>
      <c r="K4" s="8" t="s">
        <v>12</v>
      </c>
      <c r="L4" s="30" t="s">
        <v>454</v>
      </c>
      <c r="M4" s="30" t="s">
        <v>455</v>
      </c>
      <c r="N4" s="30" t="s">
        <v>458</v>
      </c>
      <c r="O4" s="30" t="s">
        <v>456</v>
      </c>
      <c r="P4" s="30" t="s">
        <v>457</v>
      </c>
      <c r="Q4" s="8" t="s">
        <v>12</v>
      </c>
      <c r="R4" s="30" t="s">
        <v>454</v>
      </c>
      <c r="S4" s="30" t="s">
        <v>455</v>
      </c>
      <c r="T4" s="30" t="s">
        <v>458</v>
      </c>
      <c r="U4" s="30" t="s">
        <v>456</v>
      </c>
      <c r="V4" s="30" t="s">
        <v>457</v>
      </c>
      <c r="W4" s="8" t="s">
        <v>12</v>
      </c>
      <c r="X4" s="30" t="s">
        <v>454</v>
      </c>
      <c r="Y4" s="30" t="s">
        <v>457</v>
      </c>
      <c r="Z4" s="8" t="s">
        <v>12</v>
      </c>
      <c r="AA4" s="30" t="s">
        <v>454</v>
      </c>
      <c r="AB4" s="30" t="s">
        <v>457</v>
      </c>
    </row>
    <row r="5" spans="1:28" ht="32.4" x14ac:dyDescent="0.3">
      <c r="B5" s="239">
        <v>1049</v>
      </c>
      <c r="C5" s="14">
        <v>11004</v>
      </c>
      <c r="D5" s="19" t="s">
        <v>365</v>
      </c>
      <c r="E5" s="241">
        <f>F5+G5+J5+I5+H5</f>
        <v>310690.68</v>
      </c>
      <c r="F5" s="240">
        <f>+'Հ3 Մաս 2'!G8</f>
        <v>310690.68</v>
      </c>
      <c r="G5" s="20"/>
      <c r="H5" s="20"/>
      <c r="I5" s="20"/>
      <c r="J5" s="20"/>
      <c r="K5" s="241">
        <f>L5+O5+P5+M5+N5</f>
        <v>305043.20000000001</v>
      </c>
      <c r="L5" s="240">
        <f>+'Հ3 Մաս 2'!H8</f>
        <v>305043.20000000001</v>
      </c>
      <c r="M5" s="20"/>
      <c r="N5" s="20"/>
      <c r="O5" s="20"/>
      <c r="P5" s="20"/>
      <c r="Q5" s="241">
        <f>R5+S5+V5+T5+U5</f>
        <v>317753.3</v>
      </c>
      <c r="R5" s="240">
        <f>+'Հ3 Մաս 2'!I8</f>
        <v>317753.3</v>
      </c>
      <c r="S5" s="20"/>
      <c r="T5" s="20"/>
      <c r="U5" s="20"/>
      <c r="V5" s="20"/>
      <c r="W5" s="241">
        <f>X5+Y5</f>
        <v>317753.3</v>
      </c>
      <c r="X5" s="240">
        <f>+'Հ3 Մաս 2'!J8</f>
        <v>317753.3</v>
      </c>
      <c r="Y5" s="20"/>
      <c r="Z5" s="241">
        <f>+AA5+AB5</f>
        <v>317753.3</v>
      </c>
      <c r="AA5" s="240">
        <f>+'Հ3 Մաս 2'!K8</f>
        <v>317753.3</v>
      </c>
      <c r="AB5" s="20"/>
    </row>
    <row r="6" spans="1:28" ht="64.8" x14ac:dyDescent="0.3">
      <c r="B6" s="14">
        <v>1049</v>
      </c>
      <c r="C6" s="150">
        <v>11007</v>
      </c>
      <c r="D6" s="19" t="s">
        <v>241</v>
      </c>
      <c r="E6" s="241">
        <f t="shared" ref="E6:E16" si="0">F6+G6+J6+I6+H6</f>
        <v>130085.80839999994</v>
      </c>
      <c r="F6" s="240">
        <f>+'Հ3 Մաս 2'!G9</f>
        <v>130085.80839999994</v>
      </c>
      <c r="G6" s="20"/>
      <c r="H6" s="20"/>
      <c r="I6" s="20"/>
      <c r="J6" s="20"/>
      <c r="K6" s="241">
        <f t="shared" ref="K6:K16" si="1">L6+O6+P6+M6+N6</f>
        <v>124860.2</v>
      </c>
      <c r="L6" s="240">
        <f>+'Հ3 Մաս 2'!H9</f>
        <v>124860.2</v>
      </c>
      <c r="M6" s="20"/>
      <c r="N6" s="20"/>
      <c r="O6" s="20"/>
      <c r="P6" s="20"/>
      <c r="Q6" s="241">
        <f t="shared" ref="Q6:Q16" si="2">R6+S6+V6+T6+U6</f>
        <v>18160.436999999998</v>
      </c>
      <c r="R6" s="240">
        <f>+'Հ3 Մաս 2'!I9</f>
        <v>18160.436999999998</v>
      </c>
      <c r="S6" s="20"/>
      <c r="T6" s="20"/>
      <c r="U6" s="20"/>
      <c r="V6" s="20"/>
      <c r="W6" s="241">
        <f t="shared" ref="W6:W16" si="3">X6+Y6</f>
        <v>0</v>
      </c>
      <c r="X6" s="240">
        <f>+'Հ3 Մաս 2'!J9</f>
        <v>0</v>
      </c>
      <c r="Y6" s="20"/>
      <c r="Z6" s="31">
        <f t="shared" ref="Z6:Z16" si="4">+AA6+AB6</f>
        <v>0</v>
      </c>
      <c r="AA6" s="240">
        <f>+'Հ3 Մաս 2'!K9</f>
        <v>0</v>
      </c>
      <c r="AB6" s="20"/>
    </row>
    <row r="7" spans="1:28" ht="43.2" x14ac:dyDescent="0.3">
      <c r="B7" s="14">
        <v>1049</v>
      </c>
      <c r="C7" s="150">
        <v>11009</v>
      </c>
      <c r="D7" s="19" t="s">
        <v>231</v>
      </c>
      <c r="E7" s="241">
        <f t="shared" si="0"/>
        <v>521089.4</v>
      </c>
      <c r="F7" s="240">
        <f>+'Հ3 Մաս 2'!G10</f>
        <v>521089.4</v>
      </c>
      <c r="G7" s="20"/>
      <c r="H7" s="20"/>
      <c r="I7" s="20"/>
      <c r="J7" s="20"/>
      <c r="K7" s="241">
        <f t="shared" si="1"/>
        <v>238300</v>
      </c>
      <c r="L7" s="240">
        <f>+'Հ3 Մաս 2'!H10</f>
        <v>238300</v>
      </c>
      <c r="M7" s="20"/>
      <c r="N7" s="20"/>
      <c r="O7" s="20"/>
      <c r="P7" s="20"/>
      <c r="Q7" s="241">
        <f t="shared" si="2"/>
        <v>82790.256600000008</v>
      </c>
      <c r="R7" s="240">
        <f>+'Հ3 Մաս 2'!I10</f>
        <v>82790.256600000008</v>
      </c>
      <c r="S7" s="20"/>
      <c r="T7" s="20"/>
      <c r="U7" s="20"/>
      <c r="V7" s="20"/>
      <c r="W7" s="241">
        <f t="shared" si="3"/>
        <v>3300.0050000000006</v>
      </c>
      <c r="X7" s="240">
        <f>+'Հ3 Մաս 2'!J10</f>
        <v>3300.0050000000006</v>
      </c>
      <c r="Y7" s="20"/>
      <c r="Z7" s="31">
        <f t="shared" si="4"/>
        <v>0</v>
      </c>
      <c r="AA7" s="240">
        <f>+'Հ3 Մաս 2'!K10</f>
        <v>0</v>
      </c>
      <c r="AB7" s="20"/>
    </row>
    <row r="8" spans="1:28" ht="43.2" x14ac:dyDescent="0.3">
      <c r="B8" s="14">
        <v>1049</v>
      </c>
      <c r="C8" s="150">
        <v>11012</v>
      </c>
      <c r="D8" s="19" t="s">
        <v>294</v>
      </c>
      <c r="E8" s="241">
        <f t="shared" si="0"/>
        <v>4267472.7040999997</v>
      </c>
      <c r="F8" s="240">
        <f>+'Հ3 Մաս 2'!G11</f>
        <v>4267472.7040999997</v>
      </c>
      <c r="G8" s="20"/>
      <c r="H8" s="20"/>
      <c r="I8" s="20"/>
      <c r="J8" s="20"/>
      <c r="K8" s="241">
        <f t="shared" si="1"/>
        <v>646510</v>
      </c>
      <c r="L8" s="240">
        <f>+'Հ3 Մաս 2'!H11</f>
        <v>646510</v>
      </c>
      <c r="M8" s="20"/>
      <c r="N8" s="20"/>
      <c r="O8" s="20"/>
      <c r="P8" s="20"/>
      <c r="Q8" s="241">
        <f t="shared" si="2"/>
        <v>297675</v>
      </c>
      <c r="R8" s="240">
        <f>+'Հ3 Մաս 2'!I11</f>
        <v>297675</v>
      </c>
      <c r="S8" s="20"/>
      <c r="T8" s="20"/>
      <c r="U8" s="20"/>
      <c r="V8" s="20"/>
      <c r="W8" s="241">
        <f t="shared" si="3"/>
        <v>248351.08620000002</v>
      </c>
      <c r="X8" s="240">
        <f>+'Հ3 Մաս 2'!J11</f>
        <v>248351.08620000002</v>
      </c>
      <c r="Y8" s="20"/>
      <c r="Z8" s="31">
        <f t="shared" si="4"/>
        <v>99000</v>
      </c>
      <c r="AA8" s="240">
        <f>+'Հ3 Մաս 2'!K11</f>
        <v>99000</v>
      </c>
      <c r="AB8" s="20"/>
    </row>
    <row r="9" spans="1:28" ht="75.599999999999994" x14ac:dyDescent="0.3">
      <c r="B9" s="14">
        <v>1049</v>
      </c>
      <c r="C9" s="150">
        <v>11016</v>
      </c>
      <c r="D9" s="19" t="s">
        <v>320</v>
      </c>
      <c r="E9" s="241">
        <f t="shared" si="0"/>
        <v>628947.9</v>
      </c>
      <c r="F9" s="240">
        <f>+'Հ3 Մաս 2'!G12</f>
        <v>628947.9</v>
      </c>
      <c r="G9" s="20"/>
      <c r="H9" s="20"/>
      <c r="I9" s="20"/>
      <c r="J9" s="20"/>
      <c r="K9" s="241">
        <f t="shared" si="1"/>
        <v>814604.9</v>
      </c>
      <c r="L9" s="240">
        <f>+'Հ3 Մաս 2'!H12</f>
        <v>814604.9</v>
      </c>
      <c r="M9" s="20"/>
      <c r="N9" s="20"/>
      <c r="O9" s="20"/>
      <c r="P9" s="20"/>
      <c r="Q9" s="241">
        <f t="shared" si="2"/>
        <v>432862.5</v>
      </c>
      <c r="R9" s="240">
        <f>+'Հ3 Մաս 2'!I12</f>
        <v>432862.5</v>
      </c>
      <c r="S9" s="20"/>
      <c r="T9" s="20"/>
      <c r="U9" s="20"/>
      <c r="V9" s="20"/>
      <c r="W9" s="241">
        <f t="shared" si="3"/>
        <v>124062.5</v>
      </c>
      <c r="X9" s="240">
        <f>+'Հ3 Մաս 2'!J12</f>
        <v>124062.5</v>
      </c>
      <c r="Y9" s="20"/>
      <c r="Z9" s="31">
        <f t="shared" si="4"/>
        <v>148175</v>
      </c>
      <c r="AA9" s="240">
        <f>+'Հ3 Մաս 2'!K12</f>
        <v>148175</v>
      </c>
      <c r="AB9" s="20"/>
    </row>
    <row r="10" spans="1:28" ht="43.2" x14ac:dyDescent="0.3">
      <c r="B10" s="14">
        <v>1049</v>
      </c>
      <c r="C10" s="150">
        <v>11017</v>
      </c>
      <c r="D10" s="19" t="s">
        <v>299</v>
      </c>
      <c r="E10" s="241">
        <f t="shared" si="0"/>
        <v>1300584.1000000001</v>
      </c>
      <c r="F10" s="240">
        <f>+'Հ3 Մաս 2'!G13</f>
        <v>1300584.1000000001</v>
      </c>
      <c r="G10" s="20"/>
      <c r="H10" s="20"/>
      <c r="I10" s="20"/>
      <c r="J10" s="20"/>
      <c r="K10" s="241">
        <f t="shared" si="1"/>
        <v>213260</v>
      </c>
      <c r="L10" s="240">
        <f>+'Հ3 Մաս 2'!H13</f>
        <v>213260</v>
      </c>
      <c r="M10" s="20"/>
      <c r="N10" s="20"/>
      <c r="O10" s="20"/>
      <c r="P10" s="20"/>
      <c r="Q10" s="241">
        <f t="shared" si="2"/>
        <v>102714.97500000001</v>
      </c>
      <c r="R10" s="240">
        <f>+'Հ3 Մաս 2'!I13</f>
        <v>102714.97500000001</v>
      </c>
      <c r="S10" s="20"/>
      <c r="T10" s="20"/>
      <c r="U10" s="20"/>
      <c r="V10" s="20"/>
      <c r="W10" s="241">
        <f t="shared" si="3"/>
        <v>159615.495</v>
      </c>
      <c r="X10" s="240">
        <f>+'Հ3 Մաս 2'!J13</f>
        <v>159615.495</v>
      </c>
      <c r="Y10" s="20"/>
      <c r="Z10" s="31">
        <f t="shared" si="4"/>
        <v>216376.9425</v>
      </c>
      <c r="AA10" s="240">
        <f>+'Հ3 Մաս 2'!K13</f>
        <v>216376.9425</v>
      </c>
      <c r="AB10" s="20"/>
    </row>
    <row r="11" spans="1:28" ht="43.2" x14ac:dyDescent="0.3">
      <c r="B11" s="14">
        <v>1049</v>
      </c>
      <c r="C11" s="19">
        <v>11020</v>
      </c>
      <c r="D11" s="19" t="s">
        <v>301</v>
      </c>
      <c r="E11" s="241">
        <f t="shared" si="0"/>
        <v>0</v>
      </c>
      <c r="F11" s="240">
        <f>+'Հ3 Մաս 2'!G14</f>
        <v>0</v>
      </c>
      <c r="G11" s="20"/>
      <c r="H11" s="20"/>
      <c r="I11" s="20"/>
      <c r="J11" s="20"/>
      <c r="K11" s="241">
        <f t="shared" si="1"/>
        <v>100000</v>
      </c>
      <c r="L11" s="240">
        <f>+'Հ3 Մաս 2'!H14</f>
        <v>100000</v>
      </c>
      <c r="M11" s="20"/>
      <c r="N11" s="20"/>
      <c r="O11" s="20"/>
      <c r="P11" s="20"/>
      <c r="Q11" s="241">
        <f t="shared" si="2"/>
        <v>700000</v>
      </c>
      <c r="R11" s="240">
        <f>+'Հ3 Մաս 2'!I14</f>
        <v>700000</v>
      </c>
      <c r="S11" s="20"/>
      <c r="T11" s="20"/>
      <c r="U11" s="20"/>
      <c r="V11" s="20"/>
      <c r="W11" s="241">
        <f t="shared" si="3"/>
        <v>300000</v>
      </c>
      <c r="X11" s="240">
        <f>+'Հ3 Մաս 2'!J14</f>
        <v>300000</v>
      </c>
      <c r="Y11" s="20"/>
      <c r="Z11" s="31">
        <f t="shared" si="4"/>
        <v>0</v>
      </c>
      <c r="AA11" s="240">
        <f>+'Հ3 Մաս 2'!K14</f>
        <v>0</v>
      </c>
      <c r="AB11" s="20"/>
    </row>
    <row r="12" spans="1:28" ht="54" x14ac:dyDescent="0.3">
      <c r="B12" s="14">
        <v>1049</v>
      </c>
      <c r="C12" s="19">
        <v>21004</v>
      </c>
      <c r="D12" s="19" t="s">
        <v>272</v>
      </c>
      <c r="E12" s="241">
        <f t="shared" si="0"/>
        <v>463903.51696929999</v>
      </c>
      <c r="F12" s="20"/>
      <c r="G12" s="240"/>
      <c r="H12" s="240">
        <f>+'Հ3 Մաս 2'!G15</f>
        <v>463903.51696929999</v>
      </c>
      <c r="I12" s="20"/>
      <c r="J12" s="20"/>
      <c r="K12" s="241">
        <f t="shared" si="1"/>
        <v>1000533.2</v>
      </c>
      <c r="L12" s="20"/>
      <c r="M12" s="20"/>
      <c r="N12" s="240">
        <f>+'Հ3 Մաս 2'!H15</f>
        <v>1000533.2</v>
      </c>
      <c r="O12" s="20"/>
      <c r="P12" s="20"/>
      <c r="Q12" s="241">
        <f t="shared" si="2"/>
        <v>174800</v>
      </c>
      <c r="R12" s="20"/>
      <c r="S12" s="20"/>
      <c r="T12" s="240">
        <f>+'Հ3 Մաս 2'!I15</f>
        <v>174800</v>
      </c>
      <c r="U12" s="20"/>
      <c r="V12" s="20"/>
      <c r="W12" s="241">
        <f t="shared" si="3"/>
        <v>0</v>
      </c>
      <c r="X12" s="20"/>
      <c r="Y12" s="20"/>
      <c r="Z12" s="31">
        <f t="shared" si="4"/>
        <v>0</v>
      </c>
      <c r="AA12" s="20"/>
      <c r="AB12" s="20"/>
    </row>
    <row r="13" spans="1:28" ht="43.2" x14ac:dyDescent="0.3">
      <c r="B13" s="14">
        <v>1049</v>
      </c>
      <c r="C13" s="19">
        <v>21006</v>
      </c>
      <c r="D13" s="19" t="s">
        <v>234</v>
      </c>
      <c r="E13" s="241">
        <f t="shared" si="0"/>
        <v>12039678.1374528</v>
      </c>
      <c r="F13" s="20"/>
      <c r="G13" s="240">
        <f>+'Հ3 Մաս 2'!G16</f>
        <v>12039678.1374528</v>
      </c>
      <c r="H13" s="20"/>
      <c r="I13" s="20"/>
      <c r="J13" s="20"/>
      <c r="K13" s="241">
        <f t="shared" si="1"/>
        <v>3757815.2</v>
      </c>
      <c r="L13" s="20"/>
      <c r="M13" s="240">
        <f>+'Հ3 Մաս 2'!H16</f>
        <v>3757815.2</v>
      </c>
      <c r="N13" s="20"/>
      <c r="O13" s="20"/>
      <c r="P13" s="20"/>
      <c r="Q13" s="241">
        <f t="shared" si="2"/>
        <v>3075543.7553999992</v>
      </c>
      <c r="R13" s="20"/>
      <c r="S13" s="240">
        <f>+'Հ3 Մաս 2'!I16</f>
        <v>3075543.7553999992</v>
      </c>
      <c r="T13" s="20"/>
      <c r="U13" s="20"/>
      <c r="V13" s="20"/>
      <c r="W13" s="241">
        <f t="shared" si="3"/>
        <v>0</v>
      </c>
      <c r="X13" s="20"/>
      <c r="Y13" s="20"/>
      <c r="Z13" s="31">
        <f t="shared" si="4"/>
        <v>0</v>
      </c>
      <c r="AA13" s="20"/>
      <c r="AB13" s="20"/>
    </row>
    <row r="14" spans="1:28" ht="43.2" x14ac:dyDescent="0.3">
      <c r="B14" s="14">
        <v>1049</v>
      </c>
      <c r="C14" s="19">
        <v>21009</v>
      </c>
      <c r="D14" s="19" t="s">
        <v>317</v>
      </c>
      <c r="E14" s="241">
        <f t="shared" si="0"/>
        <v>1615396.9384000001</v>
      </c>
      <c r="F14" s="20"/>
      <c r="G14" s="20"/>
      <c r="H14" s="20"/>
      <c r="I14" s="240">
        <f>+'Հ3 Մաս 2'!G17</f>
        <v>1615396.9384000001</v>
      </c>
      <c r="J14" s="20"/>
      <c r="K14" s="241">
        <f t="shared" si="1"/>
        <v>1246490.8</v>
      </c>
      <c r="L14" s="20"/>
      <c r="M14" s="20"/>
      <c r="N14" s="20"/>
      <c r="O14" s="240">
        <f>+'Հ3 Մաս 2'!H17</f>
        <v>1246490.8</v>
      </c>
      <c r="P14" s="20"/>
      <c r="Q14" s="241">
        <f t="shared" si="2"/>
        <v>1346500</v>
      </c>
      <c r="R14" s="20"/>
      <c r="S14" s="20"/>
      <c r="T14" s="20"/>
      <c r="U14" s="240">
        <f>+'Հ3 Մաս 2'!I17</f>
        <v>1346500</v>
      </c>
      <c r="V14" s="20"/>
      <c r="W14" s="241">
        <f t="shared" si="3"/>
        <v>0</v>
      </c>
      <c r="X14" s="20"/>
      <c r="Y14" s="20"/>
      <c r="Z14" s="31">
        <f t="shared" si="4"/>
        <v>0</v>
      </c>
      <c r="AA14" s="20"/>
      <c r="AB14" s="20"/>
    </row>
    <row r="15" spans="1:28" ht="32.4" x14ac:dyDescent="0.3">
      <c r="B15" s="14">
        <v>1049</v>
      </c>
      <c r="C15" s="19">
        <v>21012</v>
      </c>
      <c r="D15" s="168" t="s">
        <v>306</v>
      </c>
      <c r="E15" s="241">
        <f t="shared" si="0"/>
        <v>6744476.1698000003</v>
      </c>
      <c r="F15" s="20"/>
      <c r="G15" s="20"/>
      <c r="H15" s="20"/>
      <c r="I15" s="20"/>
      <c r="J15" s="240">
        <f>+'Հ3 Մաս 2'!G18</f>
        <v>6744476.1698000003</v>
      </c>
      <c r="K15" s="241">
        <f t="shared" si="1"/>
        <v>10585075.199999999</v>
      </c>
      <c r="L15" s="20"/>
      <c r="M15" s="20"/>
      <c r="N15" s="20"/>
      <c r="O15" s="20"/>
      <c r="P15" s="240">
        <f>+'Հ3 Մաս 2'!H18</f>
        <v>10585075.199999999</v>
      </c>
      <c r="Q15" s="241">
        <f t="shared" si="2"/>
        <v>34331040</v>
      </c>
      <c r="R15" s="20"/>
      <c r="S15" s="20"/>
      <c r="T15" s="20"/>
      <c r="U15" s="20"/>
      <c r="V15" s="240">
        <f>+'Հ3 Մաս 2'!I18</f>
        <v>34331040</v>
      </c>
      <c r="W15" s="241">
        <f t="shared" si="3"/>
        <v>12516525</v>
      </c>
      <c r="X15" s="20"/>
      <c r="Y15" s="240">
        <f>+'Հ3 Մաս 2'!J18</f>
        <v>12516525</v>
      </c>
      <c r="Z15" s="31">
        <f t="shared" si="4"/>
        <v>10927125</v>
      </c>
      <c r="AA15" s="20"/>
      <c r="AB15" s="240">
        <f>+'Հ3 Մաս 2'!K18</f>
        <v>10927125</v>
      </c>
    </row>
    <row r="16" spans="1:28" ht="43.2" x14ac:dyDescent="0.3">
      <c r="B16" s="14">
        <v>1049</v>
      </c>
      <c r="C16" s="19">
        <v>21018</v>
      </c>
      <c r="D16" s="19" t="s">
        <v>308</v>
      </c>
      <c r="E16" s="241">
        <f t="shared" si="0"/>
        <v>0</v>
      </c>
      <c r="F16" s="20"/>
      <c r="G16" s="20"/>
      <c r="H16" s="20"/>
      <c r="I16" s="20"/>
      <c r="J16" s="240">
        <f>+'Հ3 Մաս 2'!G19</f>
        <v>0</v>
      </c>
      <c r="K16" s="241">
        <f t="shared" si="1"/>
        <v>7707355.7000000002</v>
      </c>
      <c r="L16" s="20"/>
      <c r="M16" s="20"/>
      <c r="N16" s="20"/>
      <c r="O16" s="20"/>
      <c r="P16" s="240">
        <f>+'Հ3 Մաս 2'!H19</f>
        <v>7707355.7000000002</v>
      </c>
      <c r="Q16" s="241">
        <f t="shared" si="2"/>
        <v>18119160</v>
      </c>
      <c r="R16" s="20"/>
      <c r="S16" s="20"/>
      <c r="T16" s="20"/>
      <c r="U16" s="20"/>
      <c r="V16" s="240">
        <f>+'Հ3 Մաս 2'!I19</f>
        <v>18119160</v>
      </c>
      <c r="W16" s="241">
        <f t="shared" si="3"/>
        <v>27139005</v>
      </c>
      <c r="X16" s="20"/>
      <c r="Y16" s="240">
        <f>+'Հ3 Մաս 2'!J19</f>
        <v>27139005</v>
      </c>
      <c r="Z16" s="31">
        <f t="shared" si="4"/>
        <v>35443620</v>
      </c>
      <c r="AA16" s="20"/>
      <c r="AB16" s="240">
        <f>+'Հ3 Մաս 2'!K19</f>
        <v>35443620</v>
      </c>
    </row>
    <row r="17" spans="2:28" ht="15" customHeight="1" x14ac:dyDescent="0.3">
      <c r="B17" s="306" t="s">
        <v>50</v>
      </c>
      <c r="C17" s="307"/>
      <c r="D17" s="308"/>
      <c r="E17" s="234">
        <f>SUM(E5:E16)</f>
        <v>28022325.355122097</v>
      </c>
      <c r="F17" s="234">
        <f>SUM(F5:F16)</f>
        <v>7158870.5924999993</v>
      </c>
      <c r="G17" s="18">
        <f>SUM(G5:G16)</f>
        <v>12039678.1374528</v>
      </c>
      <c r="H17" s="186"/>
      <c r="I17" s="186"/>
      <c r="J17" s="18">
        <f>SUM(J5:J16)</f>
        <v>6744476.1698000003</v>
      </c>
      <c r="K17" s="18">
        <f>SUM(K5:K16)</f>
        <v>26739848.399999999</v>
      </c>
      <c r="L17" s="234">
        <f>SUM(L5:L16)</f>
        <v>2442578.2999999998</v>
      </c>
      <c r="M17" s="234">
        <f t="shared" ref="M17:P17" si="5">SUM(M5:M16)</f>
        <v>3757815.2</v>
      </c>
      <c r="N17" s="234">
        <f t="shared" si="5"/>
        <v>1000533.2</v>
      </c>
      <c r="O17" s="234">
        <f t="shared" si="5"/>
        <v>1246490.8</v>
      </c>
      <c r="P17" s="234">
        <f t="shared" si="5"/>
        <v>18292430.899999999</v>
      </c>
      <c r="Q17" s="18">
        <f>SUM(Q5:Q16)</f>
        <v>58999000.223999999</v>
      </c>
      <c r="R17" s="18">
        <f>SUM(R5:R16)</f>
        <v>1951956.4686</v>
      </c>
      <c r="S17" s="18">
        <f>SUM(S5:S16)</f>
        <v>3075543.7553999992</v>
      </c>
      <c r="T17" s="186"/>
      <c r="U17" s="186"/>
      <c r="V17" s="18">
        <f t="shared" ref="V17:AB17" si="6">SUM(V5:V16)</f>
        <v>52450200</v>
      </c>
      <c r="W17" s="18">
        <f t="shared" si="6"/>
        <v>40808612.386199996</v>
      </c>
      <c r="X17" s="18">
        <f t="shared" si="6"/>
        <v>1153082.3862000001</v>
      </c>
      <c r="Y17" s="18">
        <f t="shared" si="6"/>
        <v>39655530</v>
      </c>
      <c r="Z17" s="18">
        <f t="shared" si="6"/>
        <v>47152050.2425</v>
      </c>
      <c r="AA17" s="18">
        <f t="shared" si="6"/>
        <v>781305.24250000005</v>
      </c>
      <c r="AB17" s="18">
        <f t="shared" si="6"/>
        <v>46370745</v>
      </c>
    </row>
    <row r="18" spans="2:28" x14ac:dyDescent="0.3">
      <c r="E18" s="154"/>
      <c r="K18" s="154"/>
      <c r="Q18" s="154"/>
      <c r="W18" s="154"/>
      <c r="Z18" s="154"/>
    </row>
    <row r="19" spans="2:28" x14ac:dyDescent="0.3">
      <c r="B19" s="3"/>
      <c r="E19" s="154"/>
      <c r="K19" s="154"/>
      <c r="Q19" s="154"/>
      <c r="W19" s="154"/>
      <c r="Z19" s="154"/>
    </row>
    <row r="20" spans="2:28" s="2" customFormat="1" x14ac:dyDescent="0.3">
      <c r="B20" s="93" t="s">
        <v>227</v>
      </c>
    </row>
    <row r="21" spans="2:28" ht="27.75" customHeight="1" x14ac:dyDescent="0.3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</sheetData>
  <mergeCells count="8">
    <mergeCell ref="B17:D17"/>
    <mergeCell ref="Q3:V3"/>
    <mergeCell ref="W3:Y3"/>
    <mergeCell ref="Z3:AB3"/>
    <mergeCell ref="B3:C3"/>
    <mergeCell ref="D3:D4"/>
    <mergeCell ref="E3:J3"/>
    <mergeCell ref="K3:P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"/>
  <sheetViews>
    <sheetView workbookViewId="0">
      <selection activeCell="D16" sqref="D16"/>
    </sheetView>
  </sheetViews>
  <sheetFormatPr defaultRowHeight="14.4" x14ac:dyDescent="0.3"/>
  <cols>
    <col min="1" max="1" width="8.88671875" customWidth="1"/>
    <col min="2" max="2" width="40.33203125" customWidth="1"/>
    <col min="3" max="3" width="18.6640625" customWidth="1"/>
    <col min="4" max="4" width="15.5546875" customWidth="1"/>
    <col min="5" max="5" width="12.109375" customWidth="1"/>
    <col min="6" max="6" width="13.44140625" customWidth="1"/>
    <col min="7" max="7" width="12.5546875" customWidth="1"/>
  </cols>
  <sheetData>
    <row r="1" spans="1:8" ht="62.25" customHeight="1" x14ac:dyDescent="0.3">
      <c r="A1" s="310" t="s">
        <v>48</v>
      </c>
      <c r="B1" s="310"/>
      <c r="C1" s="310"/>
      <c r="D1" s="310"/>
      <c r="E1" s="310"/>
      <c r="F1" s="310"/>
      <c r="G1" s="310"/>
      <c r="H1" s="310"/>
    </row>
    <row r="3" spans="1:8" x14ac:dyDescent="0.3">
      <c r="B3" s="311" t="s">
        <v>15</v>
      </c>
      <c r="C3" s="311" t="s">
        <v>139</v>
      </c>
      <c r="D3" s="311" t="s">
        <v>140</v>
      </c>
      <c r="E3" s="311" t="s">
        <v>47</v>
      </c>
      <c r="F3" s="311"/>
      <c r="G3" s="311"/>
    </row>
    <row r="4" spans="1:8" ht="47.25" customHeight="1" x14ac:dyDescent="0.3">
      <c r="B4" s="311"/>
      <c r="C4" s="311"/>
      <c r="D4" s="311"/>
      <c r="E4" s="21" t="s">
        <v>17</v>
      </c>
      <c r="F4" s="21" t="s">
        <v>116</v>
      </c>
      <c r="G4" s="21" t="s">
        <v>137</v>
      </c>
    </row>
    <row r="5" spans="1:8" x14ac:dyDescent="0.3">
      <c r="B5" s="27" t="s">
        <v>18</v>
      </c>
      <c r="C5" s="23">
        <f>C6+C9</f>
        <v>310690.68</v>
      </c>
      <c r="D5" s="23">
        <f t="shared" ref="D5:G5" si="0">D6+D9</f>
        <v>305043.20000000001</v>
      </c>
      <c r="E5" s="23">
        <f t="shared" si="0"/>
        <v>317753.3</v>
      </c>
      <c r="F5" s="23">
        <f t="shared" si="0"/>
        <v>317753.3</v>
      </c>
      <c r="G5" s="23">
        <f t="shared" si="0"/>
        <v>317753.3</v>
      </c>
    </row>
    <row r="6" spans="1:8" ht="21.6" x14ac:dyDescent="0.3">
      <c r="B6" s="25" t="s">
        <v>19</v>
      </c>
      <c r="C6" s="23">
        <f>SUM(C7:C8)</f>
        <v>310690.68</v>
      </c>
      <c r="D6" s="23">
        <f t="shared" ref="D6:G6" si="1">SUM(D7:D8)</f>
        <v>305043.20000000001</v>
      </c>
      <c r="E6" s="23">
        <f t="shared" si="1"/>
        <v>317753.3</v>
      </c>
      <c r="F6" s="23">
        <f t="shared" si="1"/>
        <v>317753.3</v>
      </c>
      <c r="G6" s="23">
        <f t="shared" si="1"/>
        <v>317753.3</v>
      </c>
    </row>
    <row r="7" spans="1:8" x14ac:dyDescent="0.3">
      <c r="B7" s="20" t="s">
        <v>459</v>
      </c>
      <c r="C7" s="242">
        <f>+'Հ3 Մաս 2'!G8</f>
        <v>310690.68</v>
      </c>
      <c r="D7" s="242">
        <f>+'Հ3 Մաս 2'!H8</f>
        <v>305043.20000000001</v>
      </c>
      <c r="E7" s="242">
        <f>+'Հ3 Մաս 2'!I8</f>
        <v>317753.3</v>
      </c>
      <c r="F7" s="242">
        <f>+'Հ3 Մաս 2'!J8</f>
        <v>317753.3</v>
      </c>
      <c r="G7" s="242">
        <f>+'Հ3 Մաս 2'!K8</f>
        <v>317753.3</v>
      </c>
    </row>
    <row r="8" spans="1:8" x14ac:dyDescent="0.3">
      <c r="B8" s="20"/>
      <c r="C8" s="24"/>
      <c r="D8" s="24"/>
      <c r="E8" s="24"/>
      <c r="F8" s="24"/>
      <c r="G8" s="24"/>
    </row>
    <row r="9" spans="1:8" x14ac:dyDescent="0.3">
      <c r="B9" s="25" t="s">
        <v>105</v>
      </c>
      <c r="C9" s="23">
        <f>SUM(C10:C11)</f>
        <v>0</v>
      </c>
      <c r="D9" s="23">
        <f t="shared" ref="D9:G9" si="2">SUM(D10:D11)</f>
        <v>0</v>
      </c>
      <c r="E9" s="23">
        <f t="shared" si="2"/>
        <v>0</v>
      </c>
      <c r="F9" s="23">
        <f t="shared" si="2"/>
        <v>0</v>
      </c>
      <c r="G9" s="23">
        <f t="shared" si="2"/>
        <v>0</v>
      </c>
    </row>
    <row r="10" spans="1:8" x14ac:dyDescent="0.3">
      <c r="B10" s="26"/>
      <c r="C10" s="24"/>
      <c r="D10" s="24"/>
      <c r="E10" s="24"/>
      <c r="F10" s="24"/>
      <c r="G10" s="24"/>
    </row>
    <row r="11" spans="1:8" x14ac:dyDescent="0.3">
      <c r="B11" s="24"/>
      <c r="C11" s="24"/>
      <c r="D11" s="24"/>
      <c r="E11" s="24"/>
      <c r="F11" s="24"/>
      <c r="G11" s="24"/>
    </row>
    <row r="12" spans="1:8" x14ac:dyDescent="0.3">
      <c r="B12" s="309"/>
      <c r="C12" s="309"/>
      <c r="D12" s="309"/>
      <c r="E12" s="309"/>
      <c r="F12" s="309"/>
      <c r="G12" s="309"/>
    </row>
    <row r="13" spans="1:8" ht="15" x14ac:dyDescent="0.3">
      <c r="A13" s="28"/>
      <c r="C13" s="22"/>
      <c r="D13" s="22"/>
      <c r="E13" s="22"/>
      <c r="F13" s="22"/>
      <c r="G13" s="22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BB27"/>
  <sheetViews>
    <sheetView topLeftCell="Q2" workbookViewId="0">
      <selection activeCell="Y7" sqref="Y7:AA7"/>
    </sheetView>
  </sheetViews>
  <sheetFormatPr defaultRowHeight="14.4" x14ac:dyDescent="0.3"/>
  <cols>
    <col min="1" max="1" width="3.88671875" customWidth="1"/>
    <col min="2" max="2" width="10.6640625" customWidth="1"/>
    <col min="3" max="3" width="12.6640625" customWidth="1"/>
    <col min="4" max="4" width="21.77734375" customWidth="1"/>
    <col min="5" max="5" width="20.33203125" customWidth="1"/>
    <col min="6" max="6" width="20.44140625" customWidth="1"/>
    <col min="7" max="7" width="11.109375" customWidth="1"/>
    <col min="8" max="8" width="11.77734375" customWidth="1"/>
    <col min="9" max="9" width="10.33203125" customWidth="1"/>
    <col min="10" max="10" width="10" customWidth="1"/>
    <col min="11" max="11" width="10.21875" customWidth="1"/>
    <col min="12" max="12" width="10" customWidth="1"/>
    <col min="13" max="13" width="9.109375" customWidth="1"/>
    <col min="14" max="14" width="17.109375" bestFit="1" customWidth="1"/>
    <col min="15" max="15" width="12.6640625" bestFit="1" customWidth="1"/>
    <col min="16" max="19" width="9.109375" customWidth="1"/>
    <col min="20" max="20" width="10.77734375" customWidth="1"/>
    <col min="21" max="21" width="10.33203125" customWidth="1"/>
    <col min="22" max="22" width="10.5546875" customWidth="1"/>
    <col min="23" max="23" width="9.109375" customWidth="1"/>
    <col min="24" max="24" width="10.44140625" customWidth="1"/>
    <col min="25" max="25" width="11.109375" customWidth="1"/>
    <col min="26" max="27" width="10.6640625" customWidth="1"/>
    <col min="28" max="28" width="11.44140625" customWidth="1"/>
    <col min="29" max="29" width="10.33203125" customWidth="1"/>
    <col min="30" max="30" width="10.6640625" customWidth="1"/>
    <col min="31" max="33" width="10" customWidth="1"/>
    <col min="34" max="35" width="9" bestFit="1" customWidth="1"/>
    <col min="36" max="36" width="10.33203125" bestFit="1" customWidth="1"/>
    <col min="37" max="37" width="9.109375" bestFit="1" customWidth="1"/>
    <col min="38" max="45" width="9" bestFit="1" customWidth="1"/>
    <col min="46" max="46" width="10" bestFit="1" customWidth="1"/>
    <col min="47" max="47" width="10" customWidth="1"/>
    <col min="48" max="48" width="9" bestFit="1" customWidth="1"/>
    <col min="53" max="53" width="12.88671875" bestFit="1" customWidth="1"/>
    <col min="54" max="54" width="9.33203125" bestFit="1" customWidth="1"/>
  </cols>
  <sheetData>
    <row r="1" spans="1:54" s="65" customFormat="1" ht="22.5" customHeight="1" x14ac:dyDescent="0.3">
      <c r="A1" s="79" t="s">
        <v>130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</row>
    <row r="2" spans="1:54" ht="18" x14ac:dyDescent="0.3">
      <c r="A2" s="79"/>
      <c r="B2" s="82"/>
      <c r="C2" s="82"/>
      <c r="D2" s="82"/>
      <c r="E2" s="82"/>
      <c r="F2" s="82"/>
      <c r="G2" s="82"/>
      <c r="H2" s="82"/>
      <c r="I2" t="s">
        <v>229</v>
      </c>
      <c r="J2" t="s">
        <v>230</v>
      </c>
      <c r="K2" s="82"/>
      <c r="L2" s="82"/>
      <c r="M2" s="82"/>
      <c r="N2" s="82"/>
      <c r="O2" s="82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</row>
    <row r="3" spans="1:54" s="68" customFormat="1" ht="30.75" customHeight="1" x14ac:dyDescent="0.3">
      <c r="A3" s="83" t="s">
        <v>132</v>
      </c>
      <c r="B3" s="84"/>
      <c r="C3" s="84"/>
      <c r="D3" s="84"/>
      <c r="E3" s="84"/>
      <c r="F3" s="84"/>
      <c r="G3" s="84"/>
      <c r="H3" s="84"/>
      <c r="I3">
        <v>387.17</v>
      </c>
      <c r="J3">
        <v>420.51</v>
      </c>
      <c r="K3" s="81" t="s">
        <v>487</v>
      </c>
      <c r="L3" s="84"/>
      <c r="M3" s="84"/>
      <c r="N3" s="192"/>
      <c r="O3" s="230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M3" s="89" t="s">
        <v>229</v>
      </c>
      <c r="AN3"/>
    </row>
    <row r="4" spans="1:54" x14ac:dyDescent="0.3">
      <c r="A4" s="81"/>
      <c r="B4" s="85"/>
      <c r="C4" s="85"/>
      <c r="D4" s="85"/>
      <c r="E4" s="81"/>
      <c r="F4" s="81"/>
      <c r="G4" s="81"/>
      <c r="H4" s="81"/>
      <c r="I4">
        <v>397.35</v>
      </c>
      <c r="J4">
        <v>412.25</v>
      </c>
      <c r="K4" s="81" t="s">
        <v>488</v>
      </c>
      <c r="L4" s="171"/>
      <c r="M4" s="171"/>
      <c r="N4" s="81"/>
      <c r="O4" s="81"/>
      <c r="AE4" s="65"/>
      <c r="AF4" s="65"/>
      <c r="AG4" s="65"/>
      <c r="AM4" s="89"/>
      <c r="AU4" s="154"/>
    </row>
    <row r="5" spans="1:54" ht="15" thickBot="1" x14ac:dyDescent="0.35">
      <c r="A5" s="81"/>
      <c r="B5" s="81"/>
      <c r="C5" s="81"/>
      <c r="D5" s="85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AE5" s="65"/>
      <c r="AF5" s="65"/>
      <c r="AG5" s="65"/>
      <c r="AM5" s="89">
        <v>397.35</v>
      </c>
      <c r="AW5" s="85" t="s">
        <v>321</v>
      </c>
      <c r="AX5" s="73"/>
    </row>
    <row r="6" spans="1:54" ht="40.5" customHeight="1" x14ac:dyDescent="0.3">
      <c r="A6" s="81"/>
      <c r="B6" s="321" t="s">
        <v>8</v>
      </c>
      <c r="C6" s="316"/>
      <c r="D6" s="316" t="s">
        <v>52</v>
      </c>
      <c r="E6" s="316" t="s">
        <v>43</v>
      </c>
      <c r="F6" s="316" t="s">
        <v>133</v>
      </c>
      <c r="G6" s="316" t="s">
        <v>313</v>
      </c>
      <c r="H6" s="316"/>
      <c r="I6" s="316"/>
      <c r="J6" s="316" t="s">
        <v>141</v>
      </c>
      <c r="K6" s="316"/>
      <c r="L6" s="316"/>
      <c r="M6" s="316" t="s">
        <v>142</v>
      </c>
      <c r="N6" s="316"/>
      <c r="O6" s="316"/>
      <c r="P6" s="319" t="s">
        <v>143</v>
      </c>
      <c r="Q6" s="319"/>
      <c r="R6" s="319"/>
      <c r="S6" s="319" t="s">
        <v>22</v>
      </c>
      <c r="T6" s="319"/>
      <c r="U6" s="319"/>
      <c r="V6" s="319" t="s">
        <v>16</v>
      </c>
      <c r="W6" s="319"/>
      <c r="X6" s="319"/>
      <c r="Y6" s="319"/>
      <c r="Z6" s="319"/>
      <c r="AA6" s="319"/>
      <c r="AB6" s="319"/>
      <c r="AC6" s="319"/>
      <c r="AD6" s="320"/>
      <c r="AE6" s="312" t="s">
        <v>145</v>
      </c>
      <c r="AF6" s="313"/>
      <c r="AG6" s="313"/>
      <c r="AH6" s="313" t="s">
        <v>146</v>
      </c>
      <c r="AI6" s="313"/>
      <c r="AJ6" s="313"/>
      <c r="AK6" s="313"/>
      <c r="AL6" s="313"/>
      <c r="AM6" s="313"/>
      <c r="AN6" s="313"/>
      <c r="AO6" s="313"/>
      <c r="AP6" s="313"/>
      <c r="AQ6" s="313"/>
      <c r="AR6" s="313"/>
      <c r="AS6" s="313"/>
      <c r="AT6" s="313"/>
      <c r="AU6" s="313"/>
      <c r="AV6" s="324"/>
      <c r="AW6" s="325" t="s">
        <v>28</v>
      </c>
      <c r="AX6" s="327" t="s">
        <v>29</v>
      </c>
      <c r="AY6" s="329" t="s">
        <v>147</v>
      </c>
    </row>
    <row r="7" spans="1:54" ht="25.5" customHeight="1" x14ac:dyDescent="0.3">
      <c r="A7" s="81"/>
      <c r="B7" s="322"/>
      <c r="C7" s="282"/>
      <c r="D7" s="282"/>
      <c r="E7" s="282"/>
      <c r="F7" s="282"/>
      <c r="G7" s="282"/>
      <c r="H7" s="282"/>
      <c r="I7" s="282"/>
      <c r="J7" s="282"/>
      <c r="K7" s="282"/>
      <c r="L7" s="282"/>
      <c r="M7" s="282"/>
      <c r="N7" s="282"/>
      <c r="O7" s="282"/>
      <c r="P7" s="305"/>
      <c r="Q7" s="305"/>
      <c r="R7" s="305"/>
      <c r="S7" s="305"/>
      <c r="T7" s="305"/>
      <c r="U7" s="305"/>
      <c r="V7" s="305" t="s">
        <v>17</v>
      </c>
      <c r="W7" s="305"/>
      <c r="X7" s="305"/>
      <c r="Y7" s="305" t="s">
        <v>116</v>
      </c>
      <c r="Z7" s="305"/>
      <c r="AA7" s="305"/>
      <c r="AB7" s="305" t="s">
        <v>137</v>
      </c>
      <c r="AC7" s="305"/>
      <c r="AD7" s="323"/>
      <c r="AE7" s="314"/>
      <c r="AF7" s="315"/>
      <c r="AG7" s="315"/>
      <c r="AH7" s="315" t="s">
        <v>30</v>
      </c>
      <c r="AI7" s="315"/>
      <c r="AJ7" s="315"/>
      <c r="AK7" s="315" t="s">
        <v>31</v>
      </c>
      <c r="AL7" s="315"/>
      <c r="AM7" s="315"/>
      <c r="AN7" s="315" t="s">
        <v>32</v>
      </c>
      <c r="AO7" s="315"/>
      <c r="AP7" s="315"/>
      <c r="AQ7" s="315" t="s">
        <v>33</v>
      </c>
      <c r="AR7" s="315"/>
      <c r="AS7" s="315"/>
      <c r="AT7" s="315" t="s">
        <v>34</v>
      </c>
      <c r="AU7" s="315"/>
      <c r="AV7" s="331"/>
      <c r="AW7" s="326"/>
      <c r="AX7" s="328"/>
      <c r="AY7" s="330"/>
    </row>
    <row r="8" spans="1:54" ht="126" customHeight="1" x14ac:dyDescent="0.3">
      <c r="A8" s="81"/>
      <c r="B8" s="86" t="s">
        <v>2</v>
      </c>
      <c r="C8" s="87" t="s">
        <v>25</v>
      </c>
      <c r="D8" s="282"/>
      <c r="E8" s="282"/>
      <c r="F8" s="282"/>
      <c r="G8" s="88" t="s">
        <v>12</v>
      </c>
      <c r="H8" s="88" t="s">
        <v>20</v>
      </c>
      <c r="I8" s="88" t="s">
        <v>21</v>
      </c>
      <c r="J8" s="88" t="s">
        <v>12</v>
      </c>
      <c r="K8" s="88" t="s">
        <v>20</v>
      </c>
      <c r="L8" s="88" t="s">
        <v>21</v>
      </c>
      <c r="M8" s="88" t="s">
        <v>12</v>
      </c>
      <c r="N8" s="88" t="s">
        <v>20</v>
      </c>
      <c r="O8" s="88" t="s">
        <v>21</v>
      </c>
      <c r="P8" s="35" t="s">
        <v>12</v>
      </c>
      <c r="Q8" s="35" t="s">
        <v>20</v>
      </c>
      <c r="R8" s="35" t="s">
        <v>21</v>
      </c>
      <c r="S8" s="35" t="s">
        <v>12</v>
      </c>
      <c r="T8" s="35" t="s">
        <v>20</v>
      </c>
      <c r="U8" s="35" t="s">
        <v>21</v>
      </c>
      <c r="V8" s="35" t="s">
        <v>12</v>
      </c>
      <c r="W8" s="35" t="s">
        <v>20</v>
      </c>
      <c r="X8" s="35" t="s">
        <v>21</v>
      </c>
      <c r="Y8" s="35" t="s">
        <v>12</v>
      </c>
      <c r="Z8" s="35" t="s">
        <v>20</v>
      </c>
      <c r="AA8" s="35" t="s">
        <v>21</v>
      </c>
      <c r="AB8" s="35" t="s">
        <v>12</v>
      </c>
      <c r="AC8" s="35" t="s">
        <v>20</v>
      </c>
      <c r="AD8" s="63" t="s">
        <v>21</v>
      </c>
      <c r="AE8" s="48" t="s">
        <v>12</v>
      </c>
      <c r="AF8" s="47" t="s">
        <v>20</v>
      </c>
      <c r="AG8" s="47" t="s">
        <v>21</v>
      </c>
      <c r="AH8" s="47" t="s">
        <v>12</v>
      </c>
      <c r="AI8" s="47" t="s">
        <v>20</v>
      </c>
      <c r="AJ8" s="47" t="s">
        <v>21</v>
      </c>
      <c r="AK8" s="47" t="s">
        <v>12</v>
      </c>
      <c r="AL8" s="47" t="s">
        <v>20</v>
      </c>
      <c r="AM8" s="47" t="s">
        <v>21</v>
      </c>
      <c r="AN8" s="47" t="s">
        <v>12</v>
      </c>
      <c r="AO8" s="47" t="s">
        <v>20</v>
      </c>
      <c r="AP8" s="47" t="s">
        <v>21</v>
      </c>
      <c r="AQ8" s="47" t="s">
        <v>12</v>
      </c>
      <c r="AR8" s="47" t="s">
        <v>20</v>
      </c>
      <c r="AS8" s="47" t="s">
        <v>21</v>
      </c>
      <c r="AT8" s="47" t="s">
        <v>12</v>
      </c>
      <c r="AU8" s="47" t="s">
        <v>20</v>
      </c>
      <c r="AV8" s="49" t="s">
        <v>21</v>
      </c>
      <c r="AW8" s="326"/>
      <c r="AX8" s="328"/>
      <c r="AY8" s="330"/>
    </row>
    <row r="9" spans="1:54" ht="64.8" x14ac:dyDescent="0.3">
      <c r="B9" s="54">
        <v>1049</v>
      </c>
      <c r="C9" s="150">
        <v>11009</v>
      </c>
      <c r="D9" s="19" t="s">
        <v>231</v>
      </c>
      <c r="E9" s="37" t="s">
        <v>232</v>
      </c>
      <c r="F9" s="19" t="s">
        <v>233</v>
      </c>
      <c r="G9" s="170">
        <f>H9+I9</f>
        <v>5042.01810043161</v>
      </c>
      <c r="H9" s="169">
        <f>129178.79/1000</f>
        <v>129.17878999999999</v>
      </c>
      <c r="I9" s="169">
        <v>4912.8393104316101</v>
      </c>
      <c r="J9" s="170">
        <f>K9+L9</f>
        <v>2913.8459800000001</v>
      </c>
      <c r="K9" s="169">
        <f>115385.98/1000-0.17</f>
        <v>115.21597999999999</v>
      </c>
      <c r="L9" s="169">
        <v>2798.63</v>
      </c>
      <c r="M9" s="170">
        <f>N9+O9</f>
        <v>489.56665812846501</v>
      </c>
      <c r="N9" s="169">
        <f>6984.48/1000</f>
        <v>6.9844799999999996</v>
      </c>
      <c r="O9" s="169">
        <f>539900.6/387.81/1000+481.19</f>
        <v>482.58217812846499</v>
      </c>
      <c r="P9" s="170">
        <f>Q9+R9</f>
        <v>615.49190278172375</v>
      </c>
      <c r="Q9" s="169">
        <f>2700/I3</f>
        <v>6.9736808120463873</v>
      </c>
      <c r="R9" s="169">
        <f>235600/I3</f>
        <v>608.51822196967737</v>
      </c>
      <c r="S9" s="170">
        <f>T9+U9</f>
        <v>1023.1135595214214</v>
      </c>
      <c r="T9" s="169">
        <f t="shared" ref="T9:U13" si="0">+H9-K9-N9-Q9</f>
        <v>4.6491879536176839E-3</v>
      </c>
      <c r="U9" s="169">
        <f>+I9-L9-O9-R9</f>
        <v>1023.1089103334677</v>
      </c>
      <c r="V9" s="170">
        <f>W9+X9</f>
        <v>208.35599999999999</v>
      </c>
      <c r="W9" s="169">
        <v>0</v>
      </c>
      <c r="X9" s="169">
        <v>208.35599999999999</v>
      </c>
      <c r="Y9" s="62">
        <f>Z9+AA9</f>
        <v>8.3000000000000007</v>
      </c>
      <c r="Z9" s="60">
        <v>0</v>
      </c>
      <c r="AA9" s="187">
        <v>8.3000000000000007</v>
      </c>
      <c r="AB9" s="62">
        <f>AC9+AD9</f>
        <v>0</v>
      </c>
      <c r="AC9" s="60">
        <v>0</v>
      </c>
      <c r="AD9" s="51">
        <v>0</v>
      </c>
      <c r="AE9" s="195">
        <f>AF9+AG9</f>
        <v>208.35599999999999</v>
      </c>
      <c r="AF9" s="177">
        <v>0</v>
      </c>
      <c r="AG9" s="177">
        <v>208.35599999999999</v>
      </c>
      <c r="AH9" s="170">
        <f t="shared" ref="AH9" si="1">AI9+AJ9</f>
        <v>49.33</v>
      </c>
      <c r="AI9" s="169"/>
      <c r="AJ9" s="169">
        <v>49.33</v>
      </c>
      <c r="AK9" s="170">
        <f t="shared" ref="AK9" si="2">AL9+AM9</f>
        <v>57.57</v>
      </c>
      <c r="AL9" s="169"/>
      <c r="AM9" s="169">
        <v>57.57</v>
      </c>
      <c r="AN9" s="170">
        <f t="shared" ref="AN9" si="3">AO9+AP9</f>
        <v>49.33</v>
      </c>
      <c r="AO9" s="169"/>
      <c r="AP9" s="169">
        <v>49.33</v>
      </c>
      <c r="AQ9" s="176">
        <f>AR9+AS9</f>
        <v>52.13</v>
      </c>
      <c r="AR9" s="177">
        <v>0</v>
      </c>
      <c r="AS9" s="177">
        <v>52.13</v>
      </c>
      <c r="AT9" s="176">
        <f>AU9+AV9</f>
        <v>208.36</v>
      </c>
      <c r="AU9" s="177">
        <f>+AI9+AL9+AO9+AR9</f>
        <v>0</v>
      </c>
      <c r="AV9" s="177">
        <f>+AJ9+AM9+AP9+AS9</f>
        <v>208.36</v>
      </c>
      <c r="AW9" s="53"/>
      <c r="AX9" s="60"/>
      <c r="AY9" s="51"/>
    </row>
    <row r="10" spans="1:54" ht="79.2" customHeight="1" x14ac:dyDescent="0.3">
      <c r="B10" s="54">
        <v>1049</v>
      </c>
      <c r="C10" s="150">
        <v>11012</v>
      </c>
      <c r="D10" s="19" t="s">
        <v>294</v>
      </c>
      <c r="E10" s="20" t="s">
        <v>232</v>
      </c>
      <c r="F10" s="19" t="s">
        <v>233</v>
      </c>
      <c r="G10" s="170">
        <f t="shared" ref="G10:G11" si="4">H10+I10</f>
        <v>22326</v>
      </c>
      <c r="H10" s="169">
        <f>900+950</f>
        <v>1850</v>
      </c>
      <c r="I10" s="169">
        <f>(900+950)*1.2/6+15106+5000</f>
        <v>20476</v>
      </c>
      <c r="J10" s="170">
        <f t="shared" ref="J10" si="5">K10+L10</f>
        <v>7954.4</v>
      </c>
      <c r="K10" s="169">
        <v>86.2</v>
      </c>
      <c r="L10" s="169">
        <f>629.8+7238.4</f>
        <v>7868.2</v>
      </c>
      <c r="M10" s="170">
        <f t="shared" ref="M10:M11" si="6">N10+O10</f>
        <v>10978.8</v>
      </c>
      <c r="N10" s="169">
        <v>394.5</v>
      </c>
      <c r="O10" s="169">
        <v>10584.3</v>
      </c>
      <c r="P10" s="170">
        <f t="shared" ref="P10:P11" si="7">Q10+R10</f>
        <v>1669.8349562207816</v>
      </c>
      <c r="Q10" s="169">
        <f>197410/I3</f>
        <v>509.87938115039901</v>
      </c>
      <c r="R10" s="169">
        <f>449100/I3</f>
        <v>1159.9555750703826</v>
      </c>
      <c r="S10" s="170">
        <f t="shared" ref="S10:S11" si="8">T10+U10</f>
        <v>1722.9650437792184</v>
      </c>
      <c r="T10" s="169">
        <f t="shared" si="0"/>
        <v>859.42061884960094</v>
      </c>
      <c r="U10" s="169">
        <f t="shared" si="0"/>
        <v>863.54442492961743</v>
      </c>
      <c r="V10" s="170">
        <f t="shared" ref="V10:V11" si="9">W10+X10</f>
        <v>750</v>
      </c>
      <c r="W10" s="169">
        <v>500</v>
      </c>
      <c r="X10" s="169">
        <v>250</v>
      </c>
      <c r="Y10" s="170">
        <f t="shared" ref="Y10:Y11" si="10">Z10+AA10</f>
        <v>609.42061884960094</v>
      </c>
      <c r="Z10" s="169">
        <f>+T10-W10</f>
        <v>359.42061884960094</v>
      </c>
      <c r="AA10" s="169">
        <v>250</v>
      </c>
      <c r="AB10" s="170">
        <f t="shared" ref="AB10:AB11" si="11">AC10+AD10</f>
        <v>250</v>
      </c>
      <c r="AC10" s="91">
        <v>0</v>
      </c>
      <c r="AD10" s="175">
        <v>250</v>
      </c>
      <c r="AE10" s="195">
        <f t="shared" ref="AE10:AE11" si="12">AF10+AG10</f>
        <v>750</v>
      </c>
      <c r="AF10" s="177">
        <f>+W10</f>
        <v>500</v>
      </c>
      <c r="AG10" s="177">
        <f>+X10</f>
        <v>250</v>
      </c>
      <c r="AH10" s="176">
        <f t="shared" ref="AH10:AH11" si="13">AI10+AJ10</f>
        <v>120.800302000755</v>
      </c>
      <c r="AI10" s="177">
        <f>40000/AM5</f>
        <v>100.6669183339625</v>
      </c>
      <c r="AJ10" s="177">
        <f>+AI10*1.2/6</f>
        <v>20.133383666792501</v>
      </c>
      <c r="AK10" s="176">
        <f t="shared" ref="AK10:AK11" si="14">AL10+AM10</f>
        <v>201.333836667925</v>
      </c>
      <c r="AL10" s="177">
        <f>55000/AM5</f>
        <v>138.41701270919845</v>
      </c>
      <c r="AM10" s="177">
        <f>25000/AM5</f>
        <v>62.91682395872656</v>
      </c>
      <c r="AN10" s="176">
        <f t="shared" ref="AN10:AN11" si="15">AO10+AP10</f>
        <v>216.43387441801934</v>
      </c>
      <c r="AO10" s="177">
        <f>53000/AM5</f>
        <v>133.38366679250029</v>
      </c>
      <c r="AP10" s="177">
        <f>33000/AM5</f>
        <v>83.050207625519064</v>
      </c>
      <c r="AQ10" s="176">
        <f t="shared" ref="AQ10:AQ11" si="16">AR10+AS10</f>
        <v>211.43198691330065</v>
      </c>
      <c r="AR10" s="177">
        <v>127.53240216433878</v>
      </c>
      <c r="AS10" s="177">
        <v>83.899584748961885</v>
      </c>
      <c r="AT10" s="176">
        <f t="shared" ref="AT10:AT11" si="17">AU10+AV10</f>
        <v>750</v>
      </c>
      <c r="AU10" s="177">
        <f t="shared" ref="AU10:AU14" si="18">+AI10+AL10+AO10+AR10</f>
        <v>500</v>
      </c>
      <c r="AV10" s="177">
        <f t="shared" ref="AV10:AV14" si="19">+AJ10+AM10+AP10+AS10</f>
        <v>250</v>
      </c>
      <c r="AW10" s="53"/>
      <c r="AX10" s="91"/>
      <c r="AY10" s="51"/>
    </row>
    <row r="11" spans="1:54" ht="79.2" customHeight="1" x14ac:dyDescent="0.3">
      <c r="B11" s="54">
        <v>1049</v>
      </c>
      <c r="C11" s="150">
        <v>11017</v>
      </c>
      <c r="D11" s="19" t="s">
        <v>299</v>
      </c>
      <c r="E11" s="20" t="s">
        <v>232</v>
      </c>
      <c r="F11" s="19" t="s">
        <v>233</v>
      </c>
      <c r="G11" s="170">
        <f t="shared" si="4"/>
        <v>16450</v>
      </c>
      <c r="H11" s="169">
        <v>10700</v>
      </c>
      <c r="I11" s="169">
        <f>+H11*1.2/6+3610</f>
        <v>5750</v>
      </c>
      <c r="J11" s="170">
        <f>K11+L11</f>
        <v>455.07065999999998</v>
      </c>
      <c r="K11" s="91">
        <v>0</v>
      </c>
      <c r="L11" s="169">
        <f>455070.66/1000</f>
        <v>455.07065999999998</v>
      </c>
      <c r="M11" s="183">
        <f t="shared" si="6"/>
        <v>3154.8431776834445</v>
      </c>
      <c r="N11" s="91">
        <v>0</v>
      </c>
      <c r="O11" s="169">
        <f>1300584.1/J4</f>
        <v>3154.8431776834445</v>
      </c>
      <c r="P11" s="170">
        <f t="shared" si="7"/>
        <v>507.14608451642056</v>
      </c>
      <c r="Q11" s="169">
        <f>56470/J3</f>
        <v>134.28931535516398</v>
      </c>
      <c r="R11" s="169">
        <f>156790/J3</f>
        <v>372.85676916125658</v>
      </c>
      <c r="S11" s="183">
        <f t="shared" si="8"/>
        <v>12332.940077800136</v>
      </c>
      <c r="T11" s="187">
        <f>+H11-K11-N11-Q11</f>
        <v>10565.710684644837</v>
      </c>
      <c r="U11" s="187">
        <f>+I11-L11-O11-R11</f>
        <v>1767.2293931552986</v>
      </c>
      <c r="V11" s="170">
        <f t="shared" si="9"/>
        <v>258.5</v>
      </c>
      <c r="W11" s="177">
        <v>181</v>
      </c>
      <c r="X11" s="177">
        <v>77.5</v>
      </c>
      <c r="Y11" s="170">
        <f t="shared" si="10"/>
        <v>401.7</v>
      </c>
      <c r="Z11" s="169">
        <v>270</v>
      </c>
      <c r="AA11" s="169">
        <v>131.69999999999999</v>
      </c>
      <c r="AB11" s="170">
        <f t="shared" si="11"/>
        <v>544.54999999999995</v>
      </c>
      <c r="AC11" s="169">
        <v>370</v>
      </c>
      <c r="AD11" s="175">
        <v>174.55</v>
      </c>
      <c r="AE11" s="195">
        <f t="shared" si="12"/>
        <v>258.5</v>
      </c>
      <c r="AF11" s="177">
        <f t="shared" ref="AF11:AF14" si="20">+W11</f>
        <v>181</v>
      </c>
      <c r="AG11" s="177">
        <f t="shared" ref="AG11:AG14" si="21">+X11</f>
        <v>77.5</v>
      </c>
      <c r="AH11" s="176">
        <f t="shared" si="13"/>
        <v>57.883478042028436</v>
      </c>
      <c r="AI11" s="177">
        <f>18000/AM5</f>
        <v>45.300113250283125</v>
      </c>
      <c r="AJ11" s="177">
        <f>5000/AM5</f>
        <v>12.583364791745312</v>
      </c>
      <c r="AK11" s="176">
        <f t="shared" si="14"/>
        <v>66.691833396250161</v>
      </c>
      <c r="AL11" s="177">
        <f>18000/AM5</f>
        <v>45.300113250283125</v>
      </c>
      <c r="AM11" s="177">
        <f>8500/AM5</f>
        <v>21.391720145967032</v>
      </c>
      <c r="AN11" s="176">
        <f t="shared" si="15"/>
        <v>65.43349691707563</v>
      </c>
      <c r="AO11" s="177">
        <f>18000/AM5</f>
        <v>45.300113250283125</v>
      </c>
      <c r="AP11" s="177">
        <f>8000/AM5</f>
        <v>20.133383666792501</v>
      </c>
      <c r="AQ11" s="176">
        <f t="shared" si="16"/>
        <v>68.490000000000009</v>
      </c>
      <c r="AR11" s="177">
        <v>45.1</v>
      </c>
      <c r="AS11" s="177">
        <v>23.39</v>
      </c>
      <c r="AT11" s="176">
        <f t="shared" si="17"/>
        <v>258.49880835535424</v>
      </c>
      <c r="AU11" s="177">
        <f t="shared" si="18"/>
        <v>181.00033975084938</v>
      </c>
      <c r="AV11" s="177">
        <f t="shared" si="19"/>
        <v>77.498468604504851</v>
      </c>
      <c r="AW11" s="53"/>
      <c r="AX11" s="91"/>
      <c r="AY11" s="51"/>
    </row>
    <row r="12" spans="1:54" ht="69.599999999999994" customHeight="1" x14ac:dyDescent="0.3">
      <c r="B12" s="54">
        <v>1049</v>
      </c>
      <c r="C12" s="19">
        <v>21006</v>
      </c>
      <c r="D12" s="19" t="s">
        <v>234</v>
      </c>
      <c r="E12" s="37" t="s">
        <v>232</v>
      </c>
      <c r="F12" s="19" t="s">
        <v>318</v>
      </c>
      <c r="G12" s="170">
        <f t="shared" ref="G12:G14" si="22">H12+I12</f>
        <v>201774.984</v>
      </c>
      <c r="H12" s="169">
        <f>166000-129.18</f>
        <v>165870.82</v>
      </c>
      <c r="I12" s="169">
        <f>+H12*1.2/6+2730</f>
        <v>35904.163999999997</v>
      </c>
      <c r="J12" s="170">
        <f t="shared" ref="J12:J14" si="23">K12+L12</f>
        <v>147724</v>
      </c>
      <c r="K12" s="169">
        <f>126944+810</f>
        <v>127754</v>
      </c>
      <c r="L12" s="169">
        <v>19970</v>
      </c>
      <c r="M12" s="170">
        <f t="shared" ref="M12:M14" si="24">N12+O12</f>
        <v>8217.4803513384995</v>
      </c>
      <c r="N12" s="169">
        <f>5272538.01930407/1000</f>
        <v>5272.5380193040701</v>
      </c>
      <c r="O12" s="169">
        <f>2944942.33203443/1000</f>
        <v>2944.9423320344299</v>
      </c>
      <c r="P12" s="170">
        <f t="shared" ref="P12:P14" si="25">Q12+R12</f>
        <v>9705.8532427615773</v>
      </c>
      <c r="Q12" s="169">
        <f>1725527.4/I3</f>
        <v>4456.7693777927007</v>
      </c>
      <c r="R12" s="169">
        <f>2032287.8/I3</f>
        <v>5249.0838649688767</v>
      </c>
      <c r="S12" s="170">
        <f t="shared" ref="S12:S14" si="26">T12+U12</f>
        <v>36127.650405899927</v>
      </c>
      <c r="T12" s="169">
        <f t="shared" si="0"/>
        <v>28387.512602903236</v>
      </c>
      <c r="U12" s="169">
        <f t="shared" si="0"/>
        <v>7740.13780299669</v>
      </c>
      <c r="V12" s="170">
        <f t="shared" ref="V12:V14" si="27">W12+X12</f>
        <v>7740.13780299669</v>
      </c>
      <c r="W12" s="91">
        <v>0</v>
      </c>
      <c r="X12" s="169">
        <f>+U12</f>
        <v>7740.13780299669</v>
      </c>
      <c r="Y12" s="62">
        <f t="shared" ref="Y12:Y14" si="28">Z12+AA12</f>
        <v>0</v>
      </c>
      <c r="Z12" s="60">
        <v>0</v>
      </c>
      <c r="AA12" s="60">
        <v>0</v>
      </c>
      <c r="AB12" s="62">
        <f t="shared" ref="AB12:AB14" si="29">AC12+AD12</f>
        <v>0</v>
      </c>
      <c r="AC12" s="60">
        <v>0</v>
      </c>
      <c r="AD12" s="51">
        <v>0</v>
      </c>
      <c r="AE12" s="195">
        <f t="shared" ref="AE12:AE14" si="30">AF12+AG12</f>
        <v>7740.13780299669</v>
      </c>
      <c r="AF12" s="177">
        <f>+W12</f>
        <v>0</v>
      </c>
      <c r="AG12" s="177">
        <f>+X12</f>
        <v>7740.13780299669</v>
      </c>
      <c r="AH12" s="176">
        <f t="shared" ref="AH12:AH14" si="31">AI12+AJ12</f>
        <v>3775.0094375235935</v>
      </c>
      <c r="AI12" s="177">
        <v>0</v>
      </c>
      <c r="AJ12" s="177">
        <f>1500000/AM5</f>
        <v>3775.0094375235935</v>
      </c>
      <c r="AK12" s="176">
        <f t="shared" ref="AK12:AK14" si="32">AL12+AM12</f>
        <v>3965.13</v>
      </c>
      <c r="AL12" s="177">
        <v>0</v>
      </c>
      <c r="AM12" s="177">
        <v>3965.13</v>
      </c>
      <c r="AN12" s="176">
        <f t="shared" ref="AN12:AN14" si="33">AO12+AP12</f>
        <v>0</v>
      </c>
      <c r="AO12" s="177">
        <v>0</v>
      </c>
      <c r="AP12" s="177">
        <v>0</v>
      </c>
      <c r="AQ12" s="176">
        <f t="shared" ref="AQ12:AQ14" si="34">AR12+AS12</f>
        <v>0</v>
      </c>
      <c r="AR12" s="177">
        <v>0</v>
      </c>
      <c r="AS12" s="177">
        <v>0</v>
      </c>
      <c r="AT12" s="176">
        <f t="shared" ref="AT12:AT14" si="35">AU12+AV12</f>
        <v>7740.1394375235941</v>
      </c>
      <c r="AU12" s="177">
        <f t="shared" si="18"/>
        <v>0</v>
      </c>
      <c r="AV12" s="177">
        <f t="shared" si="19"/>
        <v>7740.1394375235941</v>
      </c>
      <c r="AW12" s="53"/>
      <c r="AX12" s="60"/>
      <c r="AY12" s="51"/>
      <c r="BA12" s="155"/>
      <c r="BB12" s="155">
        <f>+BA12/AM5</f>
        <v>0</v>
      </c>
    </row>
    <row r="13" spans="1:54" ht="54" x14ac:dyDescent="0.3">
      <c r="B13" s="54">
        <v>1049</v>
      </c>
      <c r="C13" s="19">
        <v>21012</v>
      </c>
      <c r="D13" s="168" t="s">
        <v>306</v>
      </c>
      <c r="E13" s="181" t="s">
        <v>232</v>
      </c>
      <c r="F13" s="19" t="s">
        <v>318</v>
      </c>
      <c r="G13" s="170">
        <f t="shared" si="22"/>
        <v>263670</v>
      </c>
      <c r="H13" s="169">
        <f>135000+8150+5000</f>
        <v>148150</v>
      </c>
      <c r="I13" s="169">
        <f>(148150+71575)*1.2/6+71575</f>
        <v>115520</v>
      </c>
      <c r="J13" s="170">
        <f t="shared" si="23"/>
        <v>15761.5</v>
      </c>
      <c r="K13" s="169">
        <v>15313.7</v>
      </c>
      <c r="L13" s="169">
        <v>447.8</v>
      </c>
      <c r="M13" s="170">
        <f t="shared" si="24"/>
        <v>17037.8</v>
      </c>
      <c r="N13" s="169">
        <v>14040.7</v>
      </c>
      <c r="O13" s="169">
        <v>2997.1</v>
      </c>
      <c r="P13" s="170">
        <f t="shared" si="25"/>
        <v>27339.605857891878</v>
      </c>
      <c r="Q13" s="169">
        <f>8820896/I3</f>
        <v>22783.004881576566</v>
      </c>
      <c r="R13" s="169">
        <f>1764179.2/I3</f>
        <v>4556.6009763153133</v>
      </c>
      <c r="S13" s="170">
        <f t="shared" si="26"/>
        <v>203531.09414210811</v>
      </c>
      <c r="T13" s="169">
        <f t="shared" si="0"/>
        <v>96012.595118423429</v>
      </c>
      <c r="U13" s="169">
        <f t="shared" si="0"/>
        <v>107518.49902368468</v>
      </c>
      <c r="V13" s="170">
        <f t="shared" si="27"/>
        <v>86400</v>
      </c>
      <c r="W13" s="169">
        <f>90000-18000</f>
        <v>72000</v>
      </c>
      <c r="X13" s="169">
        <f>+W13*1.2/6</f>
        <v>14400</v>
      </c>
      <c r="Y13" s="170">
        <f t="shared" si="28"/>
        <v>31500</v>
      </c>
      <c r="Z13" s="169">
        <v>1500</v>
      </c>
      <c r="AA13" s="169">
        <v>30000</v>
      </c>
      <c r="AB13" s="170">
        <f t="shared" si="29"/>
        <v>27500</v>
      </c>
      <c r="AC13" s="169">
        <v>1500</v>
      </c>
      <c r="AD13" s="175">
        <v>26000</v>
      </c>
      <c r="AE13" s="195">
        <f t="shared" si="30"/>
        <v>86400</v>
      </c>
      <c r="AF13" s="177">
        <f t="shared" si="20"/>
        <v>72000</v>
      </c>
      <c r="AG13" s="177">
        <f t="shared" si="21"/>
        <v>14400</v>
      </c>
      <c r="AH13" s="176">
        <f t="shared" si="31"/>
        <v>19630.049075122686</v>
      </c>
      <c r="AI13" s="177">
        <f>6500000/AM5</f>
        <v>16358.374229268906</v>
      </c>
      <c r="AJ13" s="177">
        <f>+AI13*1.2/6</f>
        <v>3271.6748458537809</v>
      </c>
      <c r="AK13" s="176">
        <f t="shared" si="32"/>
        <v>18000</v>
      </c>
      <c r="AL13" s="177">
        <v>15000</v>
      </c>
      <c r="AM13" s="177">
        <f>+AL13*1.2/6</f>
        <v>3000</v>
      </c>
      <c r="AN13" s="176">
        <f t="shared" si="33"/>
        <v>24000</v>
      </c>
      <c r="AO13" s="177">
        <v>20000</v>
      </c>
      <c r="AP13" s="177">
        <f>+AO13*1.2/6</f>
        <v>4000</v>
      </c>
      <c r="AQ13" s="176">
        <f t="shared" si="34"/>
        <v>24769.950924877314</v>
      </c>
      <c r="AR13" s="177">
        <v>20641.625770731094</v>
      </c>
      <c r="AS13" s="177">
        <v>4128.3251541462196</v>
      </c>
      <c r="AT13" s="176">
        <f t="shared" si="35"/>
        <v>86400</v>
      </c>
      <c r="AU13" s="177">
        <f>+AI13+AL13+AO13+AR13</f>
        <v>72000</v>
      </c>
      <c r="AV13" s="177">
        <f t="shared" si="19"/>
        <v>14400</v>
      </c>
      <c r="AW13" s="53"/>
      <c r="AX13" s="60"/>
      <c r="AY13" s="51"/>
    </row>
    <row r="14" spans="1:54" ht="54" x14ac:dyDescent="0.3">
      <c r="B14" s="54">
        <v>1049</v>
      </c>
      <c r="C14" s="19">
        <v>21018</v>
      </c>
      <c r="D14" s="19" t="s">
        <v>308</v>
      </c>
      <c r="E14" s="20" t="s">
        <v>232</v>
      </c>
      <c r="F14" s="168" t="s">
        <v>235</v>
      </c>
      <c r="G14" s="170">
        <f t="shared" si="22"/>
        <v>312650</v>
      </c>
      <c r="H14" s="169">
        <f>182800+6500</f>
        <v>189300</v>
      </c>
      <c r="I14" s="169">
        <f>129100-I11</f>
        <v>123350</v>
      </c>
      <c r="J14" s="62">
        <f t="shared" si="23"/>
        <v>0</v>
      </c>
      <c r="K14" s="60">
        <v>0</v>
      </c>
      <c r="L14" s="169">
        <v>0</v>
      </c>
      <c r="M14" s="62">
        <f t="shared" si="24"/>
        <v>0</v>
      </c>
      <c r="N14" s="60">
        <v>0</v>
      </c>
      <c r="O14" s="60">
        <v>0</v>
      </c>
      <c r="P14" s="170">
        <f t="shared" si="25"/>
        <v>18328.590758840459</v>
      </c>
      <c r="Q14" s="169">
        <f>6422796.4/J3</f>
        <v>15273.825592732635</v>
      </c>
      <c r="R14" s="169">
        <f>1284559.3/J3</f>
        <v>3054.7651661078216</v>
      </c>
      <c r="S14" s="62">
        <f t="shared" si="26"/>
        <v>294321.40924115956</v>
      </c>
      <c r="T14" s="187">
        <f>H14-K14-N14-Q14</f>
        <v>174026.17440726736</v>
      </c>
      <c r="U14" s="187">
        <f>I14-L14-O14-R14</f>
        <v>120295.23483389217</v>
      </c>
      <c r="V14" s="170">
        <f t="shared" si="27"/>
        <v>45600</v>
      </c>
      <c r="W14" s="169">
        <f>45600/1.2</f>
        <v>38000</v>
      </c>
      <c r="X14" s="169">
        <f>45600/6</f>
        <v>7600</v>
      </c>
      <c r="Y14" s="170">
        <f t="shared" si="28"/>
        <v>68300</v>
      </c>
      <c r="Z14" s="169">
        <v>57000</v>
      </c>
      <c r="AA14" s="169">
        <v>11300</v>
      </c>
      <c r="AB14" s="170">
        <f t="shared" si="29"/>
        <v>89200</v>
      </c>
      <c r="AC14" s="169">
        <v>74500</v>
      </c>
      <c r="AD14" s="175">
        <v>14700</v>
      </c>
      <c r="AE14" s="195">
        <f t="shared" si="30"/>
        <v>45600</v>
      </c>
      <c r="AF14" s="177">
        <f t="shared" si="20"/>
        <v>38000</v>
      </c>
      <c r="AG14" s="177">
        <f t="shared" si="21"/>
        <v>7600</v>
      </c>
      <c r="AH14" s="176">
        <f t="shared" si="31"/>
        <v>11476.028690071724</v>
      </c>
      <c r="AI14" s="177">
        <f>3800000/AM5</f>
        <v>9563.3572417264368</v>
      </c>
      <c r="AJ14" s="177">
        <f>+AI14*1.2/6</f>
        <v>1912.6714483452872</v>
      </c>
      <c r="AK14" s="176">
        <f t="shared" si="32"/>
        <v>12080.0302000755</v>
      </c>
      <c r="AL14" s="177">
        <f>4000000/AM5</f>
        <v>10066.691833396249</v>
      </c>
      <c r="AM14" s="177">
        <f>+AL14*1.2/6</f>
        <v>2013.3383666792497</v>
      </c>
      <c r="AN14" s="176">
        <f t="shared" si="33"/>
        <v>12080.0302000755</v>
      </c>
      <c r="AO14" s="177">
        <f>4000000/AM5</f>
        <v>10066.691833396249</v>
      </c>
      <c r="AP14" s="177">
        <f>+AO14*1.2/6</f>
        <v>2013.3383666792497</v>
      </c>
      <c r="AQ14" s="176">
        <f t="shared" si="34"/>
        <v>9963.9109097772744</v>
      </c>
      <c r="AR14" s="177">
        <v>8303.2590914810644</v>
      </c>
      <c r="AS14" s="177">
        <v>1660.65181829621</v>
      </c>
      <c r="AT14" s="176">
        <f t="shared" si="35"/>
        <v>45600</v>
      </c>
      <c r="AU14" s="177">
        <f t="shared" si="18"/>
        <v>38000</v>
      </c>
      <c r="AV14" s="177">
        <f t="shared" si="19"/>
        <v>7599.9999999999964</v>
      </c>
      <c r="AW14" s="53"/>
      <c r="AX14" s="60"/>
      <c r="AY14" s="51"/>
    </row>
    <row r="15" spans="1:54" ht="18" x14ac:dyDescent="0.3">
      <c r="A15" s="34"/>
      <c r="B15" s="317" t="s">
        <v>41</v>
      </c>
      <c r="C15" s="318"/>
      <c r="D15" s="318"/>
      <c r="E15" s="318"/>
      <c r="F15" s="318"/>
      <c r="G15" s="172">
        <f t="shared" ref="G15:AV15" si="36">SUM(G9:G14)</f>
        <v>821913.00210043159</v>
      </c>
      <c r="H15" s="172">
        <f t="shared" si="36"/>
        <v>515999.99878999998</v>
      </c>
      <c r="I15" s="172">
        <f t="shared" si="36"/>
        <v>305913.00331043161</v>
      </c>
      <c r="J15" s="38">
        <f t="shared" si="36"/>
        <v>174808.81664</v>
      </c>
      <c r="K15" s="38">
        <f t="shared" si="36"/>
        <v>143269.11598</v>
      </c>
      <c r="L15" s="38">
        <f t="shared" si="36"/>
        <v>31539.700659999999</v>
      </c>
      <c r="M15" s="38">
        <f t="shared" si="36"/>
        <v>39878.490187150412</v>
      </c>
      <c r="N15" s="38">
        <f t="shared" si="36"/>
        <v>19714.722499304073</v>
      </c>
      <c r="O15" s="38">
        <f t="shared" si="36"/>
        <v>20163.767687846335</v>
      </c>
      <c r="P15" s="38">
        <f t="shared" si="36"/>
        <v>58166.522803012842</v>
      </c>
      <c r="Q15" s="38">
        <f t="shared" si="36"/>
        <v>43164.742229419513</v>
      </c>
      <c r="R15" s="38">
        <f t="shared" si="36"/>
        <v>15001.780573593327</v>
      </c>
      <c r="S15" s="38">
        <f t="shared" si="36"/>
        <v>549059.17247026833</v>
      </c>
      <c r="T15" s="38">
        <f t="shared" si="36"/>
        <v>309851.41808127641</v>
      </c>
      <c r="U15" s="38">
        <f t="shared" si="36"/>
        <v>239207.75438899192</v>
      </c>
      <c r="V15" s="38">
        <f t="shared" si="36"/>
        <v>140956.9938029967</v>
      </c>
      <c r="W15" s="38">
        <f t="shared" si="36"/>
        <v>110681</v>
      </c>
      <c r="X15" s="38">
        <f t="shared" si="36"/>
        <v>30275.993802996691</v>
      </c>
      <c r="Y15" s="38">
        <f t="shared" si="36"/>
        <v>100819.4206188496</v>
      </c>
      <c r="Z15" s="38">
        <f t="shared" si="36"/>
        <v>59129.420618849603</v>
      </c>
      <c r="AA15" s="38">
        <f t="shared" si="36"/>
        <v>41690</v>
      </c>
      <c r="AB15" s="38">
        <f t="shared" si="36"/>
        <v>117494.55</v>
      </c>
      <c r="AC15" s="38">
        <f t="shared" si="36"/>
        <v>76370</v>
      </c>
      <c r="AD15" s="52">
        <f t="shared" si="36"/>
        <v>41124.550000000003</v>
      </c>
      <c r="AE15" s="50">
        <f t="shared" si="36"/>
        <v>140956.9938029967</v>
      </c>
      <c r="AF15" s="38">
        <f t="shared" si="36"/>
        <v>110681</v>
      </c>
      <c r="AG15" s="38">
        <f t="shared" si="36"/>
        <v>30275.993802996691</v>
      </c>
      <c r="AH15" s="38">
        <f t="shared" si="36"/>
        <v>35109.100982760785</v>
      </c>
      <c r="AI15" s="38">
        <f t="shared" si="36"/>
        <v>26067.698502579588</v>
      </c>
      <c r="AJ15" s="38">
        <f t="shared" si="36"/>
        <v>9041.4024801811993</v>
      </c>
      <c r="AK15" s="38">
        <f t="shared" si="36"/>
        <v>34370.755870139677</v>
      </c>
      <c r="AL15" s="38">
        <f t="shared" si="36"/>
        <v>25250.408959355729</v>
      </c>
      <c r="AM15" s="38">
        <f t="shared" si="36"/>
        <v>9120.3469107839446</v>
      </c>
      <c r="AN15" s="38">
        <f t="shared" si="36"/>
        <v>36411.227571410593</v>
      </c>
      <c r="AO15" s="38">
        <f t="shared" si="36"/>
        <v>30245.375613439031</v>
      </c>
      <c r="AP15" s="38">
        <f t="shared" si="36"/>
        <v>6165.8519579715612</v>
      </c>
      <c r="AQ15" s="38">
        <f t="shared" si="36"/>
        <v>35065.91382156789</v>
      </c>
      <c r="AR15" s="38">
        <f t="shared" si="36"/>
        <v>29117.517264376496</v>
      </c>
      <c r="AS15" s="38">
        <f t="shared" si="36"/>
        <v>5948.3965571913914</v>
      </c>
      <c r="AT15" s="38">
        <f t="shared" si="36"/>
        <v>140956.99824587896</v>
      </c>
      <c r="AU15" s="38">
        <f t="shared" si="36"/>
        <v>110681.00033975086</v>
      </c>
      <c r="AV15" s="52">
        <f t="shared" si="36"/>
        <v>30275.997906128094</v>
      </c>
      <c r="AW15" s="50" t="s">
        <v>44</v>
      </c>
      <c r="AX15" s="38" t="s">
        <v>44</v>
      </c>
      <c r="AY15" s="52" t="s">
        <v>44</v>
      </c>
    </row>
    <row r="16" spans="1:54" x14ac:dyDescent="0.3">
      <c r="B16" s="317" t="s">
        <v>23</v>
      </c>
      <c r="C16" s="318"/>
      <c r="D16" s="318"/>
      <c r="E16" s="318"/>
      <c r="F16" s="318"/>
      <c r="G16" s="172">
        <f t="shared" ref="G16:AV16" si="37">SUMIF($E9:$E14,"Վարկային ծրագիր",G9:G14)</f>
        <v>821913.00210043159</v>
      </c>
      <c r="H16" s="172">
        <f t="shared" si="37"/>
        <v>515999.99878999998</v>
      </c>
      <c r="I16" s="172">
        <f t="shared" si="37"/>
        <v>305913.00331043161</v>
      </c>
      <c r="J16" s="38">
        <f t="shared" si="37"/>
        <v>174808.81664</v>
      </c>
      <c r="K16" s="38">
        <f t="shared" si="37"/>
        <v>143269.11598</v>
      </c>
      <c r="L16" s="38">
        <f t="shared" si="37"/>
        <v>31539.700659999999</v>
      </c>
      <c r="M16" s="38">
        <f t="shared" si="37"/>
        <v>39878.490187150412</v>
      </c>
      <c r="N16" s="38">
        <f t="shared" si="37"/>
        <v>19714.722499304073</v>
      </c>
      <c r="O16" s="38">
        <f t="shared" si="37"/>
        <v>20163.767687846335</v>
      </c>
      <c r="P16" s="38">
        <f t="shared" si="37"/>
        <v>58166.522803012842</v>
      </c>
      <c r="Q16" s="38">
        <f t="shared" si="37"/>
        <v>43164.742229419513</v>
      </c>
      <c r="R16" s="38">
        <f t="shared" si="37"/>
        <v>15001.780573593327</v>
      </c>
      <c r="S16" s="38">
        <f t="shared" si="37"/>
        <v>549059.17247026833</v>
      </c>
      <c r="T16" s="38">
        <f t="shared" si="37"/>
        <v>309851.41808127641</v>
      </c>
      <c r="U16" s="38">
        <f t="shared" si="37"/>
        <v>239207.75438899192</v>
      </c>
      <c r="V16" s="38">
        <f t="shared" si="37"/>
        <v>140956.9938029967</v>
      </c>
      <c r="W16" s="38">
        <f t="shared" si="37"/>
        <v>110681</v>
      </c>
      <c r="X16" s="38">
        <f t="shared" si="37"/>
        <v>30275.993802996691</v>
      </c>
      <c r="Y16" s="38">
        <f t="shared" si="37"/>
        <v>100819.4206188496</v>
      </c>
      <c r="Z16" s="38">
        <f t="shared" si="37"/>
        <v>59129.420618849603</v>
      </c>
      <c r="AA16" s="38">
        <f t="shared" si="37"/>
        <v>41690</v>
      </c>
      <c r="AB16" s="38">
        <f t="shared" si="37"/>
        <v>117494.55</v>
      </c>
      <c r="AC16" s="38">
        <f t="shared" si="37"/>
        <v>76370</v>
      </c>
      <c r="AD16" s="52">
        <f t="shared" si="37"/>
        <v>41124.550000000003</v>
      </c>
      <c r="AE16" s="50">
        <f t="shared" si="37"/>
        <v>140956.9938029967</v>
      </c>
      <c r="AF16" s="38">
        <f t="shared" si="37"/>
        <v>110681</v>
      </c>
      <c r="AG16" s="38">
        <f t="shared" si="37"/>
        <v>30275.993802996691</v>
      </c>
      <c r="AH16" s="38">
        <f t="shared" si="37"/>
        <v>35109.100982760785</v>
      </c>
      <c r="AI16" s="38">
        <f t="shared" si="37"/>
        <v>26067.698502579588</v>
      </c>
      <c r="AJ16" s="38">
        <f t="shared" si="37"/>
        <v>9041.4024801811993</v>
      </c>
      <c r="AK16" s="38">
        <f t="shared" si="37"/>
        <v>34370.755870139677</v>
      </c>
      <c r="AL16" s="38">
        <f t="shared" si="37"/>
        <v>25250.408959355729</v>
      </c>
      <c r="AM16" s="38">
        <f t="shared" si="37"/>
        <v>9120.3469107839446</v>
      </c>
      <c r="AN16" s="38">
        <f t="shared" si="37"/>
        <v>36411.227571410593</v>
      </c>
      <c r="AO16" s="38">
        <f t="shared" si="37"/>
        <v>30245.375613439031</v>
      </c>
      <c r="AP16" s="38">
        <f t="shared" si="37"/>
        <v>6165.8519579715612</v>
      </c>
      <c r="AQ16" s="38">
        <f t="shared" si="37"/>
        <v>35065.91382156789</v>
      </c>
      <c r="AR16" s="38">
        <f t="shared" si="37"/>
        <v>29117.517264376496</v>
      </c>
      <c r="AS16" s="38">
        <f t="shared" si="37"/>
        <v>5948.3965571913914</v>
      </c>
      <c r="AT16" s="38">
        <f t="shared" si="37"/>
        <v>140956.99824587896</v>
      </c>
      <c r="AU16" s="38">
        <f t="shared" si="37"/>
        <v>110681.00033975086</v>
      </c>
      <c r="AV16" s="52">
        <f t="shared" si="37"/>
        <v>30275.997906128094</v>
      </c>
      <c r="AW16" s="50" t="s">
        <v>44</v>
      </c>
      <c r="AX16" s="38" t="s">
        <v>44</v>
      </c>
      <c r="AY16" s="52" t="s">
        <v>44</v>
      </c>
    </row>
    <row r="17" spans="2:51" x14ac:dyDescent="0.3">
      <c r="B17" s="317" t="s">
        <v>24</v>
      </c>
      <c r="C17" s="318"/>
      <c r="D17" s="318"/>
      <c r="E17" s="318"/>
      <c r="F17" s="318"/>
      <c r="G17" s="38">
        <f t="shared" ref="G17:AV17" si="38">SUMIF($E9:$E14,"Դրամաշնորհային ծրագիր",G9:G14)</f>
        <v>0</v>
      </c>
      <c r="H17" s="38">
        <f t="shared" si="38"/>
        <v>0</v>
      </c>
      <c r="I17" s="38">
        <f t="shared" si="38"/>
        <v>0</v>
      </c>
      <c r="J17" s="38">
        <f t="shared" si="38"/>
        <v>0</v>
      </c>
      <c r="K17" s="38">
        <f t="shared" si="38"/>
        <v>0</v>
      </c>
      <c r="L17" s="38">
        <f t="shared" si="38"/>
        <v>0</v>
      </c>
      <c r="M17" s="38">
        <f t="shared" si="38"/>
        <v>0</v>
      </c>
      <c r="N17" s="38">
        <f t="shared" si="38"/>
        <v>0</v>
      </c>
      <c r="O17" s="38">
        <f t="shared" si="38"/>
        <v>0</v>
      </c>
      <c r="P17" s="38">
        <f t="shared" si="38"/>
        <v>0</v>
      </c>
      <c r="Q17" s="38">
        <f t="shared" si="38"/>
        <v>0</v>
      </c>
      <c r="R17" s="38">
        <f t="shared" si="38"/>
        <v>0</v>
      </c>
      <c r="S17" s="38">
        <f t="shared" si="38"/>
        <v>0</v>
      </c>
      <c r="T17" s="38">
        <f t="shared" si="38"/>
        <v>0</v>
      </c>
      <c r="U17" s="38">
        <f t="shared" si="38"/>
        <v>0</v>
      </c>
      <c r="V17" s="38">
        <f t="shared" si="38"/>
        <v>0</v>
      </c>
      <c r="W17" s="38">
        <f t="shared" si="38"/>
        <v>0</v>
      </c>
      <c r="X17" s="38">
        <f t="shared" si="38"/>
        <v>0</v>
      </c>
      <c r="Y17" s="38">
        <f t="shared" si="38"/>
        <v>0</v>
      </c>
      <c r="Z17" s="38">
        <f t="shared" si="38"/>
        <v>0</v>
      </c>
      <c r="AA17" s="38">
        <f t="shared" si="38"/>
        <v>0</v>
      </c>
      <c r="AB17" s="38">
        <f t="shared" si="38"/>
        <v>0</v>
      </c>
      <c r="AC17" s="38">
        <f t="shared" si="38"/>
        <v>0</v>
      </c>
      <c r="AD17" s="52">
        <f t="shared" si="38"/>
        <v>0</v>
      </c>
      <c r="AE17" s="50">
        <f t="shared" si="38"/>
        <v>0</v>
      </c>
      <c r="AF17" s="38">
        <f t="shared" si="38"/>
        <v>0</v>
      </c>
      <c r="AG17" s="38">
        <f t="shared" si="38"/>
        <v>0</v>
      </c>
      <c r="AH17" s="38">
        <f t="shared" si="38"/>
        <v>0</v>
      </c>
      <c r="AI17" s="38">
        <f t="shared" si="38"/>
        <v>0</v>
      </c>
      <c r="AJ17" s="38">
        <f t="shared" si="38"/>
        <v>0</v>
      </c>
      <c r="AK17" s="38">
        <f t="shared" si="38"/>
        <v>0</v>
      </c>
      <c r="AL17" s="38">
        <f t="shared" si="38"/>
        <v>0</v>
      </c>
      <c r="AM17" s="38">
        <f t="shared" si="38"/>
        <v>0</v>
      </c>
      <c r="AN17" s="38">
        <f t="shared" si="38"/>
        <v>0</v>
      </c>
      <c r="AO17" s="38">
        <f t="shared" si="38"/>
        <v>0</v>
      </c>
      <c r="AP17" s="38">
        <f t="shared" si="38"/>
        <v>0</v>
      </c>
      <c r="AQ17" s="38">
        <f t="shared" si="38"/>
        <v>0</v>
      </c>
      <c r="AR17" s="38">
        <f t="shared" si="38"/>
        <v>0</v>
      </c>
      <c r="AS17" s="38">
        <f t="shared" si="38"/>
        <v>0</v>
      </c>
      <c r="AT17" s="38">
        <f t="shared" si="38"/>
        <v>0</v>
      </c>
      <c r="AU17" s="38">
        <f t="shared" si="38"/>
        <v>0</v>
      </c>
      <c r="AV17" s="52">
        <f t="shared" si="38"/>
        <v>0</v>
      </c>
      <c r="AW17" s="50" t="s">
        <v>44</v>
      </c>
      <c r="AX17" s="38" t="s">
        <v>44</v>
      </c>
      <c r="AY17" s="52" t="s">
        <v>44</v>
      </c>
    </row>
    <row r="18" spans="2:51" ht="17.25" customHeight="1" x14ac:dyDescent="0.3">
      <c r="G18" s="182"/>
      <c r="H18" s="182"/>
      <c r="I18" s="182"/>
    </row>
    <row r="19" spans="2:51" x14ac:dyDescent="0.3">
      <c r="T19" s="174"/>
      <c r="U19" s="174"/>
      <c r="V19" s="174"/>
      <c r="X19" s="154"/>
    </row>
    <row r="20" spans="2:51" x14ac:dyDescent="0.3">
      <c r="B20" s="97" t="s">
        <v>228</v>
      </c>
      <c r="C20" s="73"/>
      <c r="D20" s="74"/>
      <c r="E20" s="76"/>
      <c r="F20" s="76"/>
      <c r="G20" s="76"/>
      <c r="H20" s="76"/>
      <c r="T20" s="174"/>
      <c r="U20" s="174"/>
      <c r="V20" s="174"/>
      <c r="AT20" s="154"/>
      <c r="AU20" s="154"/>
      <c r="AV20" s="154"/>
    </row>
    <row r="21" spans="2:51" x14ac:dyDescent="0.3">
      <c r="T21" s="174"/>
      <c r="U21" s="174"/>
      <c r="V21" s="174"/>
    </row>
    <row r="22" spans="2:51" x14ac:dyDescent="0.3">
      <c r="T22" s="174"/>
      <c r="U22" s="174"/>
      <c r="V22" s="174"/>
    </row>
    <row r="23" spans="2:51" x14ac:dyDescent="0.3">
      <c r="F23" s="173"/>
      <c r="H23" s="154"/>
      <c r="T23" s="174"/>
      <c r="U23" s="174"/>
      <c r="V23" s="174"/>
    </row>
    <row r="24" spans="2:51" x14ac:dyDescent="0.3">
      <c r="F24" s="173"/>
      <c r="G24" s="154"/>
      <c r="H24" s="154"/>
      <c r="T24" s="174"/>
      <c r="U24" s="174"/>
      <c r="V24" s="174"/>
    </row>
    <row r="25" spans="2:51" x14ac:dyDescent="0.3">
      <c r="F25" s="173"/>
      <c r="H25" s="154"/>
    </row>
    <row r="26" spans="2:51" x14ac:dyDescent="0.3">
      <c r="F26" s="155"/>
    </row>
    <row r="27" spans="2:51" x14ac:dyDescent="0.3">
      <c r="F27" s="154"/>
    </row>
  </sheetData>
  <mergeCells count="26"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  <mergeCell ref="B17:F17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E6:AG7"/>
    <mergeCell ref="Y7:AA7"/>
    <mergeCell ref="E6:E8"/>
    <mergeCell ref="B15:F15"/>
    <mergeCell ref="B16:F16"/>
  </mergeCells>
  <dataValidations count="1">
    <dataValidation type="list" allowBlank="1" showInputMessage="1" showErrorMessage="1" sqref="E9:E14" xr:uid="{00000000-0002-0000-07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2D858-2C21-4919-9D38-F1C7F73CD151}">
  <sheetPr>
    <tabColor theme="0" tint="-0.14999847407452621"/>
  </sheetPr>
  <dimension ref="A1:AY22"/>
  <sheetViews>
    <sheetView topLeftCell="V1" workbookViewId="0">
      <selection activeCell="AL8" sqref="AL8"/>
    </sheetView>
  </sheetViews>
  <sheetFormatPr defaultRowHeight="14.4" x14ac:dyDescent="0.3"/>
  <cols>
    <col min="1" max="1" width="3.88671875" customWidth="1"/>
    <col min="2" max="2" width="10.6640625" customWidth="1"/>
    <col min="3" max="3" width="9.77734375" customWidth="1"/>
    <col min="4" max="4" width="29.109375" customWidth="1"/>
    <col min="5" max="5" width="16.6640625" customWidth="1"/>
    <col min="6" max="6" width="17.44140625" customWidth="1"/>
    <col min="7" max="7" width="11.109375" customWidth="1"/>
    <col min="8" max="8" width="11.5546875" customWidth="1"/>
    <col min="9" max="9" width="10.33203125" customWidth="1"/>
    <col min="10" max="12" width="9.109375" customWidth="1"/>
    <col min="13" max="13" width="10.44140625" customWidth="1"/>
    <col min="14" max="14" width="8" customWidth="1"/>
    <col min="15" max="24" width="9.109375" customWidth="1"/>
    <col min="25" max="25" width="7.33203125" customWidth="1"/>
    <col min="26" max="27" width="10.6640625" customWidth="1"/>
    <col min="28" max="28" width="9.44140625" customWidth="1"/>
    <col min="29" max="29" width="8.88671875" customWidth="1"/>
    <col min="30" max="30" width="10.6640625" customWidth="1"/>
    <col min="31" max="33" width="10" customWidth="1"/>
    <col min="36" max="36" width="10.21875" bestFit="1" customWidth="1"/>
    <col min="39" max="39" width="9.6640625" bestFit="1" customWidth="1"/>
    <col min="42" max="42" width="9.6640625" bestFit="1" customWidth="1"/>
  </cols>
  <sheetData>
    <row r="1" spans="1:51" s="65" customFormat="1" ht="22.5" customHeight="1" x14ac:dyDescent="0.3">
      <c r="A1" s="79" t="s">
        <v>130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</row>
    <row r="2" spans="1:51" ht="18" x14ac:dyDescent="0.3">
      <c r="A2" s="79"/>
      <c r="B2" s="82"/>
      <c r="C2" s="82"/>
      <c r="D2" s="82"/>
      <c r="E2" s="82"/>
      <c r="F2" s="82"/>
      <c r="G2" s="82"/>
      <c r="H2" s="82"/>
      <c r="I2" t="s">
        <v>229</v>
      </c>
      <c r="J2" t="s">
        <v>230</v>
      </c>
      <c r="K2" s="82"/>
      <c r="L2" s="82"/>
      <c r="M2" s="82"/>
      <c r="N2" s="82"/>
      <c r="O2" s="82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</row>
    <row r="3" spans="1:51" s="68" customFormat="1" ht="30.75" customHeight="1" x14ac:dyDescent="0.3">
      <c r="A3" s="83" t="s">
        <v>132</v>
      </c>
      <c r="B3" s="84"/>
      <c r="C3" s="84"/>
      <c r="D3" s="84"/>
      <c r="E3" s="84"/>
      <c r="F3" s="84"/>
      <c r="G3" s="84"/>
      <c r="H3" s="84"/>
      <c r="I3">
        <v>387.17</v>
      </c>
      <c r="J3">
        <v>420.51</v>
      </c>
      <c r="K3" s="84"/>
      <c r="L3" s="84"/>
      <c r="M3" s="230"/>
      <c r="N3" s="230"/>
      <c r="O3" s="84"/>
      <c r="P3" s="67"/>
      <c r="Q3" s="67"/>
      <c r="R3" s="67"/>
      <c r="S3" s="67"/>
      <c r="T3" s="67"/>
      <c r="U3" s="232"/>
      <c r="V3" s="232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P3" s="254">
        <v>412.25</v>
      </c>
    </row>
    <row r="4" spans="1:51" x14ac:dyDescent="0.3">
      <c r="A4" s="81"/>
      <c r="B4" s="85"/>
      <c r="C4" s="85"/>
      <c r="D4" s="85"/>
      <c r="E4" s="81"/>
      <c r="F4" s="81"/>
      <c r="G4" s="81"/>
      <c r="H4" s="81"/>
      <c r="I4">
        <v>397.35</v>
      </c>
      <c r="J4">
        <v>412.25</v>
      </c>
      <c r="K4" s="81"/>
      <c r="L4" s="81"/>
      <c r="M4" s="231"/>
      <c r="N4" s="231"/>
      <c r="O4" s="81"/>
      <c r="U4" s="155"/>
      <c r="V4" s="155"/>
      <c r="AE4" s="65"/>
      <c r="AF4" s="65"/>
      <c r="AG4" s="65"/>
    </row>
    <row r="5" spans="1:51" ht="15" thickBot="1" x14ac:dyDescent="0.35">
      <c r="A5" s="81"/>
      <c r="B5" s="81"/>
      <c r="C5" s="81"/>
      <c r="D5" s="85"/>
      <c r="E5" s="81"/>
      <c r="F5" s="81"/>
      <c r="G5" s="81"/>
      <c r="H5" s="81"/>
      <c r="I5" s="81"/>
      <c r="J5" s="81"/>
      <c r="K5" s="81"/>
      <c r="L5" s="81"/>
      <c r="M5" s="190"/>
      <c r="N5" s="81"/>
      <c r="O5" s="81"/>
      <c r="P5" s="154"/>
      <c r="AE5" s="65"/>
      <c r="AF5" s="65"/>
      <c r="AG5" s="65"/>
      <c r="AW5" s="85" t="s">
        <v>230</v>
      </c>
      <c r="AX5" s="73"/>
    </row>
    <row r="6" spans="1:51" ht="40.5" customHeight="1" x14ac:dyDescent="0.3">
      <c r="A6" s="81"/>
      <c r="B6" s="321" t="s">
        <v>8</v>
      </c>
      <c r="C6" s="316"/>
      <c r="D6" s="316" t="s">
        <v>52</v>
      </c>
      <c r="E6" s="316" t="s">
        <v>43</v>
      </c>
      <c r="F6" s="316" t="s">
        <v>133</v>
      </c>
      <c r="G6" s="316" t="s">
        <v>316</v>
      </c>
      <c r="H6" s="316"/>
      <c r="I6" s="316"/>
      <c r="J6" s="316" t="s">
        <v>141</v>
      </c>
      <c r="K6" s="316"/>
      <c r="L6" s="316"/>
      <c r="M6" s="316" t="s">
        <v>142</v>
      </c>
      <c r="N6" s="316"/>
      <c r="O6" s="316"/>
      <c r="P6" s="319" t="s">
        <v>143</v>
      </c>
      <c r="Q6" s="319"/>
      <c r="R6" s="319"/>
      <c r="S6" s="319" t="s">
        <v>22</v>
      </c>
      <c r="T6" s="319"/>
      <c r="U6" s="319"/>
      <c r="V6" s="319" t="s">
        <v>16</v>
      </c>
      <c r="W6" s="319"/>
      <c r="X6" s="319"/>
      <c r="Y6" s="319"/>
      <c r="Z6" s="319"/>
      <c r="AA6" s="319"/>
      <c r="AB6" s="319"/>
      <c r="AC6" s="319"/>
      <c r="AD6" s="320"/>
      <c r="AE6" s="312" t="s">
        <v>145</v>
      </c>
      <c r="AF6" s="313"/>
      <c r="AG6" s="313"/>
      <c r="AH6" s="313" t="s">
        <v>146</v>
      </c>
      <c r="AI6" s="313"/>
      <c r="AJ6" s="313"/>
      <c r="AK6" s="313"/>
      <c r="AL6" s="313"/>
      <c r="AM6" s="313"/>
      <c r="AN6" s="313"/>
      <c r="AO6" s="313"/>
      <c r="AP6" s="313"/>
      <c r="AQ6" s="313"/>
      <c r="AR6" s="313"/>
      <c r="AS6" s="313"/>
      <c r="AT6" s="313"/>
      <c r="AU6" s="313"/>
      <c r="AV6" s="324"/>
      <c r="AW6" s="325" t="s">
        <v>28</v>
      </c>
      <c r="AX6" s="327" t="s">
        <v>29</v>
      </c>
      <c r="AY6" s="329" t="s">
        <v>147</v>
      </c>
    </row>
    <row r="7" spans="1:51" ht="25.5" customHeight="1" x14ac:dyDescent="0.3">
      <c r="A7" s="81"/>
      <c r="B7" s="322"/>
      <c r="C7" s="282"/>
      <c r="D7" s="282"/>
      <c r="E7" s="282"/>
      <c r="F7" s="282"/>
      <c r="G7" s="282"/>
      <c r="H7" s="282"/>
      <c r="I7" s="282"/>
      <c r="J7" s="282"/>
      <c r="K7" s="282"/>
      <c r="L7" s="282"/>
      <c r="M7" s="282"/>
      <c r="N7" s="282"/>
      <c r="O7" s="282"/>
      <c r="P7" s="305"/>
      <c r="Q7" s="305"/>
      <c r="R7" s="305"/>
      <c r="S7" s="305"/>
      <c r="T7" s="305"/>
      <c r="U7" s="305"/>
      <c r="V7" s="305" t="s">
        <v>17</v>
      </c>
      <c r="W7" s="305"/>
      <c r="X7" s="305"/>
      <c r="Y7" s="305" t="s">
        <v>116</v>
      </c>
      <c r="Z7" s="305"/>
      <c r="AA7" s="305"/>
      <c r="AB7" s="305" t="s">
        <v>137</v>
      </c>
      <c r="AC7" s="305"/>
      <c r="AD7" s="323"/>
      <c r="AE7" s="314"/>
      <c r="AF7" s="315"/>
      <c r="AG7" s="315"/>
      <c r="AH7" s="315" t="s">
        <v>30</v>
      </c>
      <c r="AI7" s="315"/>
      <c r="AJ7" s="315"/>
      <c r="AK7" s="315" t="s">
        <v>31</v>
      </c>
      <c r="AL7" s="315"/>
      <c r="AM7" s="315"/>
      <c r="AN7" s="315" t="s">
        <v>32</v>
      </c>
      <c r="AO7" s="315"/>
      <c r="AP7" s="315"/>
      <c r="AQ7" s="315" t="s">
        <v>33</v>
      </c>
      <c r="AR7" s="315"/>
      <c r="AS7" s="315"/>
      <c r="AT7" s="315" t="s">
        <v>34</v>
      </c>
      <c r="AU7" s="315"/>
      <c r="AV7" s="331"/>
      <c r="AW7" s="326"/>
      <c r="AX7" s="328"/>
      <c r="AY7" s="330"/>
    </row>
    <row r="8" spans="1:51" ht="126" customHeight="1" x14ac:dyDescent="0.3">
      <c r="A8" s="81"/>
      <c r="B8" s="86" t="s">
        <v>2</v>
      </c>
      <c r="C8" s="87" t="s">
        <v>25</v>
      </c>
      <c r="D8" s="282"/>
      <c r="E8" s="282"/>
      <c r="F8" s="282"/>
      <c r="G8" s="88" t="s">
        <v>12</v>
      </c>
      <c r="H8" s="88" t="s">
        <v>20</v>
      </c>
      <c r="I8" s="88" t="s">
        <v>21</v>
      </c>
      <c r="J8" s="88" t="s">
        <v>12</v>
      </c>
      <c r="K8" s="88" t="s">
        <v>20</v>
      </c>
      <c r="L8" s="88" t="s">
        <v>21</v>
      </c>
      <c r="M8" s="88" t="s">
        <v>12</v>
      </c>
      <c r="N8" s="88" t="s">
        <v>20</v>
      </c>
      <c r="O8" s="88" t="s">
        <v>21</v>
      </c>
      <c r="P8" s="35" t="s">
        <v>12</v>
      </c>
      <c r="Q8" s="35" t="s">
        <v>20</v>
      </c>
      <c r="R8" s="35" t="s">
        <v>21</v>
      </c>
      <c r="S8" s="35" t="s">
        <v>12</v>
      </c>
      <c r="T8" s="35" t="s">
        <v>20</v>
      </c>
      <c r="U8" s="35" t="s">
        <v>21</v>
      </c>
      <c r="V8" s="35" t="s">
        <v>12</v>
      </c>
      <c r="W8" s="35" t="s">
        <v>20</v>
      </c>
      <c r="X8" s="35" t="s">
        <v>21</v>
      </c>
      <c r="Y8" s="35" t="s">
        <v>12</v>
      </c>
      <c r="Z8" s="35" t="s">
        <v>20</v>
      </c>
      <c r="AA8" s="35" t="s">
        <v>21</v>
      </c>
      <c r="AB8" s="35" t="s">
        <v>12</v>
      </c>
      <c r="AC8" s="35" t="s">
        <v>20</v>
      </c>
      <c r="AD8" s="149" t="s">
        <v>21</v>
      </c>
      <c r="AE8" s="48" t="s">
        <v>12</v>
      </c>
      <c r="AF8" s="47" t="s">
        <v>20</v>
      </c>
      <c r="AG8" s="47" t="s">
        <v>21</v>
      </c>
      <c r="AH8" s="47" t="s">
        <v>12</v>
      </c>
      <c r="AI8" s="47" t="s">
        <v>20</v>
      </c>
      <c r="AJ8" s="47" t="s">
        <v>21</v>
      </c>
      <c r="AK8" s="47" t="s">
        <v>12</v>
      </c>
      <c r="AL8" s="47" t="s">
        <v>20</v>
      </c>
      <c r="AM8" s="47" t="s">
        <v>21</v>
      </c>
      <c r="AN8" s="47" t="s">
        <v>12</v>
      </c>
      <c r="AO8" s="47" t="s">
        <v>20</v>
      </c>
      <c r="AP8" s="47" t="s">
        <v>21</v>
      </c>
      <c r="AQ8" s="47" t="s">
        <v>12</v>
      </c>
      <c r="AR8" s="47" t="s">
        <v>20</v>
      </c>
      <c r="AS8" s="47" t="s">
        <v>21</v>
      </c>
      <c r="AT8" s="47" t="s">
        <v>12</v>
      </c>
      <c r="AU8" s="47" t="s">
        <v>20</v>
      </c>
      <c r="AV8" s="49" t="s">
        <v>21</v>
      </c>
      <c r="AW8" s="326"/>
      <c r="AX8" s="328"/>
      <c r="AY8" s="330"/>
    </row>
    <row r="9" spans="1:51" ht="64.8" x14ac:dyDescent="0.3">
      <c r="B9" s="54">
        <v>1049</v>
      </c>
      <c r="C9" s="19">
        <v>11007</v>
      </c>
      <c r="D9" s="19" t="s">
        <v>241</v>
      </c>
      <c r="E9" s="37" t="s">
        <v>232</v>
      </c>
      <c r="F9" s="19" t="s">
        <v>233</v>
      </c>
      <c r="G9" s="170">
        <f>H9+I9</f>
        <v>6178</v>
      </c>
      <c r="H9" s="169">
        <f>1315+500</f>
        <v>1815</v>
      </c>
      <c r="I9" s="169">
        <f>+H9*1.2/6+4000</f>
        <v>4363</v>
      </c>
      <c r="J9" s="170">
        <f>K9+L9</f>
        <v>5252.1399999999994</v>
      </c>
      <c r="K9" s="169">
        <v>1165.8699999999999</v>
      </c>
      <c r="L9" s="169">
        <v>4086.27</v>
      </c>
      <c r="M9" s="170">
        <f>N9+O9</f>
        <v>295.29000000000002</v>
      </c>
      <c r="N9" s="169">
        <v>292.8</v>
      </c>
      <c r="O9" s="169">
        <v>2.4900000000000002</v>
      </c>
      <c r="P9" s="170">
        <f>Q9+R9</f>
        <v>296.92563791586406</v>
      </c>
      <c r="Q9" s="169">
        <f>121680.2/J3</f>
        <v>289.36339207153219</v>
      </c>
      <c r="R9" s="169">
        <f>3180/J3</f>
        <v>7.5622458443318825</v>
      </c>
      <c r="S9" s="170">
        <f>T9+U9</f>
        <v>333.64436208413605</v>
      </c>
      <c r="T9" s="169">
        <f t="shared" ref="T9:U13" si="0">+H9-K9-N9-Q9</f>
        <v>66.966607928467909</v>
      </c>
      <c r="U9" s="169">
        <f t="shared" si="0"/>
        <v>266.67775415566814</v>
      </c>
      <c r="V9" s="170">
        <f>W9+X9</f>
        <v>44.052</v>
      </c>
      <c r="W9" s="169">
        <v>42.3</v>
      </c>
      <c r="X9" s="169">
        <v>1.752</v>
      </c>
      <c r="Y9" s="170">
        <f>Z9+AA9</f>
        <v>0</v>
      </c>
      <c r="Z9" s="91"/>
      <c r="AA9" s="91"/>
      <c r="AB9" s="148">
        <f>AC9+AD9</f>
        <v>0</v>
      </c>
      <c r="AC9" s="91"/>
      <c r="AD9" s="51"/>
      <c r="AE9" s="193">
        <f>AF9+AG9</f>
        <v>44.052</v>
      </c>
      <c r="AF9" s="187">
        <f>+W9</f>
        <v>42.3</v>
      </c>
      <c r="AG9" s="187">
        <f>+X9</f>
        <v>1.752</v>
      </c>
      <c r="AH9" s="148">
        <f>AI9+AJ9</f>
        <v>16.979987871437235</v>
      </c>
      <c r="AI9" s="91">
        <v>0</v>
      </c>
      <c r="AJ9" s="169">
        <f>7000/AP3</f>
        <v>16.979987871437235</v>
      </c>
      <c r="AK9" s="148">
        <f>AL9+AM9</f>
        <v>25.01</v>
      </c>
      <c r="AL9" s="91">
        <v>7</v>
      </c>
      <c r="AM9" s="91">
        <v>18.010000000000002</v>
      </c>
      <c r="AN9" s="148">
        <f>AO9+AP9</f>
        <v>0</v>
      </c>
      <c r="AO9" s="91"/>
      <c r="AP9" s="91"/>
      <c r="AQ9" s="148">
        <f>AR9+AS9</f>
        <v>0</v>
      </c>
      <c r="AR9" s="91"/>
      <c r="AS9" s="91"/>
      <c r="AT9" s="170">
        <f>AU9+AV9</f>
        <v>41.989987871437236</v>
      </c>
      <c r="AU9" s="187">
        <f>+AI9+AL9+AO9+AR9</f>
        <v>7</v>
      </c>
      <c r="AV9" s="187">
        <f>+AJ9+AM9+AP9+AS9</f>
        <v>34.989987871437236</v>
      </c>
      <c r="AW9" s="53"/>
      <c r="AX9" s="91"/>
      <c r="AY9" s="51"/>
    </row>
    <row r="10" spans="1:51" ht="107.4" customHeight="1" x14ac:dyDescent="0.3">
      <c r="B10" s="54">
        <v>1049</v>
      </c>
      <c r="C10" s="150">
        <v>11016</v>
      </c>
      <c r="D10" s="19" t="s">
        <v>320</v>
      </c>
      <c r="E10" s="20" t="s">
        <v>232</v>
      </c>
      <c r="F10" s="19" t="s">
        <v>312</v>
      </c>
      <c r="G10" s="183">
        <f t="shared" ref="G10" si="1">H10+I10</f>
        <v>5712</v>
      </c>
      <c r="H10" s="91">
        <v>1260</v>
      </c>
      <c r="I10" s="91">
        <f>252+4200</f>
        <v>4452</v>
      </c>
      <c r="J10" s="183">
        <f t="shared" ref="J10" si="2">K10+L10</f>
        <v>0</v>
      </c>
      <c r="K10" s="91">
        <v>0</v>
      </c>
      <c r="L10" s="91">
        <v>0</v>
      </c>
      <c r="M10" s="170">
        <f t="shared" ref="M10" si="3">N10+O10</f>
        <v>1525.6468162522742</v>
      </c>
      <c r="N10" s="169">
        <v>0</v>
      </c>
      <c r="O10" s="169">
        <f>628947.9/J4</f>
        <v>1525.6468162522742</v>
      </c>
      <c r="P10" s="170">
        <f t="shared" ref="P10" si="4">Q10+R10</f>
        <v>1937.183182326223</v>
      </c>
      <c r="Q10" s="169">
        <f>45640/J3</f>
        <v>108.53487431927897</v>
      </c>
      <c r="R10" s="169">
        <f>768964.9/J3</f>
        <v>1828.648308006944</v>
      </c>
      <c r="S10" s="183">
        <f t="shared" ref="S10" si="5">T10+U10</f>
        <v>2249.170001421503</v>
      </c>
      <c r="T10" s="187">
        <f t="shared" si="0"/>
        <v>1151.465125680721</v>
      </c>
      <c r="U10" s="187">
        <f t="shared" si="0"/>
        <v>1097.7048757407817</v>
      </c>
      <c r="V10" s="183">
        <f t="shared" ref="V10" si="6">W10+X10</f>
        <v>1050</v>
      </c>
      <c r="W10" s="91">
        <v>250</v>
      </c>
      <c r="X10" s="91">
        <v>800</v>
      </c>
      <c r="Y10" s="183">
        <f t="shared" ref="Y10" si="7">Z10+AA10</f>
        <v>300</v>
      </c>
      <c r="Z10" s="91">
        <v>250</v>
      </c>
      <c r="AA10" s="91">
        <v>50</v>
      </c>
      <c r="AB10" s="183">
        <f t="shared" ref="AB10" si="8">AC10+AD10</f>
        <v>360</v>
      </c>
      <c r="AC10" s="91">
        <v>300</v>
      </c>
      <c r="AD10" s="51">
        <v>60</v>
      </c>
      <c r="AE10" s="50">
        <f t="shared" ref="AE10" si="9">AF10+AG10</f>
        <v>1050</v>
      </c>
      <c r="AF10" s="187">
        <f t="shared" ref="AF10:AF13" si="10">+W10</f>
        <v>250</v>
      </c>
      <c r="AG10" s="187">
        <f t="shared" ref="AG10:AG13" si="11">+X10</f>
        <v>800</v>
      </c>
      <c r="AH10" s="170">
        <f t="shared" ref="AH10" si="12">AI10+AJ10</f>
        <v>60.64281382656155</v>
      </c>
      <c r="AI10" s="169">
        <f>20000/AP3</f>
        <v>48.51425106124924</v>
      </c>
      <c r="AJ10" s="169">
        <f>5000/AP3</f>
        <v>12.12856276531231</v>
      </c>
      <c r="AK10" s="170">
        <f t="shared" ref="AK10" si="13">AL10+AM10</f>
        <v>424.49969678593089</v>
      </c>
      <c r="AL10" s="169">
        <f>25000/AP3</f>
        <v>60.64281382656155</v>
      </c>
      <c r="AM10" s="169">
        <f>150000/AP3</f>
        <v>363.85688295936933</v>
      </c>
      <c r="AN10" s="170">
        <f t="shared" ref="AN10" si="14">AO10+AP10</f>
        <v>308.06549423893267</v>
      </c>
      <c r="AO10" s="169">
        <f>27000/AP3</f>
        <v>65.494238932686471</v>
      </c>
      <c r="AP10" s="169">
        <f>100000/AP3</f>
        <v>242.5712553062462</v>
      </c>
      <c r="AQ10" s="183">
        <f t="shared" ref="AQ10" si="15">AR10+AS10</f>
        <v>256.79199514857493</v>
      </c>
      <c r="AR10" s="169">
        <v>75.348696179502724</v>
      </c>
      <c r="AS10" s="169">
        <v>181.4432989690722</v>
      </c>
      <c r="AT10" s="183">
        <f t="shared" ref="AT10" si="16">AU10+AV10</f>
        <v>1050</v>
      </c>
      <c r="AU10" s="187">
        <f t="shared" ref="AU10:AU13" si="17">+AI10+AL10+AO10+AR10</f>
        <v>250</v>
      </c>
      <c r="AV10" s="187">
        <f t="shared" ref="AV10:AV13" si="18">+AJ10+AM10+AP10+AS10</f>
        <v>800</v>
      </c>
      <c r="AW10" s="53"/>
      <c r="AX10" s="91"/>
      <c r="AY10" s="51"/>
    </row>
    <row r="11" spans="1:51" ht="52.8" customHeight="1" x14ac:dyDescent="0.3">
      <c r="B11" s="54">
        <v>1049</v>
      </c>
      <c r="C11" s="19">
        <v>11020</v>
      </c>
      <c r="D11" s="19" t="s">
        <v>301</v>
      </c>
      <c r="E11" s="37" t="s">
        <v>232</v>
      </c>
      <c r="F11" s="19" t="s">
        <v>319</v>
      </c>
      <c r="G11" s="170">
        <f t="shared" ref="G11" si="19">H11+I11</f>
        <v>2668.2838083687084</v>
      </c>
      <c r="H11" s="91"/>
      <c r="I11" s="169">
        <f>1100000/J4</f>
        <v>2668.2838083687084</v>
      </c>
      <c r="J11" s="183">
        <f t="shared" ref="J11" si="20">K11+L11</f>
        <v>0</v>
      </c>
      <c r="K11" s="91"/>
      <c r="L11" s="91">
        <v>0</v>
      </c>
      <c r="M11" s="183">
        <f t="shared" ref="M11" si="21">N11+O11</f>
        <v>0</v>
      </c>
      <c r="N11" s="91"/>
      <c r="O11" s="91">
        <v>0</v>
      </c>
      <c r="P11" s="183">
        <f t="shared" ref="P11" si="22">Q11+R11</f>
        <v>237.80647309219756</v>
      </c>
      <c r="Q11" s="91"/>
      <c r="R11" s="169">
        <f>100000/J3</f>
        <v>237.80647309219756</v>
      </c>
      <c r="S11" s="183">
        <f t="shared" ref="S11" si="23">T11+U11</f>
        <v>2430.477335276511</v>
      </c>
      <c r="T11" s="169">
        <f t="shared" si="0"/>
        <v>0</v>
      </c>
      <c r="U11" s="169">
        <f t="shared" si="0"/>
        <v>2430.477335276511</v>
      </c>
      <c r="V11" s="183">
        <f t="shared" ref="V11" si="24">W11+X11</f>
        <v>1697.9987871437236</v>
      </c>
      <c r="W11" s="91">
        <v>0</v>
      </c>
      <c r="X11" s="169">
        <f>700000/J4</f>
        <v>1697.9987871437236</v>
      </c>
      <c r="Y11" s="183">
        <f t="shared" ref="Y11" si="25">Z11+AA11</f>
        <v>732.47854813278741</v>
      </c>
      <c r="Z11" s="91">
        <v>0</v>
      </c>
      <c r="AA11" s="169">
        <f>+U11-X11</f>
        <v>732.47854813278741</v>
      </c>
      <c r="AB11" s="183">
        <f t="shared" ref="AB11" si="26">AC11+AD11</f>
        <v>0</v>
      </c>
      <c r="AC11" s="91"/>
      <c r="AD11" s="51"/>
      <c r="AE11" s="50">
        <f t="shared" ref="AE11" si="27">AF11+AG11</f>
        <v>1697.9987871437236</v>
      </c>
      <c r="AF11" s="187">
        <f t="shared" si="10"/>
        <v>0</v>
      </c>
      <c r="AG11" s="187">
        <f t="shared" si="11"/>
        <v>1697.9987871437236</v>
      </c>
      <c r="AH11" s="183">
        <f t="shared" ref="AH11" si="28">AI11+AJ11</f>
        <v>0</v>
      </c>
      <c r="AI11" s="91"/>
      <c r="AJ11" s="91"/>
      <c r="AK11" s="183">
        <f t="shared" ref="AK11" si="29">AL11+AM11</f>
        <v>727.71376591873866</v>
      </c>
      <c r="AL11" s="91"/>
      <c r="AM11" s="169">
        <f>300000/AP3</f>
        <v>727.71376591873866</v>
      </c>
      <c r="AN11" s="183">
        <f t="shared" ref="AN11" si="30">AO11+AP11</f>
        <v>727.71376591873866</v>
      </c>
      <c r="AO11" s="91"/>
      <c r="AP11" s="169">
        <f>300000/AP3</f>
        <v>727.71376591873866</v>
      </c>
      <c r="AQ11" s="183">
        <f t="shared" ref="AQ11" si="31">AR11+AS11</f>
        <v>242.57</v>
      </c>
      <c r="AR11" s="91"/>
      <c r="AS11" s="91">
        <v>242.57</v>
      </c>
      <c r="AT11" s="183">
        <f t="shared" ref="AT11" si="32">AU11+AV11</f>
        <v>1697.9975318374773</v>
      </c>
      <c r="AU11" s="187">
        <f t="shared" si="17"/>
        <v>0</v>
      </c>
      <c r="AV11" s="187">
        <f t="shared" si="18"/>
        <v>1697.9975318374773</v>
      </c>
      <c r="AW11" s="53"/>
      <c r="AX11" s="91"/>
      <c r="AY11" s="51"/>
    </row>
    <row r="12" spans="1:51" ht="64.8" x14ac:dyDescent="0.3">
      <c r="B12" s="54">
        <v>1049</v>
      </c>
      <c r="C12" s="19">
        <v>21004</v>
      </c>
      <c r="D12" s="19" t="s">
        <v>272</v>
      </c>
      <c r="E12" s="37" t="s">
        <v>232</v>
      </c>
      <c r="F12" s="19" t="s">
        <v>318</v>
      </c>
      <c r="G12" s="170">
        <f t="shared" ref="G12:G13" si="33">H12+I12</f>
        <v>46810.536</v>
      </c>
      <c r="H12" s="169">
        <f>37876+1632.78-500</f>
        <v>39008.78</v>
      </c>
      <c r="I12" s="169">
        <f>+H12*1.2/6</f>
        <v>7801.7560000000003</v>
      </c>
      <c r="J12" s="170">
        <f t="shared" ref="J12:J13" si="34">K12+L12</f>
        <v>42543.228000000003</v>
      </c>
      <c r="K12" s="169">
        <f>35452.69</f>
        <v>35452.69</v>
      </c>
      <c r="L12" s="169">
        <f>+K12*1.2/6</f>
        <v>7090.5380000000005</v>
      </c>
      <c r="M12" s="170">
        <f t="shared" ref="M12:M13" si="35">N12+O12</f>
        <v>1180.6383469244911</v>
      </c>
      <c r="N12" s="169">
        <v>1042.3800000000001</v>
      </c>
      <c r="O12" s="169">
        <f>138258.346924491/1000</f>
        <v>138.25834692449101</v>
      </c>
      <c r="P12" s="170">
        <f t="shared" ref="P12:P13" si="36">Q12+R12</f>
        <v>2379.332715036503</v>
      </c>
      <c r="Q12" s="169">
        <f>833777.7/J3</f>
        <v>1982.7773417992437</v>
      </c>
      <c r="R12" s="169">
        <f>166755.5/J3</f>
        <v>396.55537323725952</v>
      </c>
      <c r="S12" s="170">
        <f t="shared" ref="S12:S13" si="37">T12+U12</f>
        <v>707.33693803900201</v>
      </c>
      <c r="T12" s="169">
        <f t="shared" si="0"/>
        <v>530.93265820075271</v>
      </c>
      <c r="U12" s="169">
        <f t="shared" si="0"/>
        <v>176.40427983824935</v>
      </c>
      <c r="V12" s="170">
        <f t="shared" ref="V12:V13" si="38">W12+X12</f>
        <v>421</v>
      </c>
      <c r="W12" s="169">
        <f>360/1.2</f>
        <v>300</v>
      </c>
      <c r="X12" s="169">
        <f>60+61</f>
        <v>121</v>
      </c>
      <c r="Y12" s="170">
        <f t="shared" ref="Y12:Y13" si="39">Z12+AA12</f>
        <v>0</v>
      </c>
      <c r="Z12" s="91"/>
      <c r="AA12" s="91"/>
      <c r="AB12" s="148">
        <f t="shared" ref="AB12:AB13" si="40">AC12+AD12</f>
        <v>0</v>
      </c>
      <c r="AC12" s="91"/>
      <c r="AD12" s="51"/>
      <c r="AE12" s="50">
        <f t="shared" ref="AE12:AE13" si="41">AF12+AG12</f>
        <v>421</v>
      </c>
      <c r="AF12" s="187">
        <f t="shared" si="10"/>
        <v>300</v>
      </c>
      <c r="AG12" s="187">
        <f t="shared" si="11"/>
        <v>121</v>
      </c>
      <c r="AH12" s="148">
        <f t="shared" ref="AH12:AH13" si="42">AI12+AJ12</f>
        <v>360</v>
      </c>
      <c r="AI12" s="91">
        <v>300</v>
      </c>
      <c r="AJ12" s="91">
        <v>60</v>
      </c>
      <c r="AK12" s="148">
        <f t="shared" ref="AK12:AK13" si="43">AL12+AM12</f>
        <v>0</v>
      </c>
      <c r="AL12" s="91"/>
      <c r="AM12" s="91"/>
      <c r="AN12" s="148">
        <f t="shared" ref="AN12:AN13" si="44">AO12+AP12</f>
        <v>61</v>
      </c>
      <c r="AO12" s="91"/>
      <c r="AP12" s="91">
        <v>61</v>
      </c>
      <c r="AQ12" s="148">
        <f t="shared" ref="AQ12:AQ13" si="45">AR12+AS12</f>
        <v>0</v>
      </c>
      <c r="AR12" s="91"/>
      <c r="AS12" s="91"/>
      <c r="AT12" s="148">
        <f t="shared" ref="AT12:AT13" si="46">AU12+AV12</f>
        <v>421</v>
      </c>
      <c r="AU12" s="187">
        <f t="shared" si="17"/>
        <v>300</v>
      </c>
      <c r="AV12" s="187">
        <f t="shared" si="18"/>
        <v>121</v>
      </c>
      <c r="AW12" s="53"/>
      <c r="AX12" s="91"/>
      <c r="AY12" s="51"/>
    </row>
    <row r="13" spans="1:51" ht="54" x14ac:dyDescent="0.3">
      <c r="B13" s="54">
        <v>1049</v>
      </c>
      <c r="C13" s="19">
        <v>21009</v>
      </c>
      <c r="D13" s="19" t="s">
        <v>317</v>
      </c>
      <c r="E13" s="37" t="s">
        <v>232</v>
      </c>
      <c r="F13" s="19" t="s">
        <v>318</v>
      </c>
      <c r="G13" s="170">
        <f t="shared" si="33"/>
        <v>72645.929999999993</v>
      </c>
      <c r="H13" s="169">
        <v>60000</v>
      </c>
      <c r="I13" s="169">
        <v>12645.93</v>
      </c>
      <c r="J13" s="170">
        <f t="shared" si="34"/>
        <v>52451.47928678013</v>
      </c>
      <c r="K13" s="169">
        <f>45120527.49/1000</f>
        <v>45120.52749</v>
      </c>
      <c r="L13" s="169">
        <f>7330951.79678013/1000</f>
        <v>7330.9517967801303</v>
      </c>
      <c r="M13" s="170">
        <f t="shared" si="35"/>
        <v>3819.9060900000004</v>
      </c>
      <c r="N13" s="169">
        <f>1740301.06/1000</f>
        <v>1740.30106</v>
      </c>
      <c r="O13" s="169">
        <f>2079605.03/1000</f>
        <v>2079.6050300000002</v>
      </c>
      <c r="P13" s="170">
        <f t="shared" si="36"/>
        <v>2964.235808898718</v>
      </c>
      <c r="Q13" s="169">
        <f>1037022/J3</f>
        <v>2466.1054433901691</v>
      </c>
      <c r="R13" s="169">
        <f>209468.8/J3</f>
        <v>498.13036550854912</v>
      </c>
      <c r="S13" s="170">
        <f t="shared" si="37"/>
        <v>13410.308814321153</v>
      </c>
      <c r="T13" s="169">
        <f t="shared" si="0"/>
        <v>10673.066006609832</v>
      </c>
      <c r="U13" s="169">
        <f t="shared" si="0"/>
        <v>2737.2428077113209</v>
      </c>
      <c r="V13" s="170">
        <f t="shared" si="38"/>
        <v>3264.0087083080662</v>
      </c>
      <c r="W13" s="169">
        <f>3200000/1.2/1000+64000/1.2/1000+3450000/1000/1.2/J4-6.97</f>
        <v>2720.0039235900554</v>
      </c>
      <c r="X13" s="169">
        <f>3200000/6/1000+64000/6/1000+3450000/1000/6/J4-1.39</f>
        <v>544.00478471801091</v>
      </c>
      <c r="Y13" s="148">
        <f t="shared" si="39"/>
        <v>0</v>
      </c>
      <c r="Z13" s="91"/>
      <c r="AA13" s="91"/>
      <c r="AB13" s="148">
        <f t="shared" si="40"/>
        <v>0</v>
      </c>
      <c r="AC13" s="91"/>
      <c r="AD13" s="51"/>
      <c r="AE13" s="50">
        <f t="shared" si="41"/>
        <v>3264.0087083080662</v>
      </c>
      <c r="AF13" s="187">
        <f t="shared" si="10"/>
        <v>2720.0039235900554</v>
      </c>
      <c r="AG13" s="187">
        <f t="shared" si="11"/>
        <v>544.00478471801091</v>
      </c>
      <c r="AH13" s="148">
        <f t="shared" si="42"/>
        <v>2910.8550636749546</v>
      </c>
      <c r="AI13" s="169">
        <f>1000000/AP3</f>
        <v>2425.7125530624621</v>
      </c>
      <c r="AJ13" s="169">
        <f>+AI13*1.2/6</f>
        <v>485.14251061249246</v>
      </c>
      <c r="AK13" s="148">
        <f t="shared" si="43"/>
        <v>353.15000000000003</v>
      </c>
      <c r="AL13" s="91">
        <v>294.29000000000002</v>
      </c>
      <c r="AM13" s="91">
        <v>58.86</v>
      </c>
      <c r="AN13" s="148">
        <f t="shared" si="44"/>
        <v>0</v>
      </c>
      <c r="AO13" s="91"/>
      <c r="AP13" s="91"/>
      <c r="AQ13" s="148">
        <f t="shared" si="45"/>
        <v>0</v>
      </c>
      <c r="AR13" s="91"/>
      <c r="AS13" s="91"/>
      <c r="AT13" s="148">
        <f t="shared" si="46"/>
        <v>3264.0050636749547</v>
      </c>
      <c r="AU13" s="187">
        <f t="shared" si="17"/>
        <v>2720.0025530624621</v>
      </c>
      <c r="AV13" s="187">
        <f t="shared" si="18"/>
        <v>544.00251061249242</v>
      </c>
      <c r="AW13" s="53"/>
      <c r="AX13" s="91"/>
      <c r="AY13" s="51"/>
    </row>
    <row r="14" spans="1:51" ht="18" x14ac:dyDescent="0.3">
      <c r="A14" s="34"/>
      <c r="B14" s="317" t="s">
        <v>41</v>
      </c>
      <c r="C14" s="318"/>
      <c r="D14" s="318"/>
      <c r="E14" s="318"/>
      <c r="F14" s="318"/>
      <c r="G14" s="38">
        <f t="shared" ref="G14:AV14" si="47">SUM(G9:G13)</f>
        <v>134014.74980836871</v>
      </c>
      <c r="H14" s="189">
        <f t="shared" si="47"/>
        <v>102083.78</v>
      </c>
      <c r="I14" s="38">
        <f t="shared" si="47"/>
        <v>31930.969808368711</v>
      </c>
      <c r="J14" s="38">
        <f t="shared" si="47"/>
        <v>100246.84728678013</v>
      </c>
      <c r="K14" s="38">
        <f t="shared" si="47"/>
        <v>81739.087490000005</v>
      </c>
      <c r="L14" s="38">
        <f t="shared" si="47"/>
        <v>18507.75979678013</v>
      </c>
      <c r="M14" s="38">
        <f t="shared" si="47"/>
        <v>6821.4812531767657</v>
      </c>
      <c r="N14" s="38">
        <f t="shared" si="47"/>
        <v>3075.4810600000001</v>
      </c>
      <c r="O14" s="38">
        <f t="shared" si="47"/>
        <v>3746.0001931767656</v>
      </c>
      <c r="P14" s="38">
        <f t="shared" si="47"/>
        <v>7815.4838172695054</v>
      </c>
      <c r="Q14" s="38">
        <f t="shared" si="47"/>
        <v>4846.7810515802239</v>
      </c>
      <c r="R14" s="38">
        <f t="shared" si="47"/>
        <v>2968.7027656892819</v>
      </c>
      <c r="S14" s="38">
        <f t="shared" si="47"/>
        <v>19130.937451142305</v>
      </c>
      <c r="T14" s="38">
        <f t="shared" si="47"/>
        <v>12422.430398419774</v>
      </c>
      <c r="U14" s="38">
        <f t="shared" si="47"/>
        <v>6708.5070527225307</v>
      </c>
      <c r="V14" s="38">
        <f t="shared" si="47"/>
        <v>6477.0594954517892</v>
      </c>
      <c r="W14" s="38">
        <f t="shared" si="47"/>
        <v>3312.3039235900551</v>
      </c>
      <c r="X14" s="38">
        <f t="shared" si="47"/>
        <v>3164.7555718617346</v>
      </c>
      <c r="Y14" s="38">
        <f t="shared" si="47"/>
        <v>1032.4785481327874</v>
      </c>
      <c r="Z14" s="38">
        <f t="shared" si="47"/>
        <v>250</v>
      </c>
      <c r="AA14" s="38">
        <f t="shared" si="47"/>
        <v>782.47854813278741</v>
      </c>
      <c r="AB14" s="38">
        <f t="shared" si="47"/>
        <v>360</v>
      </c>
      <c r="AC14" s="38">
        <f t="shared" si="47"/>
        <v>300</v>
      </c>
      <c r="AD14" s="52">
        <f t="shared" si="47"/>
        <v>60</v>
      </c>
      <c r="AE14" s="50">
        <f t="shared" si="47"/>
        <v>6477.0594954517892</v>
      </c>
      <c r="AF14" s="38">
        <f t="shared" si="47"/>
        <v>3312.3039235900551</v>
      </c>
      <c r="AG14" s="38">
        <f t="shared" si="47"/>
        <v>3164.7555718617346</v>
      </c>
      <c r="AH14" s="38">
        <f t="shared" si="47"/>
        <v>3348.4778653729536</v>
      </c>
      <c r="AI14" s="38">
        <f t="shared" si="47"/>
        <v>2774.2268041237112</v>
      </c>
      <c r="AJ14" s="38">
        <f t="shared" si="47"/>
        <v>574.25106124924196</v>
      </c>
      <c r="AK14" s="38">
        <f t="shared" si="47"/>
        <v>1530.3734627046697</v>
      </c>
      <c r="AL14" s="38">
        <f t="shared" si="47"/>
        <v>361.93281382656158</v>
      </c>
      <c r="AM14" s="38">
        <f t="shared" si="47"/>
        <v>1168.4406488781078</v>
      </c>
      <c r="AN14" s="38">
        <f t="shared" si="47"/>
        <v>1096.7792601576714</v>
      </c>
      <c r="AO14" s="38">
        <f t="shared" si="47"/>
        <v>65.494238932686471</v>
      </c>
      <c r="AP14" s="38">
        <f t="shared" si="47"/>
        <v>1031.2850212249848</v>
      </c>
      <c r="AQ14" s="38">
        <f t="shared" si="47"/>
        <v>499.36199514857492</v>
      </c>
      <c r="AR14" s="38">
        <f t="shared" si="47"/>
        <v>75.348696179502724</v>
      </c>
      <c r="AS14" s="38">
        <f t="shared" si="47"/>
        <v>424.0132989690722</v>
      </c>
      <c r="AT14" s="38">
        <f t="shared" si="47"/>
        <v>6474.9925833838697</v>
      </c>
      <c r="AU14" s="38">
        <f t="shared" si="47"/>
        <v>3277.0025530624621</v>
      </c>
      <c r="AV14" s="52">
        <f t="shared" si="47"/>
        <v>3197.9900303214072</v>
      </c>
      <c r="AW14" s="50" t="s">
        <v>44</v>
      </c>
      <c r="AX14" s="38" t="s">
        <v>44</v>
      </c>
      <c r="AY14" s="52" t="s">
        <v>44</v>
      </c>
    </row>
    <row r="15" spans="1:51" x14ac:dyDescent="0.3">
      <c r="B15" s="317" t="s">
        <v>23</v>
      </c>
      <c r="C15" s="318"/>
      <c r="D15" s="318"/>
      <c r="E15" s="318"/>
      <c r="F15" s="318"/>
      <c r="G15" s="38">
        <f t="shared" ref="G15:AV15" si="48">SUMIF($E9:$E13,"Վարկային ծրագիր",G9:G13)</f>
        <v>134014.74980836871</v>
      </c>
      <c r="H15" s="38">
        <f t="shared" si="48"/>
        <v>102083.78</v>
      </c>
      <c r="I15" s="38">
        <f t="shared" si="48"/>
        <v>31930.969808368711</v>
      </c>
      <c r="J15" s="38">
        <f t="shared" si="48"/>
        <v>100246.84728678013</v>
      </c>
      <c r="K15" s="38">
        <f t="shared" si="48"/>
        <v>81739.087490000005</v>
      </c>
      <c r="L15" s="38">
        <f t="shared" si="48"/>
        <v>18507.75979678013</v>
      </c>
      <c r="M15" s="38">
        <f t="shared" si="48"/>
        <v>6821.4812531767657</v>
      </c>
      <c r="N15" s="38">
        <f t="shared" si="48"/>
        <v>3075.4810600000001</v>
      </c>
      <c r="O15" s="38">
        <f t="shared" si="48"/>
        <v>3746.0001931767656</v>
      </c>
      <c r="P15" s="38">
        <f t="shared" si="48"/>
        <v>7815.4838172695054</v>
      </c>
      <c r="Q15" s="38">
        <f t="shared" si="48"/>
        <v>4846.7810515802239</v>
      </c>
      <c r="R15" s="38">
        <f t="shared" si="48"/>
        <v>2968.7027656892819</v>
      </c>
      <c r="S15" s="38">
        <f t="shared" si="48"/>
        <v>19130.937451142305</v>
      </c>
      <c r="T15" s="38">
        <f t="shared" si="48"/>
        <v>12422.430398419774</v>
      </c>
      <c r="U15" s="38">
        <f t="shared" si="48"/>
        <v>6708.5070527225307</v>
      </c>
      <c r="V15" s="38">
        <f t="shared" si="48"/>
        <v>6477.0594954517892</v>
      </c>
      <c r="W15" s="38">
        <f t="shared" si="48"/>
        <v>3312.3039235900551</v>
      </c>
      <c r="X15" s="38">
        <f t="shared" si="48"/>
        <v>3164.7555718617346</v>
      </c>
      <c r="Y15" s="38">
        <f t="shared" si="48"/>
        <v>1032.4785481327874</v>
      </c>
      <c r="Z15" s="38">
        <f t="shared" si="48"/>
        <v>250</v>
      </c>
      <c r="AA15" s="38">
        <f t="shared" si="48"/>
        <v>782.47854813278741</v>
      </c>
      <c r="AB15" s="38">
        <f t="shared" si="48"/>
        <v>360</v>
      </c>
      <c r="AC15" s="38">
        <f t="shared" si="48"/>
        <v>300</v>
      </c>
      <c r="AD15" s="52">
        <f t="shared" si="48"/>
        <v>60</v>
      </c>
      <c r="AE15" s="50">
        <f t="shared" si="48"/>
        <v>6477.0594954517892</v>
      </c>
      <c r="AF15" s="38">
        <f t="shared" si="48"/>
        <v>3312.3039235900551</v>
      </c>
      <c r="AG15" s="38">
        <f t="shared" si="48"/>
        <v>3164.7555718617346</v>
      </c>
      <c r="AH15" s="38">
        <f t="shared" si="48"/>
        <v>3348.4778653729536</v>
      </c>
      <c r="AI15" s="38">
        <f t="shared" si="48"/>
        <v>2774.2268041237112</v>
      </c>
      <c r="AJ15" s="38">
        <f t="shared" si="48"/>
        <v>574.25106124924196</v>
      </c>
      <c r="AK15" s="38">
        <f t="shared" si="48"/>
        <v>1530.3734627046697</v>
      </c>
      <c r="AL15" s="38">
        <f t="shared" si="48"/>
        <v>361.93281382656158</v>
      </c>
      <c r="AM15" s="38">
        <f t="shared" si="48"/>
        <v>1168.4406488781078</v>
      </c>
      <c r="AN15" s="38">
        <f t="shared" si="48"/>
        <v>1096.7792601576714</v>
      </c>
      <c r="AO15" s="38">
        <f t="shared" si="48"/>
        <v>65.494238932686471</v>
      </c>
      <c r="AP15" s="38">
        <f t="shared" si="48"/>
        <v>1031.2850212249848</v>
      </c>
      <c r="AQ15" s="38">
        <f t="shared" si="48"/>
        <v>499.36199514857492</v>
      </c>
      <c r="AR15" s="38">
        <f t="shared" si="48"/>
        <v>75.348696179502724</v>
      </c>
      <c r="AS15" s="38">
        <f t="shared" si="48"/>
        <v>424.0132989690722</v>
      </c>
      <c r="AT15" s="38">
        <f t="shared" si="48"/>
        <v>6474.9925833838697</v>
      </c>
      <c r="AU15" s="38">
        <f t="shared" si="48"/>
        <v>3277.0025530624621</v>
      </c>
      <c r="AV15" s="52">
        <f t="shared" si="48"/>
        <v>3197.9900303214072</v>
      </c>
      <c r="AW15" s="50" t="s">
        <v>44</v>
      </c>
      <c r="AX15" s="38" t="s">
        <v>44</v>
      </c>
      <c r="AY15" s="52" t="s">
        <v>44</v>
      </c>
    </row>
    <row r="16" spans="1:51" x14ac:dyDescent="0.3">
      <c r="B16" s="317" t="s">
        <v>24</v>
      </c>
      <c r="C16" s="318"/>
      <c r="D16" s="318"/>
      <c r="E16" s="318"/>
      <c r="F16" s="318"/>
      <c r="G16" s="38">
        <f t="shared" ref="G16:AV16" si="49">SUMIF($E9:$E13,"Դրամաշնորհային ծրագիր",G9:G13)</f>
        <v>0</v>
      </c>
      <c r="H16" s="38">
        <f t="shared" si="49"/>
        <v>0</v>
      </c>
      <c r="I16" s="38">
        <f t="shared" si="49"/>
        <v>0</v>
      </c>
      <c r="J16" s="38">
        <f t="shared" si="49"/>
        <v>0</v>
      </c>
      <c r="K16" s="38">
        <f t="shared" si="49"/>
        <v>0</v>
      </c>
      <c r="L16" s="38">
        <f t="shared" si="49"/>
        <v>0</v>
      </c>
      <c r="M16" s="38">
        <f t="shared" si="49"/>
        <v>0</v>
      </c>
      <c r="N16" s="38">
        <f t="shared" si="49"/>
        <v>0</v>
      </c>
      <c r="O16" s="38">
        <f t="shared" si="49"/>
        <v>0</v>
      </c>
      <c r="P16" s="38">
        <f t="shared" si="49"/>
        <v>0</v>
      </c>
      <c r="Q16" s="38">
        <f t="shared" si="49"/>
        <v>0</v>
      </c>
      <c r="R16" s="38">
        <f t="shared" si="49"/>
        <v>0</v>
      </c>
      <c r="S16" s="38">
        <f t="shared" si="49"/>
        <v>0</v>
      </c>
      <c r="T16" s="38">
        <f t="shared" si="49"/>
        <v>0</v>
      </c>
      <c r="U16" s="38">
        <f t="shared" si="49"/>
        <v>0</v>
      </c>
      <c r="V16" s="38">
        <f t="shared" si="49"/>
        <v>0</v>
      </c>
      <c r="W16" s="38">
        <f t="shared" si="49"/>
        <v>0</v>
      </c>
      <c r="X16" s="38">
        <f t="shared" si="49"/>
        <v>0</v>
      </c>
      <c r="Y16" s="38">
        <f t="shared" si="49"/>
        <v>0</v>
      </c>
      <c r="Z16" s="38">
        <f t="shared" si="49"/>
        <v>0</v>
      </c>
      <c r="AA16" s="38">
        <f t="shared" si="49"/>
        <v>0</v>
      </c>
      <c r="AB16" s="38">
        <f t="shared" si="49"/>
        <v>0</v>
      </c>
      <c r="AC16" s="38">
        <f t="shared" si="49"/>
        <v>0</v>
      </c>
      <c r="AD16" s="52">
        <f t="shared" si="49"/>
        <v>0</v>
      </c>
      <c r="AE16" s="50">
        <f t="shared" si="49"/>
        <v>0</v>
      </c>
      <c r="AF16" s="38">
        <f t="shared" si="49"/>
        <v>0</v>
      </c>
      <c r="AG16" s="38">
        <f t="shared" si="49"/>
        <v>0</v>
      </c>
      <c r="AH16" s="38">
        <f t="shared" si="49"/>
        <v>0</v>
      </c>
      <c r="AI16" s="38">
        <f t="shared" si="49"/>
        <v>0</v>
      </c>
      <c r="AJ16" s="38">
        <f t="shared" si="49"/>
        <v>0</v>
      </c>
      <c r="AK16" s="38">
        <f t="shared" si="49"/>
        <v>0</v>
      </c>
      <c r="AL16" s="38">
        <f t="shared" si="49"/>
        <v>0</v>
      </c>
      <c r="AM16" s="38">
        <f t="shared" si="49"/>
        <v>0</v>
      </c>
      <c r="AN16" s="38">
        <f t="shared" si="49"/>
        <v>0</v>
      </c>
      <c r="AO16" s="38">
        <f t="shared" si="49"/>
        <v>0</v>
      </c>
      <c r="AP16" s="38">
        <f t="shared" si="49"/>
        <v>0</v>
      </c>
      <c r="AQ16" s="38">
        <f t="shared" si="49"/>
        <v>0</v>
      </c>
      <c r="AR16" s="38">
        <f t="shared" si="49"/>
        <v>0</v>
      </c>
      <c r="AS16" s="38">
        <f t="shared" si="49"/>
        <v>0</v>
      </c>
      <c r="AT16" s="38">
        <f t="shared" si="49"/>
        <v>0</v>
      </c>
      <c r="AU16" s="38">
        <f t="shared" si="49"/>
        <v>0</v>
      </c>
      <c r="AV16" s="52">
        <f t="shared" si="49"/>
        <v>0</v>
      </c>
      <c r="AW16" s="50" t="s">
        <v>44</v>
      </c>
      <c r="AX16" s="38" t="s">
        <v>44</v>
      </c>
      <c r="AY16" s="52" t="s">
        <v>44</v>
      </c>
    </row>
    <row r="17" spans="2:20" ht="17.25" customHeight="1" x14ac:dyDescent="0.3"/>
    <row r="18" spans="2:20" x14ac:dyDescent="0.3">
      <c r="H18" s="155"/>
    </row>
    <row r="19" spans="2:20" x14ac:dyDescent="0.3">
      <c r="B19" s="97" t="s">
        <v>228</v>
      </c>
      <c r="C19" s="73"/>
      <c r="D19" s="74"/>
      <c r="E19" s="76"/>
      <c r="F19" s="76"/>
      <c r="G19" s="76"/>
      <c r="H19" s="155"/>
      <c r="T19" s="154"/>
    </row>
    <row r="20" spans="2:20" x14ac:dyDescent="0.3">
      <c r="H20" s="155"/>
    </row>
    <row r="21" spans="2:20" x14ac:dyDescent="0.3">
      <c r="H21" s="155"/>
    </row>
    <row r="22" spans="2:20" x14ac:dyDescent="0.3">
      <c r="H22" s="155"/>
    </row>
  </sheetData>
  <mergeCells count="26">
    <mergeCell ref="B14:F14"/>
    <mergeCell ref="B15:F15"/>
    <mergeCell ref="B16:F16"/>
    <mergeCell ref="AW6:AW8"/>
    <mergeCell ref="AX6:AX8"/>
    <mergeCell ref="M6:O7"/>
    <mergeCell ref="P6:R7"/>
    <mergeCell ref="S6:U7"/>
    <mergeCell ref="B6:C7"/>
    <mergeCell ref="D6:D8"/>
    <mergeCell ref="E6:E8"/>
    <mergeCell ref="F6:F8"/>
    <mergeCell ref="G6:I7"/>
    <mergeCell ref="J6:L7"/>
    <mergeCell ref="AY6:AY8"/>
    <mergeCell ref="V7:X7"/>
    <mergeCell ref="Y7:AA7"/>
    <mergeCell ref="AB7:AD7"/>
    <mergeCell ref="AH7:AJ7"/>
    <mergeCell ref="AK7:AM7"/>
    <mergeCell ref="AN7:AP7"/>
    <mergeCell ref="AQ7:AS7"/>
    <mergeCell ref="V6:AD6"/>
    <mergeCell ref="AE6:AG7"/>
    <mergeCell ref="AH6:AV6"/>
    <mergeCell ref="AT7:AV7"/>
  </mergeCells>
  <dataValidations count="1">
    <dataValidation type="list" allowBlank="1" showInputMessage="1" showErrorMessage="1" sqref="E9:E13" xr:uid="{1479A65F-64C0-475B-9816-9CB3D70EAB4A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3</vt:i4>
      </vt:variant>
    </vt:vector>
  </HeadingPairs>
  <TitlesOfParts>
    <vt:vector size="19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 USD</vt:lpstr>
      <vt:lpstr>Հ7 Ձև1 EURO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2025-02-25T14:34:26Z</dcterms:modified>
</cp:coreProperties>
</file>