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a.zakoyan\Desktop\DZEVACHAP\2024\12.2024\31․12․2024\New folder\"/>
    </mc:Choice>
  </mc:AlternateContent>
  <xr:revisionPtr revIDLastSave="0" documentId="13_ncr:1_{A0F41079-9FCC-4EE9-9732-D3A2F1B1CD52}" xr6:coauthVersionLast="47" xr6:coauthVersionMax="47" xr10:uidLastSave="{00000000-0000-0000-0000-000000000000}"/>
  <bookViews>
    <workbookView xWindow="-120" yWindow="-120" windowWidth="29040" windowHeight="15840" activeTab="6" xr2:uid="{00000000-000D-0000-FFFF-FFFF00000000}"/>
  </bookViews>
  <sheets>
    <sheet name="Տարի" sheetId="6" r:id="rId1"/>
    <sheet name="Կոշտ թափոններ" sheetId="7" r:id="rId2"/>
    <sheet name="Ճանապարհներ" sheetId="11" r:id="rId3"/>
    <sheet name="ՀՏԶՀ" sheetId="12" r:id="rId4"/>
    <sheet name="ՋԿ" sheetId="13" r:id="rId5"/>
    <sheet name="Էներգետիկա" sheetId="14" r:id="rId6"/>
    <sheet name="Գյումրի" sheetId="16" r:id="rId7"/>
    <sheet name="Քաղաքապետարան" sheetId="17" r:id="rId8"/>
  </sheets>
  <definedNames>
    <definedName name="_xlnm.Print_Area" localSheetId="6">Գյումրի!$B$1:$AE$21</definedName>
    <definedName name="_xlnm.Print_Area" localSheetId="5">Էներգետիկա!$B$1:$AE$23</definedName>
    <definedName name="_xlnm.Print_Area" localSheetId="1">'Կոշտ թափոններ'!$B$1:$AE$15</definedName>
    <definedName name="_xlnm.Print_Area" localSheetId="3">ՀՏԶՀ!$B$1:$AE$42</definedName>
    <definedName name="_xlnm.Print_Area" localSheetId="2">Ճանապարհներ!$B$1:$AE$30</definedName>
    <definedName name="_xlnm.Print_Area" localSheetId="4">ՋԿ!$B$1:$AE$19</definedName>
    <definedName name="_xlnm.Print_Area" localSheetId="0">Տարի!$B$1:$AE$120</definedName>
    <definedName name="_xlnm.Print_Area" localSheetId="7">Քաղաքապետարան!$B$1:$AE$27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3" i="16" l="1"/>
  <c r="T13" i="16"/>
  <c r="S13" i="16"/>
  <c r="O13" i="16"/>
  <c r="N13" i="16"/>
  <c r="M13" i="16"/>
  <c r="L13" i="16"/>
  <c r="K13" i="16"/>
  <c r="J13" i="16"/>
  <c r="J22" i="17"/>
  <c r="N22" i="17"/>
  <c r="M22" i="17" s="1"/>
  <c r="M24" i="17" s="1"/>
  <c r="M26" i="17" s="1"/>
  <c r="O22" i="17"/>
  <c r="O24" i="17" s="1"/>
  <c r="O26" i="17" s="1"/>
  <c r="P22" i="17"/>
  <c r="P24" i="17" s="1"/>
  <c r="P26" i="17" s="1"/>
  <c r="S22" i="17"/>
  <c r="V22" i="17"/>
  <c r="Y22" i="17"/>
  <c r="Z22" i="17"/>
  <c r="AA22" i="17"/>
  <c r="J23" i="17"/>
  <c r="M23" i="17"/>
  <c r="N23" i="17"/>
  <c r="O23" i="17"/>
  <c r="P23" i="17"/>
  <c r="S23" i="17"/>
  <c r="Y23" i="17" s="1"/>
  <c r="V23" i="17"/>
  <c r="Z23" i="17"/>
  <c r="AA23" i="17"/>
  <c r="J24" i="17"/>
  <c r="K24" i="17"/>
  <c r="L24" i="17"/>
  <c r="N24" i="17"/>
  <c r="Q24" i="17"/>
  <c r="Z24" i="17" s="1"/>
  <c r="R24" i="17"/>
  <c r="T24" i="17"/>
  <c r="U24" i="17"/>
  <c r="AA24" i="17" s="1"/>
  <c r="V24" i="17"/>
  <c r="W24" i="17"/>
  <c r="X24" i="17"/>
  <c r="P25" i="17"/>
  <c r="Q25" i="17"/>
  <c r="Z25" i="17" s="1"/>
  <c r="R25" i="17"/>
  <c r="AA25" i="17" s="1"/>
  <c r="V25" i="17"/>
  <c r="W25" i="17"/>
  <c r="X25" i="17"/>
  <c r="X26" i="17" s="1"/>
  <c r="Y25" i="17"/>
  <c r="J26" i="17"/>
  <c r="K26" i="17"/>
  <c r="L26" i="17"/>
  <c r="N26" i="17"/>
  <c r="R26" i="17"/>
  <c r="T26" i="17"/>
  <c r="V26" i="17"/>
  <c r="W26" i="17"/>
  <c r="J16" i="17"/>
  <c r="M16" i="17"/>
  <c r="S16" i="17"/>
  <c r="V16" i="17"/>
  <c r="AB16" i="17"/>
  <c r="AC16" i="17"/>
  <c r="J17" i="17"/>
  <c r="M17" i="17"/>
  <c r="S17" i="17"/>
  <c r="V17" i="17"/>
  <c r="AC17" i="17"/>
  <c r="U19" i="17"/>
  <c r="T19" i="17"/>
  <c r="L19" i="17"/>
  <c r="K19" i="17"/>
  <c r="X19" i="17"/>
  <c r="W19" i="17"/>
  <c r="R19" i="17"/>
  <c r="Q19" i="17"/>
  <c r="X18" i="17"/>
  <c r="X20" i="17" s="1"/>
  <c r="W18" i="17"/>
  <c r="W20" i="17" s="1"/>
  <c r="U18" i="17"/>
  <c r="T18" i="17"/>
  <c r="L18" i="17"/>
  <c r="K18" i="17"/>
  <c r="AA15" i="17"/>
  <c r="Z15" i="17"/>
  <c r="V15" i="17"/>
  <c r="S15" i="17"/>
  <c r="P15" i="17"/>
  <c r="O15" i="17"/>
  <c r="N15" i="17"/>
  <c r="J15" i="17"/>
  <c r="AA14" i="17"/>
  <c r="Z14" i="17"/>
  <c r="V14" i="17"/>
  <c r="V19" i="17" s="1"/>
  <c r="S14" i="17"/>
  <c r="S19" i="17" s="1"/>
  <c r="P14" i="17"/>
  <c r="P19" i="17" s="1"/>
  <c r="O14" i="17"/>
  <c r="O19" i="17" s="1"/>
  <c r="N14" i="17"/>
  <c r="N19" i="17" s="1"/>
  <c r="J14" i="17"/>
  <c r="J19" i="17" s="1"/>
  <c r="AD13" i="17"/>
  <c r="AC13" i="17"/>
  <c r="AA13" i="17"/>
  <c r="Z13" i="17"/>
  <c r="V13" i="17"/>
  <c r="S13" i="17"/>
  <c r="P13" i="17"/>
  <c r="M13" i="17"/>
  <c r="J13" i="17"/>
  <c r="AA12" i="17"/>
  <c r="Z12" i="17"/>
  <c r="V12" i="17"/>
  <c r="S12" i="17"/>
  <c r="P12" i="17"/>
  <c r="O12" i="17"/>
  <c r="N12" i="17"/>
  <c r="J12" i="17"/>
  <c r="AD11" i="17"/>
  <c r="AC11" i="17"/>
  <c r="Z11" i="17"/>
  <c r="V11" i="17"/>
  <c r="S11" i="17"/>
  <c r="R11" i="17"/>
  <c r="P11" i="17" s="1"/>
  <c r="M11" i="17"/>
  <c r="J11" i="17"/>
  <c r="V10" i="17"/>
  <c r="S10" i="17"/>
  <c r="R10" i="17"/>
  <c r="Q10" i="17"/>
  <c r="Z10" i="17" s="1"/>
  <c r="O10" i="17"/>
  <c r="AD10" i="17" s="1"/>
  <c r="N10" i="17"/>
  <c r="AC10" i="17" s="1"/>
  <c r="J10" i="17"/>
  <c r="V9" i="17"/>
  <c r="S9" i="17"/>
  <c r="R9" i="17"/>
  <c r="Q9" i="17"/>
  <c r="O9" i="17"/>
  <c r="N9" i="17"/>
  <c r="AC9" i="17" s="1"/>
  <c r="J9" i="17"/>
  <c r="X19" i="16"/>
  <c r="W19" i="16"/>
  <c r="R19" i="16"/>
  <c r="Q19" i="16"/>
  <c r="X18" i="16"/>
  <c r="X20" i="16" s="1"/>
  <c r="W18" i="16"/>
  <c r="W20" i="16" s="1"/>
  <c r="U18" i="16"/>
  <c r="T18" i="16"/>
  <c r="R18" i="16"/>
  <c r="Q18" i="16"/>
  <c r="L18" i="16"/>
  <c r="L20" i="16" s="1"/>
  <c r="K18" i="16"/>
  <c r="V19" i="16"/>
  <c r="P19" i="16"/>
  <c r="AA17" i="16"/>
  <c r="Z17" i="16"/>
  <c r="V17" i="16"/>
  <c r="S17" i="16"/>
  <c r="P17" i="16"/>
  <c r="O17" i="16"/>
  <c r="N17" i="16"/>
  <c r="J17" i="16"/>
  <c r="AA16" i="16"/>
  <c r="Z16" i="16"/>
  <c r="V16" i="16"/>
  <c r="S16" i="16"/>
  <c r="P16" i="16"/>
  <c r="O16" i="16"/>
  <c r="N16" i="16"/>
  <c r="J16" i="16"/>
  <c r="J18" i="16" s="1"/>
  <c r="X13" i="16"/>
  <c r="W13" i="16"/>
  <c r="R13" i="16"/>
  <c r="Q13" i="16"/>
  <c r="X12" i="16"/>
  <c r="X14" i="16" s="1"/>
  <c r="W12" i="16"/>
  <c r="W14" i="16" s="1"/>
  <c r="U12" i="16"/>
  <c r="T12" i="16"/>
  <c r="L12" i="16"/>
  <c r="K12" i="16"/>
  <c r="AA11" i="16"/>
  <c r="Z11" i="16"/>
  <c r="V11" i="16"/>
  <c r="S11" i="16"/>
  <c r="P11" i="16"/>
  <c r="O11" i="16"/>
  <c r="N11" i="16"/>
  <c r="J11" i="16"/>
  <c r="AA10" i="16"/>
  <c r="Z10" i="16"/>
  <c r="V10" i="16"/>
  <c r="S10" i="16"/>
  <c r="P10" i="16"/>
  <c r="O10" i="16"/>
  <c r="AD10" i="16" s="1"/>
  <c r="N10" i="16"/>
  <c r="AC10" i="16" s="1"/>
  <c r="J10" i="16"/>
  <c r="AA9" i="16"/>
  <c r="Z9" i="16"/>
  <c r="V9" i="16"/>
  <c r="S9" i="16"/>
  <c r="P9" i="16"/>
  <c r="O9" i="16"/>
  <c r="N9" i="16"/>
  <c r="J9" i="16"/>
  <c r="P13" i="16"/>
  <c r="Q12" i="16"/>
  <c r="X22" i="14"/>
  <c r="W22" i="14"/>
  <c r="U22" i="14"/>
  <c r="T22" i="14"/>
  <c r="R22" i="14"/>
  <c r="Q22" i="14"/>
  <c r="L22" i="14"/>
  <c r="K22" i="14"/>
  <c r="X21" i="14"/>
  <c r="X23" i="14" s="1"/>
  <c r="W21" i="14"/>
  <c r="U21" i="14"/>
  <c r="U23" i="14" s="1"/>
  <c r="T21" i="14"/>
  <c r="R21" i="14"/>
  <c r="R23" i="14" s="1"/>
  <c r="Q21" i="14"/>
  <c r="L21" i="14"/>
  <c r="L23" i="14" s="1"/>
  <c r="K21" i="14"/>
  <c r="AA20" i="14"/>
  <c r="Z20" i="14"/>
  <c r="Y20" i="14"/>
  <c r="V20" i="14"/>
  <c r="S20" i="14"/>
  <c r="P20" i="14"/>
  <c r="O20" i="14"/>
  <c r="AD20" i="14" s="1"/>
  <c r="N20" i="14"/>
  <c r="J20" i="14"/>
  <c r="AA19" i="14"/>
  <c r="Z19" i="14"/>
  <c r="V19" i="14"/>
  <c r="V22" i="14" s="1"/>
  <c r="S19" i="14"/>
  <c r="S22" i="14" s="1"/>
  <c r="P19" i="14"/>
  <c r="P22" i="14" s="1"/>
  <c r="O19" i="14"/>
  <c r="O22" i="14" s="1"/>
  <c r="N19" i="14"/>
  <c r="N22" i="14" s="1"/>
  <c r="J19" i="14"/>
  <c r="J22" i="14" s="1"/>
  <c r="S21" i="14"/>
  <c r="P21" i="14"/>
  <c r="P23" i="14" s="1"/>
  <c r="X16" i="14"/>
  <c r="W16" i="14"/>
  <c r="U16" i="14"/>
  <c r="T16" i="14"/>
  <c r="O16" i="14"/>
  <c r="AD16" i="14" s="1"/>
  <c r="N16" i="14"/>
  <c r="L16" i="14"/>
  <c r="K16" i="14"/>
  <c r="X15" i="14"/>
  <c r="W15" i="14"/>
  <c r="U15" i="14"/>
  <c r="T15" i="14"/>
  <c r="L15" i="14"/>
  <c r="L17" i="14" s="1"/>
  <c r="K15" i="14"/>
  <c r="AA14" i="14"/>
  <c r="Z14" i="14"/>
  <c r="V14" i="14"/>
  <c r="S14" i="14"/>
  <c r="P14" i="14"/>
  <c r="N14" i="14"/>
  <c r="M14" i="14" s="1"/>
  <c r="J14" i="14"/>
  <c r="AA13" i="14"/>
  <c r="Z13" i="14"/>
  <c r="V13" i="14"/>
  <c r="S13" i="14"/>
  <c r="P13" i="14"/>
  <c r="O13" i="14"/>
  <c r="N13" i="14"/>
  <c r="M13" i="14" s="1"/>
  <c r="J13" i="14"/>
  <c r="AD12" i="14"/>
  <c r="AC12" i="14"/>
  <c r="V12" i="14"/>
  <c r="V16" i="14" s="1"/>
  <c r="S12" i="14"/>
  <c r="R12" i="14"/>
  <c r="R16" i="14" s="1"/>
  <c r="Q12" i="14"/>
  <c r="M12" i="14"/>
  <c r="M16" i="14" s="1"/>
  <c r="J12" i="14"/>
  <c r="J16" i="14" s="1"/>
  <c r="AD11" i="14"/>
  <c r="V11" i="14"/>
  <c r="S11" i="14"/>
  <c r="R11" i="14"/>
  <c r="AA11" i="14" s="1"/>
  <c r="Q11" i="14"/>
  <c r="N11" i="14"/>
  <c r="M11" i="14" s="1"/>
  <c r="J11" i="14"/>
  <c r="AD10" i="14"/>
  <c r="AC10" i="14"/>
  <c r="V10" i="14"/>
  <c r="S10" i="14"/>
  <c r="R10" i="14"/>
  <c r="AA10" i="14" s="1"/>
  <c r="Q10" i="14"/>
  <c r="Z10" i="14" s="1"/>
  <c r="M10" i="14"/>
  <c r="J10" i="14"/>
  <c r="V9" i="14"/>
  <c r="S9" i="14"/>
  <c r="R9" i="14"/>
  <c r="AA9" i="14" s="1"/>
  <c r="Q9" i="14"/>
  <c r="O9" i="14"/>
  <c r="N9" i="14"/>
  <c r="AC9" i="14" s="1"/>
  <c r="J9" i="14"/>
  <c r="U18" i="13"/>
  <c r="T18" i="13"/>
  <c r="S18" i="13"/>
  <c r="O18" i="13"/>
  <c r="N18" i="13"/>
  <c r="M18" i="13"/>
  <c r="L18" i="13"/>
  <c r="K18" i="13"/>
  <c r="J18" i="13"/>
  <c r="X41" i="12"/>
  <c r="W41" i="12"/>
  <c r="V41" i="12"/>
  <c r="U41" i="12"/>
  <c r="T41" i="12"/>
  <c r="S41" i="12"/>
  <c r="O41" i="12"/>
  <c r="N41" i="12"/>
  <c r="M41" i="12"/>
  <c r="L41" i="12"/>
  <c r="K41" i="12"/>
  <c r="J41" i="12"/>
  <c r="X18" i="13"/>
  <c r="W18" i="13"/>
  <c r="X17" i="13"/>
  <c r="W17" i="13"/>
  <c r="W19" i="13" s="1"/>
  <c r="U17" i="13"/>
  <c r="T17" i="13"/>
  <c r="L17" i="13"/>
  <c r="K17" i="13"/>
  <c r="K19" i="13" s="1"/>
  <c r="AC16" i="13"/>
  <c r="AA16" i="13"/>
  <c r="Z16" i="13"/>
  <c r="Y16" i="13"/>
  <c r="V16" i="13"/>
  <c r="S16" i="13"/>
  <c r="P16" i="13"/>
  <c r="M16" i="13"/>
  <c r="J16" i="13"/>
  <c r="AD15" i="13"/>
  <c r="AC15" i="13"/>
  <c r="AA15" i="13"/>
  <c r="Z15" i="13"/>
  <c r="V15" i="13"/>
  <c r="S15" i="13"/>
  <c r="P15" i="13"/>
  <c r="M15" i="13"/>
  <c r="J15" i="13"/>
  <c r="V14" i="13"/>
  <c r="S14" i="13"/>
  <c r="R14" i="13"/>
  <c r="AA14" i="13" s="1"/>
  <c r="Q14" i="13"/>
  <c r="Q18" i="13" s="1"/>
  <c r="O14" i="13"/>
  <c r="AD14" i="13" s="1"/>
  <c r="N14" i="13"/>
  <c r="AC14" i="13" s="1"/>
  <c r="J14" i="13"/>
  <c r="X11" i="13"/>
  <c r="W11" i="13"/>
  <c r="R11" i="13"/>
  <c r="AA11" i="13" s="1"/>
  <c r="X10" i="13"/>
  <c r="W10" i="13"/>
  <c r="U10" i="13"/>
  <c r="U12" i="13" s="1"/>
  <c r="T10" i="13"/>
  <c r="L10" i="13"/>
  <c r="K10" i="13"/>
  <c r="K12" i="13" s="1"/>
  <c r="AA9" i="13"/>
  <c r="Z9" i="13"/>
  <c r="V9" i="13"/>
  <c r="S9" i="13"/>
  <c r="Y9" i="13" s="1"/>
  <c r="P9" i="13"/>
  <c r="O9" i="13"/>
  <c r="N9" i="13"/>
  <c r="J9" i="13"/>
  <c r="J10" i="13" s="1"/>
  <c r="Q11" i="13"/>
  <c r="R10" i="13"/>
  <c r="V11" i="13"/>
  <c r="X40" i="12"/>
  <c r="W40" i="12"/>
  <c r="U40" i="12"/>
  <c r="T40" i="12"/>
  <c r="L40" i="12"/>
  <c r="K40" i="12"/>
  <c r="AA39" i="12"/>
  <c r="Z39" i="12"/>
  <c r="V39" i="12"/>
  <c r="S39" i="12"/>
  <c r="P39" i="12"/>
  <c r="O39" i="12"/>
  <c r="AD39" i="12" s="1"/>
  <c r="J39" i="12"/>
  <c r="AA38" i="12"/>
  <c r="Z38" i="12"/>
  <c r="V38" i="12"/>
  <c r="S38" i="12"/>
  <c r="P38" i="12"/>
  <c r="O38" i="12"/>
  <c r="AD38" i="12" s="1"/>
  <c r="N38" i="12"/>
  <c r="AC38" i="12" s="1"/>
  <c r="J38" i="12"/>
  <c r="AA37" i="12"/>
  <c r="Z37" i="12"/>
  <c r="V37" i="12"/>
  <c r="S37" i="12"/>
  <c r="P37" i="12"/>
  <c r="O37" i="12"/>
  <c r="AD37" i="12" s="1"/>
  <c r="N37" i="12"/>
  <c r="AC37" i="12" s="1"/>
  <c r="J37" i="12"/>
  <c r="AA36" i="12"/>
  <c r="V36" i="12"/>
  <c r="S36" i="12"/>
  <c r="Q36" i="12"/>
  <c r="Z36" i="12" s="1"/>
  <c r="O36" i="12"/>
  <c r="N36" i="12"/>
  <c r="AC36" i="12" s="1"/>
  <c r="J36" i="12"/>
  <c r="AD35" i="12"/>
  <c r="AA35" i="12"/>
  <c r="Z35" i="12"/>
  <c r="V35" i="12"/>
  <c r="S35" i="12"/>
  <c r="Q35" i="12"/>
  <c r="N35" i="12"/>
  <c r="AC35" i="12" s="1"/>
  <c r="J35" i="12"/>
  <c r="AA34" i="12"/>
  <c r="Z34" i="12"/>
  <c r="V34" i="12"/>
  <c r="S34" i="12"/>
  <c r="P34" i="12"/>
  <c r="O34" i="12"/>
  <c r="N34" i="12"/>
  <c r="J34" i="12"/>
  <c r="AD33" i="12"/>
  <c r="AC33" i="12"/>
  <c r="AA33" i="12"/>
  <c r="Z33" i="12"/>
  <c r="V33" i="12"/>
  <c r="S33" i="12"/>
  <c r="P33" i="12"/>
  <c r="M33" i="12"/>
  <c r="J33" i="12"/>
  <c r="AD32" i="12"/>
  <c r="AA32" i="12"/>
  <c r="Z32" i="12"/>
  <c r="V32" i="12"/>
  <c r="S32" i="12"/>
  <c r="P32" i="12"/>
  <c r="M32" i="12"/>
  <c r="J32" i="12"/>
  <c r="X29" i="12"/>
  <c r="W29" i="12"/>
  <c r="U29" i="12"/>
  <c r="T29" i="12"/>
  <c r="R29" i="12"/>
  <c r="L29" i="12"/>
  <c r="K29" i="12"/>
  <c r="X28" i="12"/>
  <c r="W28" i="12"/>
  <c r="U28" i="12"/>
  <c r="T28" i="12"/>
  <c r="L28" i="12"/>
  <c r="K28" i="12"/>
  <c r="AA27" i="12"/>
  <c r="V27" i="12"/>
  <c r="S27" i="12"/>
  <c r="Q27" i="12"/>
  <c r="P27" i="12" s="1"/>
  <c r="O27" i="12"/>
  <c r="N27" i="12"/>
  <c r="J27" i="12"/>
  <c r="AA26" i="12"/>
  <c r="V26" i="12"/>
  <c r="S26" i="12"/>
  <c r="Q26" i="12"/>
  <c r="Z26" i="12" s="1"/>
  <c r="O26" i="12"/>
  <c r="N26" i="12"/>
  <c r="AC26" i="12" s="1"/>
  <c r="J26" i="12"/>
  <c r="Z25" i="12"/>
  <c r="V25" i="12"/>
  <c r="S25" i="12"/>
  <c r="R25" i="12"/>
  <c r="AA25" i="12" s="1"/>
  <c r="O25" i="12"/>
  <c r="M25" i="12" s="1"/>
  <c r="J25" i="12"/>
  <c r="AA24" i="12"/>
  <c r="Z24" i="12"/>
  <c r="V24" i="12"/>
  <c r="S24" i="12"/>
  <c r="P24" i="12"/>
  <c r="O24" i="12"/>
  <c r="M24" i="12" s="1"/>
  <c r="J24" i="12"/>
  <c r="AA23" i="12"/>
  <c r="Z23" i="12"/>
  <c r="V23" i="12"/>
  <c r="S23" i="12"/>
  <c r="P23" i="12"/>
  <c r="O23" i="12"/>
  <c r="AD23" i="12" s="1"/>
  <c r="N23" i="12"/>
  <c r="AC23" i="12" s="1"/>
  <c r="J23" i="12"/>
  <c r="V22" i="12"/>
  <c r="S22" i="12"/>
  <c r="R22" i="12"/>
  <c r="Q22" i="12"/>
  <c r="Z22" i="12" s="1"/>
  <c r="O22" i="12"/>
  <c r="AD22" i="12" s="1"/>
  <c r="N22" i="12"/>
  <c r="AC22" i="12" s="1"/>
  <c r="J22" i="12"/>
  <c r="AA21" i="12"/>
  <c r="Z21" i="12"/>
  <c r="V21" i="12"/>
  <c r="S21" i="12"/>
  <c r="P21" i="12"/>
  <c r="O21" i="12"/>
  <c r="AD21" i="12" s="1"/>
  <c r="N21" i="12"/>
  <c r="AC21" i="12" s="1"/>
  <c r="J21" i="12"/>
  <c r="AA20" i="12"/>
  <c r="Z20" i="12"/>
  <c r="V20" i="12"/>
  <c r="S20" i="12"/>
  <c r="P20" i="12"/>
  <c r="O20" i="12"/>
  <c r="AD20" i="12" s="1"/>
  <c r="N20" i="12"/>
  <c r="J20" i="12"/>
  <c r="AA19" i="12"/>
  <c r="Z19" i="12"/>
  <c r="V19" i="12"/>
  <c r="S19" i="12"/>
  <c r="P19" i="12"/>
  <c r="O19" i="12"/>
  <c r="AD19" i="12" s="1"/>
  <c r="N19" i="12"/>
  <c r="AC19" i="12" s="1"/>
  <c r="J19" i="12"/>
  <c r="AA18" i="12"/>
  <c r="Z18" i="12"/>
  <c r="V18" i="12"/>
  <c r="S18" i="12"/>
  <c r="P18" i="12"/>
  <c r="O18" i="12"/>
  <c r="AD18" i="12" s="1"/>
  <c r="N18" i="12"/>
  <c r="AC18" i="12" s="1"/>
  <c r="J18" i="12"/>
  <c r="AA17" i="12"/>
  <c r="Z17" i="12"/>
  <c r="V17" i="12"/>
  <c r="S17" i="12"/>
  <c r="P17" i="12"/>
  <c r="O17" i="12"/>
  <c r="N17" i="12"/>
  <c r="M17" i="12" s="1"/>
  <c r="J17" i="12"/>
  <c r="X14" i="12"/>
  <c r="W14" i="12"/>
  <c r="U14" i="12"/>
  <c r="T14" i="12"/>
  <c r="R14" i="12"/>
  <c r="Q14" i="12"/>
  <c r="L14" i="12"/>
  <c r="K14" i="12"/>
  <c r="X13" i="12"/>
  <c r="X15" i="12" s="1"/>
  <c r="W13" i="12"/>
  <c r="U13" i="12"/>
  <c r="T13" i="12"/>
  <c r="R13" i="12"/>
  <c r="L13" i="12"/>
  <c r="K13" i="12"/>
  <c r="AA12" i="12"/>
  <c r="Z12" i="12"/>
  <c r="V12" i="12"/>
  <c r="S12" i="12"/>
  <c r="P12" i="12"/>
  <c r="N12" i="12"/>
  <c r="AC12" i="12" s="1"/>
  <c r="J12" i="12"/>
  <c r="AA11" i="12"/>
  <c r="Z11" i="12"/>
  <c r="V11" i="12"/>
  <c r="S11" i="12"/>
  <c r="P11" i="12"/>
  <c r="N11" i="12"/>
  <c r="AC11" i="12" s="1"/>
  <c r="J11" i="12"/>
  <c r="AA10" i="12"/>
  <c r="V10" i="12"/>
  <c r="S10" i="12"/>
  <c r="Q10" i="12"/>
  <c r="O10" i="12"/>
  <c r="AD10" i="12" s="1"/>
  <c r="N10" i="12"/>
  <c r="J10" i="12"/>
  <c r="AC9" i="12"/>
  <c r="AA9" i="12"/>
  <c r="Z9" i="12"/>
  <c r="V9" i="12"/>
  <c r="S9" i="12"/>
  <c r="P9" i="12"/>
  <c r="O9" i="12"/>
  <c r="AD9" i="12" s="1"/>
  <c r="J9" i="12"/>
  <c r="X29" i="11"/>
  <c r="W29" i="11"/>
  <c r="U29" i="11"/>
  <c r="T29" i="11"/>
  <c r="L29" i="11"/>
  <c r="K29" i="11"/>
  <c r="X28" i="11"/>
  <c r="W28" i="11"/>
  <c r="U28" i="11"/>
  <c r="T28" i="11"/>
  <c r="L28" i="11"/>
  <c r="K28" i="11"/>
  <c r="AC27" i="11"/>
  <c r="Z27" i="11"/>
  <c r="V27" i="11"/>
  <c r="S27" i="11"/>
  <c r="R27" i="11"/>
  <c r="AA27" i="11" s="1"/>
  <c r="O27" i="11"/>
  <c r="AD27" i="11" s="1"/>
  <c r="N27" i="11"/>
  <c r="J27" i="11"/>
  <c r="AA26" i="11"/>
  <c r="Z26" i="11"/>
  <c r="V26" i="11"/>
  <c r="S26" i="11"/>
  <c r="P26" i="11"/>
  <c r="N26" i="11"/>
  <c r="M26" i="11" s="1"/>
  <c r="J26" i="11"/>
  <c r="Z25" i="11"/>
  <c r="V25" i="11"/>
  <c r="S25" i="11"/>
  <c r="R25" i="11"/>
  <c r="AA25" i="11" s="1"/>
  <c r="O25" i="11"/>
  <c r="M25" i="11" s="1"/>
  <c r="J25" i="11"/>
  <c r="AD24" i="11"/>
  <c r="Z24" i="11"/>
  <c r="V24" i="11"/>
  <c r="S24" i="11"/>
  <c r="R24" i="11"/>
  <c r="AA24" i="11" s="1"/>
  <c r="O24" i="11"/>
  <c r="N24" i="11"/>
  <c r="M24" i="11"/>
  <c r="J24" i="11"/>
  <c r="AA23" i="11"/>
  <c r="Z23" i="11"/>
  <c r="Y23" i="11"/>
  <c r="V23" i="11"/>
  <c r="S23" i="11"/>
  <c r="P23" i="11"/>
  <c r="O23" i="11"/>
  <c r="N23" i="11"/>
  <c r="J23" i="11"/>
  <c r="AA22" i="11"/>
  <c r="Z22" i="11"/>
  <c r="V22" i="11"/>
  <c r="S22" i="11"/>
  <c r="P22" i="11"/>
  <c r="O22" i="11"/>
  <c r="N22" i="11"/>
  <c r="M22" i="11" s="1"/>
  <c r="J22" i="11"/>
  <c r="V21" i="11"/>
  <c r="S21" i="11"/>
  <c r="R21" i="11"/>
  <c r="Q21" i="11"/>
  <c r="Z21" i="11" s="1"/>
  <c r="O21" i="11"/>
  <c r="AD21" i="11" s="1"/>
  <c r="N21" i="11"/>
  <c r="J21" i="11"/>
  <c r="Z20" i="11"/>
  <c r="V20" i="11"/>
  <c r="S20" i="11"/>
  <c r="R20" i="11"/>
  <c r="AA20" i="11" s="1"/>
  <c r="O20" i="11"/>
  <c r="AD20" i="11" s="1"/>
  <c r="N20" i="11"/>
  <c r="AC20" i="11" s="1"/>
  <c r="J20" i="11"/>
  <c r="AD19" i="11"/>
  <c r="AA19" i="11"/>
  <c r="Z19" i="11"/>
  <c r="V19" i="11"/>
  <c r="S19" i="11"/>
  <c r="P19" i="11"/>
  <c r="M19" i="11"/>
  <c r="J19" i="11"/>
  <c r="V18" i="11"/>
  <c r="S18" i="11"/>
  <c r="R18" i="11"/>
  <c r="AA18" i="11" s="1"/>
  <c r="Q18" i="11"/>
  <c r="O18" i="11"/>
  <c r="AD18" i="11" s="1"/>
  <c r="N18" i="11"/>
  <c r="AC18" i="11" s="1"/>
  <c r="J18" i="11"/>
  <c r="AC17" i="11"/>
  <c r="Z17" i="11"/>
  <c r="V17" i="11"/>
  <c r="S17" i="11"/>
  <c r="R17" i="11"/>
  <c r="AA17" i="11" s="1"/>
  <c r="O17" i="11"/>
  <c r="N17" i="11"/>
  <c r="J17" i="11"/>
  <c r="AD16" i="11"/>
  <c r="AA16" i="11"/>
  <c r="Z16" i="11"/>
  <c r="V16" i="11"/>
  <c r="S16" i="11"/>
  <c r="P16" i="11"/>
  <c r="O16" i="11"/>
  <c r="N16" i="11"/>
  <c r="AC16" i="11" s="1"/>
  <c r="J16" i="11"/>
  <c r="Z15" i="11"/>
  <c r="V15" i="11"/>
  <c r="S15" i="11"/>
  <c r="R15" i="11"/>
  <c r="AA15" i="11" s="1"/>
  <c r="O15" i="11"/>
  <c r="AD15" i="11" s="1"/>
  <c r="N15" i="11"/>
  <c r="J15" i="11"/>
  <c r="AD14" i="11"/>
  <c r="AC14" i="11"/>
  <c r="AA14" i="11"/>
  <c r="Z14" i="11"/>
  <c r="V14" i="11"/>
  <c r="S14" i="11"/>
  <c r="Y14" i="11" s="1"/>
  <c r="P14" i="11"/>
  <c r="M14" i="11"/>
  <c r="J14" i="11"/>
  <c r="AD13" i="11"/>
  <c r="AA13" i="11"/>
  <c r="V13" i="11"/>
  <c r="S13" i="11"/>
  <c r="AB13" i="11" s="1"/>
  <c r="Q13" i="11"/>
  <c r="Z13" i="11" s="1"/>
  <c r="P13" i="11"/>
  <c r="Y13" i="11" s="1"/>
  <c r="N13" i="11"/>
  <c r="M13" i="11" s="1"/>
  <c r="J13" i="11"/>
  <c r="V12" i="11"/>
  <c r="S12" i="11"/>
  <c r="R12" i="11"/>
  <c r="AA12" i="11" s="1"/>
  <c r="Q12" i="11"/>
  <c r="O12" i="11"/>
  <c r="AD12" i="11" s="1"/>
  <c r="N12" i="11"/>
  <c r="AC12" i="11" s="1"/>
  <c r="J12" i="11"/>
  <c r="Z11" i="11"/>
  <c r="V11" i="11"/>
  <c r="S11" i="11"/>
  <c r="R11" i="11"/>
  <c r="AA11" i="11" s="1"/>
  <c r="O11" i="11"/>
  <c r="N11" i="11"/>
  <c r="AC11" i="11" s="1"/>
  <c r="J11" i="11"/>
  <c r="V10" i="11"/>
  <c r="S10" i="11"/>
  <c r="R10" i="11"/>
  <c r="Q10" i="11"/>
  <c r="Z10" i="11" s="1"/>
  <c r="O10" i="11"/>
  <c r="AD10" i="11" s="1"/>
  <c r="N10" i="11"/>
  <c r="J10" i="11"/>
  <c r="V9" i="11"/>
  <c r="S9" i="11"/>
  <c r="R9" i="11"/>
  <c r="Q9" i="11"/>
  <c r="Z9" i="11" s="1"/>
  <c r="O9" i="11"/>
  <c r="AD9" i="11" s="1"/>
  <c r="N9" i="11"/>
  <c r="M9" i="11" s="1"/>
  <c r="J9" i="11"/>
  <c r="X14" i="7"/>
  <c r="W14" i="7"/>
  <c r="U14" i="7"/>
  <c r="T14" i="7"/>
  <c r="L14" i="7"/>
  <c r="K14" i="7"/>
  <c r="X13" i="7"/>
  <c r="W13" i="7"/>
  <c r="W15" i="7" s="1"/>
  <c r="U13" i="7"/>
  <c r="T13" i="7"/>
  <c r="T15" i="7" s="1"/>
  <c r="L13" i="7"/>
  <c r="K13" i="7"/>
  <c r="K15" i="7" s="1"/>
  <c r="AA12" i="7"/>
  <c r="Z12" i="7"/>
  <c r="S12" i="7"/>
  <c r="P12" i="7"/>
  <c r="O12" i="7"/>
  <c r="N12" i="7"/>
  <c r="J12" i="7"/>
  <c r="AA11" i="7"/>
  <c r="Z11" i="7"/>
  <c r="V11" i="7"/>
  <c r="S11" i="7"/>
  <c r="P11" i="7"/>
  <c r="O11" i="7"/>
  <c r="AD11" i="7" s="1"/>
  <c r="N11" i="7"/>
  <c r="J11" i="7"/>
  <c r="V10" i="7"/>
  <c r="V14" i="7" s="1"/>
  <c r="S10" i="7"/>
  <c r="S14" i="7" s="1"/>
  <c r="R10" i="7"/>
  <c r="R13" i="7" s="1"/>
  <c r="Q10" i="7"/>
  <c r="O10" i="7"/>
  <c r="O14" i="7" s="1"/>
  <c r="N10" i="7"/>
  <c r="N14" i="7" s="1"/>
  <c r="J10" i="7"/>
  <c r="J14" i="7" s="1"/>
  <c r="AD9" i="7"/>
  <c r="AA9" i="7"/>
  <c r="Z9" i="7"/>
  <c r="V9" i="7"/>
  <c r="S9" i="7"/>
  <c r="P9" i="7"/>
  <c r="N9" i="7"/>
  <c r="AC9" i="7" s="1"/>
  <c r="J9" i="7"/>
  <c r="J13" i="7" s="1"/>
  <c r="S39" i="6"/>
  <c r="Y16" i="16" l="1"/>
  <c r="Q20" i="16"/>
  <c r="M9" i="16"/>
  <c r="M17" i="16"/>
  <c r="R20" i="16"/>
  <c r="U26" i="17"/>
  <c r="AA26" i="17" s="1"/>
  <c r="Q26" i="17"/>
  <c r="Z26" i="17" s="1"/>
  <c r="S24" i="17"/>
  <c r="AB17" i="17"/>
  <c r="U20" i="17"/>
  <c r="T20" i="17"/>
  <c r="M15" i="17"/>
  <c r="Q18" i="17"/>
  <c r="Q20" i="17" s="1"/>
  <c r="Y15" i="17"/>
  <c r="Y12" i="17"/>
  <c r="AB13" i="17"/>
  <c r="Y14" i="17"/>
  <c r="L20" i="17"/>
  <c r="R18" i="17"/>
  <c r="R20" i="17" s="1"/>
  <c r="O18" i="17"/>
  <c r="O20" i="17" s="1"/>
  <c r="V18" i="17"/>
  <c r="V20" i="17" s="1"/>
  <c r="J18" i="17"/>
  <c r="J20" i="17" s="1"/>
  <c r="Z9" i="17"/>
  <c r="AD9" i="17"/>
  <c r="AA11" i="17"/>
  <c r="Z19" i="17"/>
  <c r="P10" i="17"/>
  <c r="Y10" i="17" s="1"/>
  <c r="AA10" i="17"/>
  <c r="Y11" i="17"/>
  <c r="M12" i="17"/>
  <c r="Y13" i="17"/>
  <c r="M14" i="17"/>
  <c r="AA19" i="17"/>
  <c r="K20" i="17"/>
  <c r="Y19" i="17"/>
  <c r="N18" i="17"/>
  <c r="AA9" i="17"/>
  <c r="AB11" i="17"/>
  <c r="S18" i="17"/>
  <c r="AC19" i="17"/>
  <c r="AD19" i="17"/>
  <c r="AD14" i="17"/>
  <c r="P9" i="17"/>
  <c r="M10" i="17"/>
  <c r="AB10" i="17" s="1"/>
  <c r="M9" i="17"/>
  <c r="K14" i="16"/>
  <c r="U20" i="16"/>
  <c r="AA20" i="16" s="1"/>
  <c r="L14" i="16"/>
  <c r="M11" i="16"/>
  <c r="Z19" i="16"/>
  <c r="Y10" i="16"/>
  <c r="V13" i="16"/>
  <c r="AA19" i="16"/>
  <c r="Y13" i="16"/>
  <c r="Y11" i="16"/>
  <c r="N18" i="16"/>
  <c r="N20" i="16" s="1"/>
  <c r="V18" i="16"/>
  <c r="V20" i="16" s="1"/>
  <c r="K20" i="16"/>
  <c r="AA18" i="16"/>
  <c r="M16" i="16"/>
  <c r="Y17" i="16"/>
  <c r="N12" i="16"/>
  <c r="U14" i="16"/>
  <c r="J20" i="16"/>
  <c r="Q14" i="16"/>
  <c r="Z12" i="16"/>
  <c r="J12" i="16"/>
  <c r="J14" i="16" s="1"/>
  <c r="R12" i="16"/>
  <c r="R14" i="16" s="1"/>
  <c r="AA13" i="16"/>
  <c r="P18" i="16"/>
  <c r="P20" i="16" s="1"/>
  <c r="Y19" i="16"/>
  <c r="O12" i="16"/>
  <c r="AC13" i="16"/>
  <c r="Y9" i="16"/>
  <c r="V12" i="16"/>
  <c r="O18" i="16"/>
  <c r="S18" i="16"/>
  <c r="AD13" i="16"/>
  <c r="M10" i="16"/>
  <c r="AB10" i="16" s="1"/>
  <c r="Z13" i="16"/>
  <c r="T14" i="16"/>
  <c r="T20" i="16"/>
  <c r="Z18" i="16"/>
  <c r="S12" i="16"/>
  <c r="AB11" i="14"/>
  <c r="AA16" i="14"/>
  <c r="Q23" i="14"/>
  <c r="P10" i="14"/>
  <c r="Y10" i="14" s="1"/>
  <c r="W17" i="14"/>
  <c r="Z22" i="14"/>
  <c r="P11" i="14"/>
  <c r="Y11" i="14" s="1"/>
  <c r="AC11" i="14"/>
  <c r="AA12" i="14"/>
  <c r="Y13" i="14"/>
  <c r="AA21" i="14"/>
  <c r="AA22" i="14"/>
  <c r="K17" i="14"/>
  <c r="J21" i="14"/>
  <c r="J23" i="14" s="1"/>
  <c r="AD22" i="14"/>
  <c r="Y19" i="14"/>
  <c r="AC19" i="14"/>
  <c r="N15" i="14"/>
  <c r="N17" i="14" s="1"/>
  <c r="Y14" i="14"/>
  <c r="K23" i="14"/>
  <c r="S23" i="14"/>
  <c r="Y21" i="14"/>
  <c r="S16" i="14"/>
  <c r="O15" i="14"/>
  <c r="O17" i="14" s="1"/>
  <c r="AD9" i="14"/>
  <c r="M9" i="14"/>
  <c r="M15" i="14" s="1"/>
  <c r="M17" i="14" s="1"/>
  <c r="Z11" i="14"/>
  <c r="Q15" i="14"/>
  <c r="Z15" i="14" s="1"/>
  <c r="X17" i="14"/>
  <c r="Y22" i="14"/>
  <c r="S15" i="14"/>
  <c r="AB12" i="14"/>
  <c r="AD19" i="14"/>
  <c r="AA23" i="14"/>
  <c r="Z9" i="14"/>
  <c r="P9" i="14"/>
  <c r="Q16" i="14"/>
  <c r="Z12" i="14"/>
  <c r="P12" i="14"/>
  <c r="P16" i="14" s="1"/>
  <c r="T17" i="14"/>
  <c r="O21" i="14"/>
  <c r="O23" i="14" s="1"/>
  <c r="AD23" i="14" s="1"/>
  <c r="M20" i="14"/>
  <c r="AB20" i="14" s="1"/>
  <c r="AC20" i="14"/>
  <c r="W23" i="14"/>
  <c r="AC22" i="14"/>
  <c r="R15" i="14"/>
  <c r="R17" i="14" s="1"/>
  <c r="AB10" i="14"/>
  <c r="N21" i="14"/>
  <c r="N23" i="14" s="1"/>
  <c r="V21" i="14"/>
  <c r="V23" i="14" s="1"/>
  <c r="J15" i="14"/>
  <c r="J17" i="14" s="1"/>
  <c r="V15" i="14"/>
  <c r="V17" i="14" s="1"/>
  <c r="U17" i="14"/>
  <c r="AA15" i="14"/>
  <c r="AC16" i="14"/>
  <c r="M19" i="14"/>
  <c r="T23" i="14"/>
  <c r="Z21" i="14"/>
  <c r="X42" i="12"/>
  <c r="S10" i="13"/>
  <c r="W12" i="13"/>
  <c r="L12" i="13"/>
  <c r="AD18" i="13"/>
  <c r="Y15" i="13"/>
  <c r="AB15" i="13"/>
  <c r="M9" i="13"/>
  <c r="M10" i="13" s="1"/>
  <c r="Z14" i="13"/>
  <c r="O10" i="13"/>
  <c r="Q17" i="13"/>
  <c r="Q19" i="13" s="1"/>
  <c r="X19" i="13"/>
  <c r="V18" i="13"/>
  <c r="AC18" i="13"/>
  <c r="P14" i="13"/>
  <c r="P18" i="13" s="1"/>
  <c r="T19" i="13"/>
  <c r="X12" i="13"/>
  <c r="Z11" i="13"/>
  <c r="T12" i="13"/>
  <c r="P22" i="12"/>
  <c r="M10" i="12"/>
  <c r="W30" i="12"/>
  <c r="N40" i="12"/>
  <c r="AC40" i="12" s="1"/>
  <c r="Y20" i="12"/>
  <c r="M27" i="12"/>
  <c r="P14" i="12"/>
  <c r="P36" i="12"/>
  <c r="Y36" i="12" s="1"/>
  <c r="Y39" i="12"/>
  <c r="T42" i="12"/>
  <c r="U15" i="12"/>
  <c r="S13" i="12"/>
  <c r="M11" i="12"/>
  <c r="V14" i="12"/>
  <c r="M12" i="12"/>
  <c r="AB12" i="12" s="1"/>
  <c r="L15" i="12"/>
  <c r="AD24" i="12"/>
  <c r="P25" i="12"/>
  <c r="Y25" i="12" s="1"/>
  <c r="AA13" i="12"/>
  <c r="Y23" i="12"/>
  <c r="AD25" i="12"/>
  <c r="Y34" i="12"/>
  <c r="Z14" i="12"/>
  <c r="Y22" i="12"/>
  <c r="N14" i="12"/>
  <c r="AC14" i="12" s="1"/>
  <c r="Y33" i="12"/>
  <c r="AD41" i="12"/>
  <c r="Y9" i="12"/>
  <c r="M18" i="12"/>
  <c r="AB18" i="12" s="1"/>
  <c r="M21" i="12"/>
  <c r="AB21" i="12" s="1"/>
  <c r="Y21" i="12"/>
  <c r="L30" i="12"/>
  <c r="X30" i="12"/>
  <c r="Y37" i="12"/>
  <c r="Y38" i="12"/>
  <c r="U42" i="12"/>
  <c r="M9" i="12"/>
  <c r="J14" i="12"/>
  <c r="Y12" i="12"/>
  <c r="M19" i="12"/>
  <c r="AB19" i="12" s="1"/>
  <c r="M22" i="12"/>
  <c r="AB22" i="12" s="1"/>
  <c r="N10" i="13"/>
  <c r="V10" i="13"/>
  <c r="V12" i="13" s="1"/>
  <c r="R12" i="13"/>
  <c r="AA12" i="13" s="1"/>
  <c r="L19" i="13"/>
  <c r="U19" i="13"/>
  <c r="Z18" i="13"/>
  <c r="J12" i="13"/>
  <c r="AA10" i="13"/>
  <c r="AB16" i="13"/>
  <c r="M14" i="13"/>
  <c r="AB14" i="13" s="1"/>
  <c r="J17" i="13"/>
  <c r="N17" i="13"/>
  <c r="R17" i="13"/>
  <c r="V17" i="13"/>
  <c r="S12" i="13"/>
  <c r="P11" i="13"/>
  <c r="Q10" i="13"/>
  <c r="Q12" i="13" s="1"/>
  <c r="O17" i="13"/>
  <c r="S17" i="13"/>
  <c r="R18" i="13"/>
  <c r="AA18" i="13" s="1"/>
  <c r="K30" i="12"/>
  <c r="V40" i="12"/>
  <c r="M35" i="12"/>
  <c r="AB35" i="12" s="1"/>
  <c r="L42" i="12"/>
  <c r="W42" i="12"/>
  <c r="Q41" i="12"/>
  <c r="Z41" i="12" s="1"/>
  <c r="V13" i="12"/>
  <c r="O13" i="12"/>
  <c r="AD13" i="12" s="1"/>
  <c r="R15" i="12"/>
  <c r="M38" i="12"/>
  <c r="AB38" i="12" s="1"/>
  <c r="J13" i="12"/>
  <c r="J15" i="12" s="1"/>
  <c r="J28" i="12"/>
  <c r="Y27" i="12"/>
  <c r="M39" i="12"/>
  <c r="AB39" i="12" s="1"/>
  <c r="Y26" i="11"/>
  <c r="P10" i="11"/>
  <c r="P15" i="11"/>
  <c r="L30" i="11"/>
  <c r="X30" i="11"/>
  <c r="P10" i="12"/>
  <c r="P13" i="12" s="1"/>
  <c r="Q13" i="12"/>
  <c r="Q15" i="12" s="1"/>
  <c r="AA15" i="12"/>
  <c r="R40" i="12"/>
  <c r="R41" i="12"/>
  <c r="AA41" i="12" s="1"/>
  <c r="AB10" i="12"/>
  <c r="T15" i="12"/>
  <c r="AA14" i="12"/>
  <c r="S28" i="12"/>
  <c r="Y17" i="12"/>
  <c r="AB17" i="12"/>
  <c r="AB24" i="12"/>
  <c r="Y24" i="12"/>
  <c r="S29" i="12"/>
  <c r="J40" i="12"/>
  <c r="N13" i="12"/>
  <c r="AC10" i="12"/>
  <c r="Y11" i="12"/>
  <c r="AB11" i="12"/>
  <c r="S14" i="12"/>
  <c r="Y18" i="12"/>
  <c r="M20" i="12"/>
  <c r="AB20" i="12" s="1"/>
  <c r="AC20" i="12"/>
  <c r="AD26" i="12"/>
  <c r="M26" i="12"/>
  <c r="AB26" i="12" s="1"/>
  <c r="O29" i="12"/>
  <c r="AD29" i="12" s="1"/>
  <c r="Z10" i="12"/>
  <c r="K15" i="12"/>
  <c r="W15" i="12"/>
  <c r="O14" i="12"/>
  <c r="AD14" i="12" s="1"/>
  <c r="Z27" i="12"/>
  <c r="Q28" i="12"/>
  <c r="AD36" i="12"/>
  <c r="M36" i="12"/>
  <c r="AB36" i="12" s="1"/>
  <c r="P26" i="12"/>
  <c r="Y26" i="12" s="1"/>
  <c r="Q29" i="12"/>
  <c r="Z29" i="12" s="1"/>
  <c r="O40" i="12"/>
  <c r="N29" i="12"/>
  <c r="AC29" i="12" s="1"/>
  <c r="V29" i="12"/>
  <c r="N28" i="12"/>
  <c r="U30" i="12"/>
  <c r="T30" i="12"/>
  <c r="O28" i="12"/>
  <c r="AD17" i="12"/>
  <c r="AC17" i="12"/>
  <c r="Y19" i="12"/>
  <c r="AA22" i="12"/>
  <c r="R28" i="12"/>
  <c r="R30" i="12" s="1"/>
  <c r="M23" i="12"/>
  <c r="AB23" i="12" s="1"/>
  <c r="AB25" i="12"/>
  <c r="V28" i="12"/>
  <c r="Y32" i="12"/>
  <c r="AB32" i="12"/>
  <c r="Q40" i="12"/>
  <c r="P35" i="12"/>
  <c r="M37" i="12"/>
  <c r="AB37" i="12" s="1"/>
  <c r="S40" i="12"/>
  <c r="J29" i="12"/>
  <c r="J30" i="12" s="1"/>
  <c r="AA29" i="12"/>
  <c r="AB33" i="12"/>
  <c r="M34" i="12"/>
  <c r="P41" i="12"/>
  <c r="K42" i="12"/>
  <c r="P21" i="11"/>
  <c r="P27" i="11"/>
  <c r="Y27" i="11" s="1"/>
  <c r="M12" i="11"/>
  <c r="Y15" i="11"/>
  <c r="M18" i="11"/>
  <c r="P20" i="11"/>
  <c r="Y20" i="11" s="1"/>
  <c r="M21" i="11"/>
  <c r="M27" i="11"/>
  <c r="AB27" i="11" s="1"/>
  <c r="K30" i="11"/>
  <c r="W30" i="11"/>
  <c r="P11" i="11"/>
  <c r="Y11" i="11" s="1"/>
  <c r="M16" i="11"/>
  <c r="P17" i="11"/>
  <c r="Y17" i="11" s="1"/>
  <c r="M20" i="11"/>
  <c r="AB20" i="11" s="1"/>
  <c r="M23" i="11"/>
  <c r="P24" i="11"/>
  <c r="Y24" i="11" s="1"/>
  <c r="P25" i="11"/>
  <c r="Y25" i="11" s="1"/>
  <c r="M9" i="7"/>
  <c r="M12" i="7"/>
  <c r="AD17" i="11"/>
  <c r="M17" i="11"/>
  <c r="AB17" i="11" s="1"/>
  <c r="P18" i="11"/>
  <c r="Y18" i="11" s="1"/>
  <c r="Z18" i="11"/>
  <c r="T30" i="11"/>
  <c r="Y19" i="11"/>
  <c r="AB19" i="11"/>
  <c r="AA10" i="11"/>
  <c r="AD11" i="11"/>
  <c r="M11" i="11"/>
  <c r="AB11" i="11" s="1"/>
  <c r="O29" i="11"/>
  <c r="AD29" i="11" s="1"/>
  <c r="P12" i="11"/>
  <c r="Y12" i="11" s="1"/>
  <c r="Z12" i="11"/>
  <c r="AA21" i="11"/>
  <c r="R29" i="11"/>
  <c r="AA29" i="11" s="1"/>
  <c r="R28" i="11"/>
  <c r="AA9" i="11"/>
  <c r="Y16" i="11"/>
  <c r="AB16" i="11"/>
  <c r="J29" i="11"/>
  <c r="P9" i="11"/>
  <c r="Q29" i="11"/>
  <c r="Z29" i="11" s="1"/>
  <c r="AC10" i="11"/>
  <c r="M10" i="11"/>
  <c r="Y10" i="11"/>
  <c r="Q28" i="11"/>
  <c r="Z28" i="11" s="1"/>
  <c r="S29" i="11"/>
  <c r="N29" i="11"/>
  <c r="AC29" i="11" s="1"/>
  <c r="N28" i="11"/>
  <c r="N30" i="11" s="1"/>
  <c r="S28" i="11"/>
  <c r="AC9" i="11"/>
  <c r="AC13" i="11"/>
  <c r="Y21" i="11"/>
  <c r="AB21" i="11"/>
  <c r="AB24" i="11"/>
  <c r="U30" i="11"/>
  <c r="O28" i="11"/>
  <c r="AD28" i="11" s="1"/>
  <c r="V29" i="11"/>
  <c r="AB12" i="11"/>
  <c r="AB14" i="11"/>
  <c r="M15" i="11"/>
  <c r="AB15" i="11" s="1"/>
  <c r="AC15" i="11"/>
  <c r="AB18" i="11"/>
  <c r="Y22" i="11"/>
  <c r="J28" i="11"/>
  <c r="V28" i="11"/>
  <c r="AB9" i="11"/>
  <c r="AB9" i="7"/>
  <c r="V13" i="7"/>
  <c r="V15" i="7" s="1"/>
  <c r="P10" i="7"/>
  <c r="P14" i="7" s="1"/>
  <c r="Y14" i="7" s="1"/>
  <c r="AA10" i="7"/>
  <c r="S13" i="7"/>
  <c r="S15" i="7" s="1"/>
  <c r="R14" i="7"/>
  <c r="M10" i="7"/>
  <c r="M14" i="7" s="1"/>
  <c r="AC10" i="7"/>
  <c r="Y11" i="7"/>
  <c r="L15" i="7"/>
  <c r="AC14" i="7"/>
  <c r="X15" i="7"/>
  <c r="Y9" i="7"/>
  <c r="AA14" i="7"/>
  <c r="AB14" i="7"/>
  <c r="R15" i="7"/>
  <c r="AA13" i="7"/>
  <c r="Z10" i="7"/>
  <c r="AD10" i="7"/>
  <c r="AC11" i="7"/>
  <c r="Y12" i="7"/>
  <c r="O13" i="7"/>
  <c r="O15" i="7" s="1"/>
  <c r="Q14" i="7"/>
  <c r="Z14" i="7" s="1"/>
  <c r="U15" i="7"/>
  <c r="Q13" i="7"/>
  <c r="AB10" i="7"/>
  <c r="M11" i="7"/>
  <c r="M13" i="7" s="1"/>
  <c r="M15" i="7" s="1"/>
  <c r="J15" i="7"/>
  <c r="N13" i="7"/>
  <c r="AD14" i="7"/>
  <c r="O19" i="6"/>
  <c r="N19" i="6"/>
  <c r="O17" i="6"/>
  <c r="N17" i="6"/>
  <c r="M18" i="16" l="1"/>
  <c r="S26" i="17"/>
  <c r="Y26" i="17" s="1"/>
  <c r="Y24" i="17"/>
  <c r="Z20" i="17"/>
  <c r="AD20" i="17"/>
  <c r="Z18" i="17"/>
  <c r="AA18" i="17"/>
  <c r="AD18" i="17"/>
  <c r="M19" i="17"/>
  <c r="AB19" i="17" s="1"/>
  <c r="AA20" i="17"/>
  <c r="M18" i="17"/>
  <c r="AB18" i="17" s="1"/>
  <c r="AB14" i="17"/>
  <c r="N20" i="17"/>
  <c r="AC20" i="17" s="1"/>
  <c r="Y9" i="17"/>
  <c r="P18" i="17"/>
  <c r="P20" i="17" s="1"/>
  <c r="AC18" i="17"/>
  <c r="S20" i="17"/>
  <c r="AB9" i="17"/>
  <c r="O20" i="16"/>
  <c r="M20" i="16"/>
  <c r="V14" i="16"/>
  <c r="O14" i="16"/>
  <c r="AD12" i="16"/>
  <c r="AA14" i="16"/>
  <c r="P12" i="16"/>
  <c r="P14" i="16" s="1"/>
  <c r="S20" i="16"/>
  <c r="Y18" i="16"/>
  <c r="AB13" i="16"/>
  <c r="N14" i="16"/>
  <c r="AC12" i="16"/>
  <c r="Z20" i="16"/>
  <c r="S14" i="16"/>
  <c r="Z14" i="16"/>
  <c r="AA12" i="16"/>
  <c r="M12" i="16"/>
  <c r="AC21" i="14"/>
  <c r="AD21" i="14"/>
  <c r="AD15" i="14"/>
  <c r="P15" i="14"/>
  <c r="P17" i="14" s="1"/>
  <c r="Y12" i="14"/>
  <c r="AC15" i="14"/>
  <c r="Y23" i="14"/>
  <c r="AB9" i="14"/>
  <c r="M21" i="14"/>
  <c r="Z16" i="14"/>
  <c r="AC17" i="14"/>
  <c r="Y9" i="14"/>
  <c r="AC23" i="14"/>
  <c r="Z23" i="14"/>
  <c r="AB15" i="14"/>
  <c r="Y15" i="14"/>
  <c r="S17" i="14"/>
  <c r="Q17" i="14"/>
  <c r="Z17" i="14" s="1"/>
  <c r="Y16" i="14"/>
  <c r="AB16" i="14"/>
  <c r="AD17" i="14"/>
  <c r="AA17" i="14"/>
  <c r="M22" i="14"/>
  <c r="AB22" i="14" s="1"/>
  <c r="AB19" i="14"/>
  <c r="O19" i="13"/>
  <c r="Z12" i="13"/>
  <c r="M12" i="13"/>
  <c r="Z19" i="13"/>
  <c r="Z17" i="13"/>
  <c r="J19" i="13"/>
  <c r="Y14" i="13"/>
  <c r="M17" i="13"/>
  <c r="AB17" i="13" s="1"/>
  <c r="Y18" i="13"/>
  <c r="V19" i="13"/>
  <c r="P17" i="13"/>
  <c r="P19" i="13" s="1"/>
  <c r="AB18" i="13"/>
  <c r="R19" i="13"/>
  <c r="Z10" i="13"/>
  <c r="N12" i="13"/>
  <c r="P15" i="12"/>
  <c r="N15" i="12"/>
  <c r="M14" i="12"/>
  <c r="Q30" i="12"/>
  <c r="Z30" i="12" s="1"/>
  <c r="M13" i="12"/>
  <c r="AB13" i="12" s="1"/>
  <c r="O15" i="12"/>
  <c r="AD15" i="12" s="1"/>
  <c r="AB9" i="12"/>
  <c r="V15" i="12"/>
  <c r="V42" i="12"/>
  <c r="AA19" i="13"/>
  <c r="AD17" i="13"/>
  <c r="P10" i="13"/>
  <c r="Y17" i="13"/>
  <c r="S19" i="13"/>
  <c r="Y11" i="13"/>
  <c r="N19" i="13"/>
  <c r="AC17" i="13"/>
  <c r="AA17" i="13"/>
  <c r="O12" i="13"/>
  <c r="M40" i="12"/>
  <c r="P40" i="12"/>
  <c r="P42" i="12" s="1"/>
  <c r="Q42" i="12"/>
  <c r="Z42" i="12" s="1"/>
  <c r="S42" i="12"/>
  <c r="O30" i="12"/>
  <c r="AD30" i="12" s="1"/>
  <c r="AD28" i="12"/>
  <c r="AA30" i="12"/>
  <c r="P29" i="12"/>
  <c r="Y29" i="12" s="1"/>
  <c r="P28" i="12"/>
  <c r="M28" i="12"/>
  <c r="AB28" i="12" s="1"/>
  <c r="AC15" i="12"/>
  <c r="Z15" i="12"/>
  <c r="Y35" i="12"/>
  <c r="AB41" i="12"/>
  <c r="Y41" i="12"/>
  <c r="N30" i="12"/>
  <c r="AC30" i="12" s="1"/>
  <c r="AC28" i="12"/>
  <c r="M29" i="12"/>
  <c r="AB29" i="12" s="1"/>
  <c r="Z40" i="12"/>
  <c r="N42" i="12"/>
  <c r="AC42" i="12" s="1"/>
  <c r="Y14" i="12"/>
  <c r="AB14" i="12"/>
  <c r="AC13" i="12"/>
  <c r="R42" i="12"/>
  <c r="AA42" i="12" s="1"/>
  <c r="AA40" i="12"/>
  <c r="Y13" i="12"/>
  <c r="V30" i="12"/>
  <c r="AA28" i="12"/>
  <c r="O42" i="12"/>
  <c r="AD42" i="12" s="1"/>
  <c r="AD40" i="12"/>
  <c r="J42" i="12"/>
  <c r="S30" i="12"/>
  <c r="Z13" i="12"/>
  <c r="Y10" i="12"/>
  <c r="Z28" i="12"/>
  <c r="S15" i="12"/>
  <c r="M29" i="11"/>
  <c r="AB29" i="11" s="1"/>
  <c r="M28" i="11"/>
  <c r="AC28" i="11"/>
  <c r="R30" i="11"/>
  <c r="AA30" i="11" s="1"/>
  <c r="AA28" i="11"/>
  <c r="V30" i="11"/>
  <c r="O30" i="11"/>
  <c r="AD30" i="11" s="1"/>
  <c r="Q30" i="11"/>
  <c r="Z30" i="11" s="1"/>
  <c r="AC30" i="11"/>
  <c r="S30" i="11"/>
  <c r="P29" i="11"/>
  <c r="Y29" i="11" s="1"/>
  <c r="P28" i="11"/>
  <c r="Y9" i="11"/>
  <c r="J30" i="11"/>
  <c r="AB10" i="11"/>
  <c r="Y10" i="7"/>
  <c r="P13" i="7"/>
  <c r="P15" i="7" s="1"/>
  <c r="Y15" i="7" s="1"/>
  <c r="AB11" i="7"/>
  <c r="Y13" i="7"/>
  <c r="N15" i="7"/>
  <c r="AC15" i="7" s="1"/>
  <c r="AC13" i="7"/>
  <c r="Z13" i="7"/>
  <c r="Q15" i="7"/>
  <c r="Z15" i="7" s="1"/>
  <c r="AD15" i="7"/>
  <c r="AA15" i="7"/>
  <c r="AB15" i="7"/>
  <c r="AB13" i="7"/>
  <c r="AD13" i="7"/>
  <c r="O24" i="6"/>
  <c r="O57" i="6"/>
  <c r="N37" i="6"/>
  <c r="N38" i="6"/>
  <c r="O25" i="6"/>
  <c r="O60" i="6"/>
  <c r="O54" i="6"/>
  <c r="O56" i="6"/>
  <c r="N55" i="6"/>
  <c r="N56" i="6"/>
  <c r="N54" i="6"/>
  <c r="N50" i="6"/>
  <c r="O40" i="6"/>
  <c r="N40" i="6"/>
  <c r="O39" i="6"/>
  <c r="N39" i="6"/>
  <c r="O23" i="6"/>
  <c r="N23" i="6"/>
  <c r="O18" i="6"/>
  <c r="N18" i="6"/>
  <c r="M14" i="16" l="1"/>
  <c r="M20" i="17"/>
  <c r="AB20" i="17" s="1"/>
  <c r="Y18" i="17"/>
  <c r="Y20" i="17"/>
  <c r="AB12" i="16"/>
  <c r="Y12" i="16"/>
  <c r="Y14" i="16"/>
  <c r="Y20" i="16"/>
  <c r="Y17" i="14"/>
  <c r="AB17" i="14"/>
  <c r="M23" i="14"/>
  <c r="AB23" i="14" s="1"/>
  <c r="AB21" i="14"/>
  <c r="M19" i="13"/>
  <c r="M15" i="12"/>
  <c r="M42" i="12"/>
  <c r="AB42" i="12" s="1"/>
  <c r="AB40" i="12"/>
  <c r="P30" i="12"/>
  <c r="Y30" i="12" s="1"/>
  <c r="Y28" i="12"/>
  <c r="Y19" i="13"/>
  <c r="P12" i="13"/>
  <c r="Y12" i="13" s="1"/>
  <c r="Y10" i="13"/>
  <c r="Y40" i="12"/>
  <c r="P30" i="11"/>
  <c r="M30" i="11"/>
  <c r="Y15" i="12"/>
  <c r="AB15" i="12"/>
  <c r="M30" i="12"/>
  <c r="AB30" i="12" s="1"/>
  <c r="Y42" i="12"/>
  <c r="AB28" i="11"/>
  <c r="Y28" i="11"/>
  <c r="Y30" i="11"/>
  <c r="AB30" i="11"/>
  <c r="N107" i="6"/>
  <c r="O108" i="6" l="1"/>
  <c r="N108" i="6"/>
  <c r="O107" i="6"/>
  <c r="O72" i="6"/>
  <c r="K115" i="6"/>
  <c r="L115" i="6"/>
  <c r="T115" i="6"/>
  <c r="U115" i="6"/>
  <c r="W115" i="6"/>
  <c r="X115" i="6"/>
  <c r="K116" i="6"/>
  <c r="L116" i="6"/>
  <c r="T116" i="6"/>
  <c r="U116" i="6"/>
  <c r="W116" i="6"/>
  <c r="X116" i="6"/>
  <c r="K114" i="6"/>
  <c r="L114" i="6"/>
  <c r="T114" i="6"/>
  <c r="U114" i="6"/>
  <c r="W114" i="6"/>
  <c r="X114" i="6"/>
  <c r="X91" i="6"/>
  <c r="W91" i="6"/>
  <c r="U91" i="6"/>
  <c r="T91" i="6"/>
  <c r="L91" i="6" l="1"/>
  <c r="K91" i="6"/>
  <c r="AC90" i="6"/>
  <c r="V90" i="6"/>
  <c r="S90" i="6"/>
  <c r="M90" i="6"/>
  <c r="J90" i="6"/>
  <c r="AC89" i="6"/>
  <c r="V89" i="6"/>
  <c r="S89" i="6"/>
  <c r="M89" i="6"/>
  <c r="J89" i="6"/>
  <c r="AB89" i="6" l="1"/>
  <c r="AB90" i="6"/>
  <c r="N51" i="6"/>
  <c r="O9" i="6"/>
  <c r="N99" i="6" l="1"/>
  <c r="O88" i="6"/>
  <c r="N88" i="6"/>
  <c r="O87" i="6"/>
  <c r="N87" i="6"/>
  <c r="O82" i="6"/>
  <c r="N82" i="6"/>
  <c r="N66" i="6"/>
  <c r="N52" i="6"/>
  <c r="N71" i="6"/>
  <c r="N72" i="6"/>
  <c r="N12" i="6"/>
  <c r="N11" i="6"/>
  <c r="N26" i="6"/>
  <c r="O26" i="6"/>
  <c r="O105" i="6"/>
  <c r="N105" i="6"/>
  <c r="N100" i="6"/>
  <c r="N97" i="6"/>
  <c r="O95" i="6"/>
  <c r="N95" i="6"/>
  <c r="O73" i="6"/>
  <c r="N73" i="6"/>
  <c r="O106" i="6"/>
  <c r="N106" i="6"/>
  <c r="O85" i="6"/>
  <c r="N85" i="6"/>
  <c r="O84" i="6"/>
  <c r="N84" i="6"/>
  <c r="O86" i="6"/>
  <c r="N86" i="6"/>
  <c r="N57" i="6"/>
  <c r="O55" i="6"/>
  <c r="O59" i="6"/>
  <c r="N59" i="6"/>
  <c r="O51" i="6"/>
  <c r="O49" i="6"/>
  <c r="N49" i="6"/>
  <c r="O74" i="6"/>
  <c r="N74" i="6"/>
  <c r="O10" i="6"/>
  <c r="N10" i="6"/>
  <c r="O28" i="6"/>
  <c r="N28" i="6"/>
  <c r="O20" i="6"/>
  <c r="N20" i="6"/>
  <c r="N21" i="6"/>
  <c r="O21" i="6"/>
  <c r="O27" i="6" l="1"/>
  <c r="N60" i="6"/>
  <c r="N48" i="6"/>
  <c r="O38" i="6"/>
  <c r="M25" i="6" l="1"/>
  <c r="O41" i="6"/>
  <c r="M41" i="6" s="1"/>
  <c r="O37" i="6"/>
  <c r="AC37" i="6"/>
  <c r="N35" i="6"/>
  <c r="O35" i="6"/>
  <c r="O114" i="6" s="1"/>
  <c r="M18" i="6"/>
  <c r="O22" i="6"/>
  <c r="N22" i="6"/>
  <c r="N27" i="6"/>
  <c r="AD19" i="6"/>
  <c r="N30" i="6"/>
  <c r="M12" i="6"/>
  <c r="X110" i="6"/>
  <c r="W110" i="6"/>
  <c r="U110" i="6"/>
  <c r="T110" i="6"/>
  <c r="R110" i="6"/>
  <c r="Q110" i="6"/>
  <c r="O110" i="6"/>
  <c r="N110" i="6"/>
  <c r="L110" i="6"/>
  <c r="K110" i="6"/>
  <c r="X109" i="6"/>
  <c r="W109" i="6"/>
  <c r="U109" i="6"/>
  <c r="T109" i="6"/>
  <c r="R109" i="6"/>
  <c r="Q109" i="6"/>
  <c r="O109" i="6"/>
  <c r="N109" i="6"/>
  <c r="L109" i="6"/>
  <c r="K109" i="6"/>
  <c r="AD108" i="6"/>
  <c r="AC108" i="6"/>
  <c r="AA108" i="6"/>
  <c r="Z108" i="6"/>
  <c r="V108" i="6"/>
  <c r="S108" i="6"/>
  <c r="P108" i="6"/>
  <c r="M108" i="6"/>
  <c r="J108" i="6"/>
  <c r="AD107" i="6"/>
  <c r="AC107" i="6"/>
  <c r="AA107" i="6"/>
  <c r="Z107" i="6"/>
  <c r="V107" i="6"/>
  <c r="V110" i="6" s="1"/>
  <c r="S107" i="6"/>
  <c r="S110" i="6" s="1"/>
  <c r="P107" i="6"/>
  <c r="P110" i="6" s="1"/>
  <c r="M107" i="6"/>
  <c r="M110" i="6" s="1"/>
  <c r="J107" i="6"/>
  <c r="J110" i="6" s="1"/>
  <c r="AA106" i="6"/>
  <c r="Z106" i="6"/>
  <c r="V106" i="6"/>
  <c r="S106" i="6"/>
  <c r="P106" i="6"/>
  <c r="M106" i="6"/>
  <c r="J106" i="6"/>
  <c r="AA105" i="6"/>
  <c r="Z105" i="6"/>
  <c r="V105" i="6"/>
  <c r="S105" i="6"/>
  <c r="P105" i="6"/>
  <c r="M105" i="6"/>
  <c r="J105" i="6"/>
  <c r="AD102" i="6"/>
  <c r="X102" i="6"/>
  <c r="W102" i="6"/>
  <c r="U102" i="6"/>
  <c r="T102" i="6"/>
  <c r="O102" i="6"/>
  <c r="N102" i="6"/>
  <c r="L102" i="6"/>
  <c r="K102" i="6"/>
  <c r="X101" i="6"/>
  <c r="X103" i="6" s="1"/>
  <c r="W101" i="6"/>
  <c r="W103" i="6" s="1"/>
  <c r="U101" i="6"/>
  <c r="U103" i="6" s="1"/>
  <c r="T101" i="6"/>
  <c r="N101" i="6"/>
  <c r="L101" i="6"/>
  <c r="K101" i="6"/>
  <c r="AA100" i="6"/>
  <c r="Z100" i="6"/>
  <c r="V100" i="6"/>
  <c r="S100" i="6"/>
  <c r="P100" i="6"/>
  <c r="M100" i="6"/>
  <c r="J100" i="6"/>
  <c r="AA99" i="6"/>
  <c r="Z99" i="6"/>
  <c r="V99" i="6"/>
  <c r="S99" i="6"/>
  <c r="P99" i="6"/>
  <c r="O99" i="6"/>
  <c r="J99" i="6"/>
  <c r="AD98" i="6"/>
  <c r="AC98" i="6"/>
  <c r="AA98" i="6"/>
  <c r="V98" i="6"/>
  <c r="V102" i="6" s="1"/>
  <c r="S98" i="6"/>
  <c r="R98" i="6"/>
  <c r="R102" i="6" s="1"/>
  <c r="Q98" i="6"/>
  <c r="M98" i="6"/>
  <c r="M102" i="6" s="1"/>
  <c r="J98" i="6"/>
  <c r="J102" i="6" s="1"/>
  <c r="AD97" i="6"/>
  <c r="AC97" i="6"/>
  <c r="V97" i="6"/>
  <c r="S97" i="6"/>
  <c r="R97" i="6"/>
  <c r="AA97" i="6" s="1"/>
  <c r="Q97" i="6"/>
  <c r="Z97" i="6" s="1"/>
  <c r="M97" i="6"/>
  <c r="J97" i="6"/>
  <c r="AD96" i="6"/>
  <c r="AC96" i="6"/>
  <c r="V96" i="6"/>
  <c r="S96" i="6"/>
  <c r="R96" i="6"/>
  <c r="AA96" i="6" s="1"/>
  <c r="Q96" i="6"/>
  <c r="M96" i="6"/>
  <c r="J96" i="6"/>
  <c r="AC95" i="6"/>
  <c r="V95" i="6"/>
  <c r="S95" i="6"/>
  <c r="R95" i="6"/>
  <c r="P95" i="6" s="1"/>
  <c r="Q95" i="6"/>
  <c r="Z95" i="6" s="1"/>
  <c r="AD95" i="6"/>
  <c r="M95" i="6"/>
  <c r="J95" i="6"/>
  <c r="X92" i="6"/>
  <c r="W92" i="6"/>
  <c r="U92" i="6"/>
  <c r="T92" i="6"/>
  <c r="R92" i="6"/>
  <c r="Q92" i="6"/>
  <c r="O92" i="6"/>
  <c r="N92" i="6"/>
  <c r="L92" i="6"/>
  <c r="K92" i="6"/>
  <c r="AA88" i="6"/>
  <c r="Z88" i="6"/>
  <c r="V88" i="6"/>
  <c r="S88" i="6"/>
  <c r="P88" i="6"/>
  <c r="M88" i="6"/>
  <c r="J88" i="6"/>
  <c r="AD87" i="6"/>
  <c r="AC87" i="6"/>
  <c r="AA87" i="6"/>
  <c r="Z87" i="6"/>
  <c r="V87" i="6"/>
  <c r="S87" i="6"/>
  <c r="Y87" i="6" s="1"/>
  <c r="P87" i="6"/>
  <c r="M87" i="6"/>
  <c r="J87" i="6"/>
  <c r="AA86" i="6"/>
  <c r="Z86" i="6"/>
  <c r="V86" i="6"/>
  <c r="S86" i="6"/>
  <c r="P86" i="6"/>
  <c r="M86" i="6"/>
  <c r="J86" i="6"/>
  <c r="AA85" i="6"/>
  <c r="Z85" i="6"/>
  <c r="V85" i="6"/>
  <c r="S85" i="6"/>
  <c r="P85" i="6"/>
  <c r="M85" i="6"/>
  <c r="J85" i="6"/>
  <c r="AD84" i="6"/>
  <c r="AA84" i="6"/>
  <c r="Z84" i="6"/>
  <c r="V84" i="6"/>
  <c r="S84" i="6"/>
  <c r="P84" i="6"/>
  <c r="M84" i="6"/>
  <c r="M92" i="6" s="1"/>
  <c r="J84" i="6"/>
  <c r="AD83" i="6"/>
  <c r="AC83" i="6"/>
  <c r="AA83" i="6"/>
  <c r="Z83" i="6"/>
  <c r="V83" i="6"/>
  <c r="S83" i="6"/>
  <c r="P83" i="6"/>
  <c r="M83" i="6"/>
  <c r="J83" i="6"/>
  <c r="AA82" i="6"/>
  <c r="Z82" i="6"/>
  <c r="V82" i="6"/>
  <c r="S82" i="6"/>
  <c r="P82" i="6"/>
  <c r="M82" i="6"/>
  <c r="J82" i="6"/>
  <c r="AD81" i="6"/>
  <c r="AC81" i="6"/>
  <c r="Z81" i="6"/>
  <c r="V81" i="6"/>
  <c r="S81" i="6"/>
  <c r="R81" i="6"/>
  <c r="P81" i="6" s="1"/>
  <c r="M81" i="6"/>
  <c r="J81" i="6"/>
  <c r="V80" i="6"/>
  <c r="S80" i="6"/>
  <c r="R80" i="6"/>
  <c r="Q80" i="6"/>
  <c r="Z80" i="6" s="1"/>
  <c r="O80" i="6"/>
  <c r="AD80" i="6" s="1"/>
  <c r="N80" i="6"/>
  <c r="J80" i="6"/>
  <c r="V79" i="6"/>
  <c r="S79" i="6"/>
  <c r="R79" i="6"/>
  <c r="Q79" i="6"/>
  <c r="O79" i="6"/>
  <c r="N79" i="6"/>
  <c r="J79" i="6"/>
  <c r="X76" i="6"/>
  <c r="W76" i="6"/>
  <c r="U76" i="6"/>
  <c r="T76" i="6"/>
  <c r="O76" i="6"/>
  <c r="N76" i="6"/>
  <c r="L76" i="6"/>
  <c r="K76" i="6"/>
  <c r="X75" i="6"/>
  <c r="X77" i="6" s="1"/>
  <c r="W75" i="6"/>
  <c r="W77" i="6" s="1"/>
  <c r="U75" i="6"/>
  <c r="U77" i="6" s="1"/>
  <c r="T75" i="6"/>
  <c r="O75" i="6"/>
  <c r="O77" i="6" s="1"/>
  <c r="N75" i="6"/>
  <c r="N77" i="6" s="1"/>
  <c r="L75" i="6"/>
  <c r="K75" i="6"/>
  <c r="K77" i="6" s="1"/>
  <c r="AA74" i="6"/>
  <c r="Z74" i="6"/>
  <c r="S74" i="6"/>
  <c r="P74" i="6"/>
  <c r="M74" i="6"/>
  <c r="J74" i="6"/>
  <c r="AD73" i="6"/>
  <c r="AC73" i="6"/>
  <c r="AA73" i="6"/>
  <c r="Z73" i="6"/>
  <c r="V73" i="6"/>
  <c r="S73" i="6"/>
  <c r="P73" i="6"/>
  <c r="M73" i="6"/>
  <c r="J73" i="6"/>
  <c r="AD72" i="6"/>
  <c r="AC72" i="6"/>
  <c r="V72" i="6"/>
  <c r="V76" i="6" s="1"/>
  <c r="S72" i="6"/>
  <c r="S76" i="6" s="1"/>
  <c r="R72" i="6"/>
  <c r="Q72" i="6"/>
  <c r="Q76" i="6" s="1"/>
  <c r="M72" i="6"/>
  <c r="J72" i="6"/>
  <c r="J76" i="6" s="1"/>
  <c r="AD71" i="6"/>
  <c r="AC71" i="6"/>
  <c r="AA71" i="6"/>
  <c r="Z71" i="6"/>
  <c r="V71" i="6"/>
  <c r="S71" i="6"/>
  <c r="P71" i="6"/>
  <c r="M71" i="6"/>
  <c r="J71" i="6"/>
  <c r="X68" i="6"/>
  <c r="W68" i="6"/>
  <c r="U68" i="6"/>
  <c r="T68" i="6"/>
  <c r="L68" i="6"/>
  <c r="K68" i="6"/>
  <c r="X67" i="6"/>
  <c r="W67" i="6"/>
  <c r="U67" i="6"/>
  <c r="T67" i="6"/>
  <c r="L67" i="6"/>
  <c r="K67" i="6"/>
  <c r="AC66" i="6"/>
  <c r="Z66" i="6"/>
  <c r="V66" i="6"/>
  <c r="S66" i="6"/>
  <c r="R66" i="6"/>
  <c r="O66" i="6"/>
  <c r="J66" i="6"/>
  <c r="AA65" i="6"/>
  <c r="Z65" i="6"/>
  <c r="V65" i="6"/>
  <c r="S65" i="6"/>
  <c r="P65" i="6"/>
  <c r="N65" i="6"/>
  <c r="M65" i="6" s="1"/>
  <c r="J65" i="6"/>
  <c r="Z64" i="6"/>
  <c r="V64" i="6"/>
  <c r="S64" i="6"/>
  <c r="R64" i="6"/>
  <c r="O64" i="6"/>
  <c r="M64" i="6" s="1"/>
  <c r="J64" i="6"/>
  <c r="Z63" i="6"/>
  <c r="V63" i="6"/>
  <c r="S63" i="6"/>
  <c r="R63" i="6"/>
  <c r="AA63" i="6" s="1"/>
  <c r="O63" i="6"/>
  <c r="AD63" i="6" s="1"/>
  <c r="N63" i="6"/>
  <c r="J63" i="6"/>
  <c r="AA62" i="6"/>
  <c r="Z62" i="6"/>
  <c r="V62" i="6"/>
  <c r="S62" i="6"/>
  <c r="P62" i="6"/>
  <c r="O62" i="6"/>
  <c r="N62" i="6"/>
  <c r="J62" i="6"/>
  <c r="AA61" i="6"/>
  <c r="Z61" i="6"/>
  <c r="V61" i="6"/>
  <c r="S61" i="6"/>
  <c r="P61" i="6"/>
  <c r="O61" i="6"/>
  <c r="N61" i="6"/>
  <c r="J61" i="6"/>
  <c r="V60" i="6"/>
  <c r="S60" i="6"/>
  <c r="R60" i="6"/>
  <c r="AA60" i="6" s="1"/>
  <c r="Q60" i="6"/>
  <c r="Z60" i="6" s="1"/>
  <c r="AD60" i="6"/>
  <c r="M60" i="6"/>
  <c r="AB60" i="6" s="1"/>
  <c r="J60" i="6"/>
  <c r="AC59" i="6"/>
  <c r="Z59" i="6"/>
  <c r="V59" i="6"/>
  <c r="S59" i="6"/>
  <c r="R59" i="6"/>
  <c r="AA59" i="6" s="1"/>
  <c r="AD59" i="6"/>
  <c r="M59" i="6"/>
  <c r="J59" i="6"/>
  <c r="AD58" i="6"/>
  <c r="AA58" i="6"/>
  <c r="Z58" i="6"/>
  <c r="V58" i="6"/>
  <c r="S58" i="6"/>
  <c r="P58" i="6"/>
  <c r="M58" i="6"/>
  <c r="J58" i="6"/>
  <c r="V57" i="6"/>
  <c r="S57" i="6"/>
  <c r="R57" i="6"/>
  <c r="AA57" i="6" s="1"/>
  <c r="Q57" i="6"/>
  <c r="Z57" i="6" s="1"/>
  <c r="AD57" i="6"/>
  <c r="J57" i="6"/>
  <c r="AC56" i="6"/>
  <c r="Z56" i="6"/>
  <c r="V56" i="6"/>
  <c r="S56" i="6"/>
  <c r="R56" i="6"/>
  <c r="AA56" i="6" s="1"/>
  <c r="AD56" i="6"/>
  <c r="J56" i="6"/>
  <c r="AD55" i="6"/>
  <c r="AC55" i="6"/>
  <c r="AA55" i="6"/>
  <c r="Z55" i="6"/>
  <c r="V55" i="6"/>
  <c r="S55" i="6"/>
  <c r="AB55" i="6" s="1"/>
  <c r="P55" i="6"/>
  <c r="M55" i="6"/>
  <c r="J55" i="6"/>
  <c r="AC54" i="6"/>
  <c r="Z54" i="6"/>
  <c r="V54" i="6"/>
  <c r="S54" i="6"/>
  <c r="R54" i="6"/>
  <c r="AA54" i="6" s="1"/>
  <c r="AD54" i="6"/>
  <c r="J54" i="6"/>
  <c r="AD53" i="6"/>
  <c r="AC53" i="6"/>
  <c r="AA53" i="6"/>
  <c r="Z53" i="6"/>
  <c r="V53" i="6"/>
  <c r="S53" i="6"/>
  <c r="P53" i="6"/>
  <c r="M53" i="6"/>
  <c r="J53" i="6"/>
  <c r="AD52" i="6"/>
  <c r="AC52" i="6"/>
  <c r="AA52" i="6"/>
  <c r="V52" i="6"/>
  <c r="S52" i="6"/>
  <c r="Q52" i="6"/>
  <c r="Z52" i="6" s="1"/>
  <c r="M52" i="6"/>
  <c r="J52" i="6"/>
  <c r="V51" i="6"/>
  <c r="S51" i="6"/>
  <c r="R51" i="6"/>
  <c r="AA51" i="6" s="1"/>
  <c r="Q51" i="6"/>
  <c r="Z51" i="6" s="1"/>
  <c r="AD51" i="6"/>
  <c r="J51" i="6"/>
  <c r="AC50" i="6"/>
  <c r="Z50" i="6"/>
  <c r="V50" i="6"/>
  <c r="S50" i="6"/>
  <c r="R50" i="6"/>
  <c r="AA50" i="6" s="1"/>
  <c r="O50" i="6"/>
  <c r="AD50" i="6" s="1"/>
  <c r="J50" i="6"/>
  <c r="AD49" i="6"/>
  <c r="V49" i="6"/>
  <c r="S49" i="6"/>
  <c r="R49" i="6"/>
  <c r="AA49" i="6" s="1"/>
  <c r="Q49" i="6"/>
  <c r="Z49" i="6" s="1"/>
  <c r="J49" i="6"/>
  <c r="AC48" i="6"/>
  <c r="V48" i="6"/>
  <c r="S48" i="6"/>
  <c r="R48" i="6"/>
  <c r="AA48" i="6" s="1"/>
  <c r="Q48" i="6"/>
  <c r="O48" i="6"/>
  <c r="J48" i="6"/>
  <c r="X45" i="6"/>
  <c r="W45" i="6"/>
  <c r="U45" i="6"/>
  <c r="T45" i="6"/>
  <c r="L45" i="6"/>
  <c r="K45" i="6"/>
  <c r="X44" i="6"/>
  <c r="W44" i="6"/>
  <c r="U44" i="6"/>
  <c r="T44" i="6"/>
  <c r="L44" i="6"/>
  <c r="K44" i="6"/>
  <c r="AC43" i="6"/>
  <c r="AA43" i="6"/>
  <c r="Z43" i="6"/>
  <c r="V43" i="6"/>
  <c r="S43" i="6"/>
  <c r="P43" i="6"/>
  <c r="M43" i="6"/>
  <c r="J43" i="6"/>
  <c r="AD42" i="6"/>
  <c r="AC42" i="6"/>
  <c r="AA42" i="6"/>
  <c r="Z42" i="6"/>
  <c r="V42" i="6"/>
  <c r="S42" i="6"/>
  <c r="P42" i="6"/>
  <c r="M42" i="6"/>
  <c r="J42" i="6"/>
  <c r="AD41" i="6"/>
  <c r="AA41" i="6"/>
  <c r="Z41" i="6"/>
  <c r="V41" i="6"/>
  <c r="S41" i="6"/>
  <c r="P41" i="6"/>
  <c r="J41" i="6"/>
  <c r="AD40" i="6"/>
  <c r="AC40" i="6"/>
  <c r="AA40" i="6"/>
  <c r="Z40" i="6"/>
  <c r="V40" i="6"/>
  <c r="S40" i="6"/>
  <c r="P40" i="6"/>
  <c r="J40" i="6"/>
  <c r="AD39" i="6"/>
  <c r="AA39" i="6"/>
  <c r="Z39" i="6"/>
  <c r="V39" i="6"/>
  <c r="P39" i="6"/>
  <c r="J39" i="6"/>
  <c r="AD38" i="6"/>
  <c r="V38" i="6"/>
  <c r="S38" i="6"/>
  <c r="R38" i="6"/>
  <c r="R45" i="6" s="1"/>
  <c r="Q38" i="6"/>
  <c r="Q45" i="6" s="1"/>
  <c r="O44" i="6"/>
  <c r="J38" i="6"/>
  <c r="AD37" i="6"/>
  <c r="AA37" i="6"/>
  <c r="V37" i="6"/>
  <c r="S37" i="6"/>
  <c r="Q37" i="6"/>
  <c r="Z37" i="6" s="1"/>
  <c r="M37" i="6"/>
  <c r="J37" i="6"/>
  <c r="AD36" i="6"/>
  <c r="AA36" i="6"/>
  <c r="V36" i="6"/>
  <c r="S36" i="6"/>
  <c r="Q36" i="6"/>
  <c r="N36" i="6"/>
  <c r="J36" i="6"/>
  <c r="AA35" i="6"/>
  <c r="Z35" i="6"/>
  <c r="V35" i="6"/>
  <c r="S35" i="6"/>
  <c r="P35" i="6"/>
  <c r="J35" i="6"/>
  <c r="AD34" i="6"/>
  <c r="AC34" i="6"/>
  <c r="AA34" i="6"/>
  <c r="Z34" i="6"/>
  <c r="V34" i="6"/>
  <c r="S34" i="6"/>
  <c r="AB34" i="6" s="1"/>
  <c r="P34" i="6"/>
  <c r="M34" i="6"/>
  <c r="J34" i="6"/>
  <c r="AD33" i="6"/>
  <c r="AA33" i="6"/>
  <c r="Z33" i="6"/>
  <c r="V33" i="6"/>
  <c r="S33" i="6"/>
  <c r="P33" i="6"/>
  <c r="M33" i="6"/>
  <c r="J33" i="6"/>
  <c r="X30" i="6"/>
  <c r="W30" i="6"/>
  <c r="U30" i="6"/>
  <c r="T30" i="6"/>
  <c r="R30" i="6"/>
  <c r="O30" i="6"/>
  <c r="L30" i="6"/>
  <c r="K30" i="6"/>
  <c r="X29" i="6"/>
  <c r="W29" i="6"/>
  <c r="U29" i="6"/>
  <c r="T29" i="6"/>
  <c r="L29" i="6"/>
  <c r="K29" i="6"/>
  <c r="AA28" i="6"/>
  <c r="Z28" i="6"/>
  <c r="V28" i="6"/>
  <c r="S28" i="6"/>
  <c r="P28" i="6"/>
  <c r="M28" i="6"/>
  <c r="J28" i="6"/>
  <c r="AA27" i="6"/>
  <c r="V27" i="6"/>
  <c r="S27" i="6"/>
  <c r="Q27" i="6"/>
  <c r="Z27" i="6" s="1"/>
  <c r="J27" i="6"/>
  <c r="AD26" i="6"/>
  <c r="AC26" i="6"/>
  <c r="AA26" i="6"/>
  <c r="V26" i="6"/>
  <c r="S26" i="6"/>
  <c r="Q26" i="6"/>
  <c r="M26" i="6"/>
  <c r="J26" i="6"/>
  <c r="Z25" i="6"/>
  <c r="V25" i="6"/>
  <c r="S25" i="6"/>
  <c r="R25" i="6"/>
  <c r="AA25" i="6" s="1"/>
  <c r="J25" i="6"/>
  <c r="AD24" i="6"/>
  <c r="AA24" i="6"/>
  <c r="Z24" i="6"/>
  <c r="V24" i="6"/>
  <c r="S24" i="6"/>
  <c r="P24" i="6"/>
  <c r="M24" i="6"/>
  <c r="J24" i="6"/>
  <c r="AD23" i="6"/>
  <c r="AC23" i="6"/>
  <c r="AA23" i="6"/>
  <c r="Z23" i="6"/>
  <c r="V23" i="6"/>
  <c r="S23" i="6"/>
  <c r="P23" i="6"/>
  <c r="M23" i="6"/>
  <c r="J23" i="6"/>
  <c r="V22" i="6"/>
  <c r="S22" i="6"/>
  <c r="R22" i="6"/>
  <c r="R115" i="6" s="1"/>
  <c r="Q22" i="6"/>
  <c r="Z22" i="6" s="1"/>
  <c r="AC22" i="6"/>
  <c r="J22" i="6"/>
  <c r="AD21" i="6"/>
  <c r="AC21" i="6"/>
  <c r="AA21" i="6"/>
  <c r="Z21" i="6"/>
  <c r="V21" i="6"/>
  <c r="S21" i="6"/>
  <c r="P21" i="6"/>
  <c r="M21" i="6"/>
  <c r="J21" i="6"/>
  <c r="AD20" i="6"/>
  <c r="AA20" i="6"/>
  <c r="Z20" i="6"/>
  <c r="V20" i="6"/>
  <c r="S20" i="6"/>
  <c r="P20" i="6"/>
  <c r="J20" i="6"/>
  <c r="AA19" i="6"/>
  <c r="Z19" i="6"/>
  <c r="V19" i="6"/>
  <c r="S19" i="6"/>
  <c r="P19" i="6"/>
  <c r="M19" i="6"/>
  <c r="J19" i="6"/>
  <c r="AD18" i="6"/>
  <c r="AC18" i="6"/>
  <c r="AA18" i="6"/>
  <c r="Z18" i="6"/>
  <c r="V18" i="6"/>
  <c r="S18" i="6"/>
  <c r="P18" i="6"/>
  <c r="J18" i="6"/>
  <c r="AD17" i="6"/>
  <c r="AC17" i="6"/>
  <c r="AA17" i="6"/>
  <c r="Z17" i="6"/>
  <c r="V17" i="6"/>
  <c r="S17" i="6"/>
  <c r="P17" i="6"/>
  <c r="M17" i="6"/>
  <c r="J17" i="6"/>
  <c r="X14" i="6"/>
  <c r="W14" i="6"/>
  <c r="U14" i="6"/>
  <c r="T14" i="6"/>
  <c r="R14" i="6"/>
  <c r="Q14" i="6"/>
  <c r="O14" i="6"/>
  <c r="N14" i="6"/>
  <c r="L14" i="6"/>
  <c r="L119" i="6" s="1"/>
  <c r="K14" i="6"/>
  <c r="K119" i="6" s="1"/>
  <c r="X13" i="6"/>
  <c r="W13" i="6"/>
  <c r="U13" i="6"/>
  <c r="T13" i="6"/>
  <c r="R13" i="6"/>
  <c r="O13" i="6"/>
  <c r="N13" i="6"/>
  <c r="L13" i="6"/>
  <c r="K13" i="6"/>
  <c r="AA12" i="6"/>
  <c r="Z12" i="6"/>
  <c r="V12" i="6"/>
  <c r="S12" i="6"/>
  <c r="P12" i="6"/>
  <c r="J12" i="6"/>
  <c r="AC11" i="6"/>
  <c r="AA11" i="6"/>
  <c r="Z11" i="6"/>
  <c r="V11" i="6"/>
  <c r="S11" i="6"/>
  <c r="P11" i="6"/>
  <c r="M11" i="6"/>
  <c r="J11" i="6"/>
  <c r="AD10" i="6"/>
  <c r="AC10" i="6"/>
  <c r="AA10" i="6"/>
  <c r="V10" i="6"/>
  <c r="S10" i="6"/>
  <c r="Q10" i="6"/>
  <c r="M10" i="6"/>
  <c r="J10" i="6"/>
  <c r="AD9" i="6"/>
  <c r="AC9" i="6"/>
  <c r="AA9" i="6"/>
  <c r="Z9" i="6"/>
  <c r="V9" i="6"/>
  <c r="S9" i="6"/>
  <c r="P9" i="6"/>
  <c r="M9" i="6"/>
  <c r="J9" i="6"/>
  <c r="J115" i="6" l="1"/>
  <c r="P26" i="6"/>
  <c r="Q114" i="6"/>
  <c r="J91" i="6"/>
  <c r="AA79" i="6"/>
  <c r="R116" i="6"/>
  <c r="AB83" i="6"/>
  <c r="N103" i="6"/>
  <c r="AB43" i="6"/>
  <c r="N91" i="6"/>
  <c r="N116" i="6"/>
  <c r="N114" i="6"/>
  <c r="AD79" i="6"/>
  <c r="O91" i="6"/>
  <c r="O116" i="6"/>
  <c r="N115" i="6"/>
  <c r="P10" i="6"/>
  <c r="P115" i="6" s="1"/>
  <c r="Q115" i="6"/>
  <c r="AA66" i="6"/>
  <c r="R114" i="6"/>
  <c r="Z79" i="6"/>
  <c r="Q116" i="6"/>
  <c r="AD22" i="6"/>
  <c r="O115" i="6"/>
  <c r="T31" i="6"/>
  <c r="W119" i="6"/>
  <c r="S91" i="6"/>
  <c r="AB18" i="6"/>
  <c r="X119" i="6"/>
  <c r="O111" i="6"/>
  <c r="M76" i="6"/>
  <c r="V116" i="6"/>
  <c r="S116" i="6"/>
  <c r="V91" i="6"/>
  <c r="V93" i="6" s="1"/>
  <c r="S114" i="6"/>
  <c r="V114" i="6"/>
  <c r="V115" i="6"/>
  <c r="U119" i="6"/>
  <c r="T119" i="6"/>
  <c r="S115" i="6"/>
  <c r="Y18" i="6"/>
  <c r="S45" i="6"/>
  <c r="X15" i="6"/>
  <c r="AC19" i="6"/>
  <c r="Y23" i="6"/>
  <c r="Y28" i="6"/>
  <c r="J45" i="6"/>
  <c r="V45" i="6"/>
  <c r="N67" i="6"/>
  <c r="L69" i="6"/>
  <c r="X69" i="6"/>
  <c r="AD76" i="6"/>
  <c r="S92" i="6"/>
  <c r="AB92" i="6" s="1"/>
  <c r="Y85" i="6"/>
  <c r="AB97" i="6"/>
  <c r="L103" i="6"/>
  <c r="Y39" i="6"/>
  <c r="Y86" i="6"/>
  <c r="L113" i="6"/>
  <c r="P27" i="6"/>
  <c r="P30" i="6" s="1"/>
  <c r="K31" i="6"/>
  <c r="J92" i="6"/>
  <c r="P109" i="6"/>
  <c r="P111" i="6" s="1"/>
  <c r="N111" i="6"/>
  <c r="J114" i="6"/>
  <c r="Q44" i="6"/>
  <c r="Z44" i="6" s="1"/>
  <c r="O68" i="6"/>
  <c r="P50" i="6"/>
  <c r="Y50" i="6" s="1"/>
  <c r="Z14" i="6"/>
  <c r="Q29" i="6"/>
  <c r="Z29" i="6" s="1"/>
  <c r="Y34" i="6"/>
  <c r="P59" i="6"/>
  <c r="Y59" i="6" s="1"/>
  <c r="V75" i="6"/>
  <c r="V77" i="6" s="1"/>
  <c r="Y74" i="6"/>
  <c r="AC76" i="6"/>
  <c r="K103" i="6"/>
  <c r="M50" i="6"/>
  <c r="AB50" i="6" s="1"/>
  <c r="P60" i="6"/>
  <c r="Y60" i="6" s="1"/>
  <c r="P63" i="6"/>
  <c r="Y63" i="6" s="1"/>
  <c r="M66" i="6"/>
  <c r="AB66" i="6" s="1"/>
  <c r="L111" i="6"/>
  <c r="R111" i="6"/>
  <c r="X111" i="6"/>
  <c r="V101" i="6"/>
  <c r="V103" i="6" s="1"/>
  <c r="Y106" i="6"/>
  <c r="Y108" i="6"/>
  <c r="AB72" i="6"/>
  <c r="M14" i="6"/>
  <c r="S30" i="6"/>
  <c r="S13" i="6"/>
  <c r="V92" i="6"/>
  <c r="T113" i="6"/>
  <c r="U15" i="6"/>
  <c r="Y19" i="6"/>
  <c r="Y20" i="6"/>
  <c r="Y21" i="6"/>
  <c r="L31" i="6"/>
  <c r="AA30" i="6"/>
  <c r="P37" i="6"/>
  <c r="Y37" i="6" s="1"/>
  <c r="Y40" i="6"/>
  <c r="Y41" i="6"/>
  <c r="Y42" i="6"/>
  <c r="L46" i="6"/>
  <c r="J67" i="6"/>
  <c r="P52" i="6"/>
  <c r="Y52" i="6" s="1"/>
  <c r="P54" i="6"/>
  <c r="Y54" i="6" s="1"/>
  <c r="P56" i="6"/>
  <c r="M61" i="6"/>
  <c r="M62" i="6"/>
  <c r="P66" i="6"/>
  <c r="Y66" i="6" s="1"/>
  <c r="K69" i="6"/>
  <c r="Z76" i="6"/>
  <c r="Z72" i="6"/>
  <c r="J116" i="6"/>
  <c r="L77" i="6"/>
  <c r="AC75" i="6"/>
  <c r="P80" i="6"/>
  <c r="Y81" i="6"/>
  <c r="Y82" i="6"/>
  <c r="Y83" i="6"/>
  <c r="AB87" i="6"/>
  <c r="K93" i="6"/>
  <c r="W93" i="6"/>
  <c r="T103" i="6"/>
  <c r="AC101" i="6"/>
  <c r="AA110" i="6"/>
  <c r="AB12" i="6"/>
  <c r="Q46" i="6"/>
  <c r="Z38" i="6"/>
  <c r="AB25" i="6"/>
  <c r="Y11" i="6"/>
  <c r="Y12" i="6"/>
  <c r="R15" i="6"/>
  <c r="Y24" i="6"/>
  <c r="AB24" i="6"/>
  <c r="Y35" i="6"/>
  <c r="Y53" i="6"/>
  <c r="AB53" i="6"/>
  <c r="M54" i="6"/>
  <c r="M56" i="6"/>
  <c r="AB56" i="6" s="1"/>
  <c r="Y56" i="6"/>
  <c r="M75" i="6"/>
  <c r="M77" i="6" s="1"/>
  <c r="J93" i="6"/>
  <c r="P92" i="6"/>
  <c r="Y92" i="6" s="1"/>
  <c r="AC92" i="6"/>
  <c r="J109" i="6"/>
  <c r="J111" i="6" s="1"/>
  <c r="V109" i="6"/>
  <c r="V111" i="6" s="1"/>
  <c r="AD109" i="6"/>
  <c r="Y10" i="6"/>
  <c r="AB11" i="6"/>
  <c r="J29" i="6"/>
  <c r="J30" i="6"/>
  <c r="Y26" i="6"/>
  <c r="P49" i="6"/>
  <c r="Y49" i="6" s="1"/>
  <c r="AB58" i="6"/>
  <c r="Y61" i="6"/>
  <c r="Y62" i="6"/>
  <c r="AD66" i="6"/>
  <c r="U69" i="6"/>
  <c r="Q75" i="6"/>
  <c r="Q77" i="6" s="1"/>
  <c r="L93" i="6"/>
  <c r="X93" i="6"/>
  <c r="AD92" i="6"/>
  <c r="Y99" i="6"/>
  <c r="Y100" i="6"/>
  <c r="M109" i="6"/>
  <c r="M111" i="6" s="1"/>
  <c r="K111" i="6"/>
  <c r="Q111" i="6"/>
  <c r="W111" i="6"/>
  <c r="Z110" i="6"/>
  <c r="AB33" i="6"/>
  <c r="AD30" i="6"/>
  <c r="Y17" i="6"/>
  <c r="AD13" i="6"/>
  <c r="AC14" i="6"/>
  <c r="AB9" i="6"/>
  <c r="S14" i="6"/>
  <c r="Y84" i="6"/>
  <c r="S109" i="6"/>
  <c r="S111" i="6" s="1"/>
  <c r="AB107" i="6"/>
  <c r="AC110" i="6"/>
  <c r="T111" i="6"/>
  <c r="Z111" i="6" s="1"/>
  <c r="AD114" i="6"/>
  <c r="AB41" i="6"/>
  <c r="M40" i="6"/>
  <c r="AB40" i="6" s="1"/>
  <c r="M39" i="6"/>
  <c r="AB39" i="6" s="1"/>
  <c r="AC39" i="6"/>
  <c r="AB37" i="6"/>
  <c r="X46" i="6"/>
  <c r="M35" i="6"/>
  <c r="N45" i="6"/>
  <c r="AC45" i="6" s="1"/>
  <c r="M20" i="6"/>
  <c r="AB20" i="6" s="1"/>
  <c r="AC20" i="6"/>
  <c r="M27" i="6"/>
  <c r="M30" i="6" s="1"/>
  <c r="X31" i="6"/>
  <c r="AB26" i="6"/>
  <c r="AB21" i="6"/>
  <c r="X113" i="6"/>
  <c r="V29" i="6"/>
  <c r="V30" i="6"/>
  <c r="W31" i="6"/>
  <c r="AC12" i="6"/>
  <c r="AC114" i="6"/>
  <c r="M48" i="6"/>
  <c r="AB48" i="6" s="1"/>
  <c r="V13" i="6"/>
  <c r="AC49" i="6"/>
  <c r="M49" i="6"/>
  <c r="AB49" i="6" s="1"/>
  <c r="Y9" i="6"/>
  <c r="AC115" i="6"/>
  <c r="AB10" i="6"/>
  <c r="K113" i="6"/>
  <c r="W113" i="6"/>
  <c r="AA13" i="6"/>
  <c r="J14" i="6"/>
  <c r="V14" i="6"/>
  <c r="AD14" i="6"/>
  <c r="AB19" i="6"/>
  <c r="AD115" i="6"/>
  <c r="AA22" i="6"/>
  <c r="AB23" i="6"/>
  <c r="P25" i="6"/>
  <c r="Y25" i="6" s="1"/>
  <c r="AD25" i="6"/>
  <c r="Z114" i="6"/>
  <c r="Z26" i="6"/>
  <c r="N29" i="6"/>
  <c r="R29" i="6"/>
  <c r="R31" i="6" s="1"/>
  <c r="Q30" i="6"/>
  <c r="Q31" i="6" s="1"/>
  <c r="Z31" i="6" s="1"/>
  <c r="AC30" i="6"/>
  <c r="Y33" i="6"/>
  <c r="M36" i="6"/>
  <c r="AB36" i="6" s="1"/>
  <c r="AA38" i="6"/>
  <c r="AB42" i="6"/>
  <c r="Y43" i="6"/>
  <c r="N44" i="6"/>
  <c r="U46" i="6"/>
  <c r="R67" i="6"/>
  <c r="AA67" i="6" s="1"/>
  <c r="AB52" i="6"/>
  <c r="Y58" i="6"/>
  <c r="AA64" i="6"/>
  <c r="P64" i="6"/>
  <c r="W69" i="6"/>
  <c r="P13" i="6"/>
  <c r="S29" i="6"/>
  <c r="U31" i="6"/>
  <c r="V44" i="6"/>
  <c r="V46" i="6" s="1"/>
  <c r="AC51" i="6"/>
  <c r="M51" i="6"/>
  <c r="AB51" i="6" s="1"/>
  <c r="AB54" i="6"/>
  <c r="AC57" i="6"/>
  <c r="M57" i="6"/>
  <c r="AB57" i="6" s="1"/>
  <c r="AB59" i="6"/>
  <c r="Y64" i="6"/>
  <c r="Y71" i="6"/>
  <c r="AB71" i="6"/>
  <c r="S75" i="6"/>
  <c r="AA14" i="6"/>
  <c r="N15" i="6"/>
  <c r="P22" i="6"/>
  <c r="Y22" i="6" s="1"/>
  <c r="O29" i="6"/>
  <c r="O31" i="6" s="1"/>
  <c r="P38" i="6"/>
  <c r="Y38" i="6" s="1"/>
  <c r="J44" i="6"/>
  <c r="J46" i="6" s="1"/>
  <c r="Z45" i="6"/>
  <c r="T46" i="6"/>
  <c r="S67" i="6"/>
  <c r="Z10" i="6"/>
  <c r="M13" i="6"/>
  <c r="Q13" i="6"/>
  <c r="U113" i="6"/>
  <c r="AC13" i="6"/>
  <c r="P14" i="6"/>
  <c r="K15" i="6"/>
  <c r="O15" i="6"/>
  <c r="W15" i="6"/>
  <c r="AB17" i="6"/>
  <c r="M22" i="6"/>
  <c r="AB22" i="6" s="1"/>
  <c r="S44" i="6"/>
  <c r="P36" i="6"/>
  <c r="Y36" i="6" s="1"/>
  <c r="AC36" i="6"/>
  <c r="M38" i="6"/>
  <c r="AB38" i="6" s="1"/>
  <c r="AC38" i="6"/>
  <c r="K46" i="6"/>
  <c r="R44" i="6"/>
  <c r="R46" i="6" s="1"/>
  <c r="W46" i="6"/>
  <c r="AD44" i="6"/>
  <c r="O45" i="6"/>
  <c r="AA45" i="6"/>
  <c r="AD48" i="6"/>
  <c r="O67" i="6"/>
  <c r="V67" i="6"/>
  <c r="Y55" i="6"/>
  <c r="M63" i="6"/>
  <c r="Y65" i="6"/>
  <c r="T69" i="6"/>
  <c r="AC67" i="6"/>
  <c r="S68" i="6"/>
  <c r="J75" i="6"/>
  <c r="J77" i="6" s="1"/>
  <c r="R76" i="6"/>
  <c r="AA76" i="6" s="1"/>
  <c r="P72" i="6"/>
  <c r="P76" i="6" s="1"/>
  <c r="Y76" i="6" s="1"/>
  <c r="AA72" i="6"/>
  <c r="R75" i="6"/>
  <c r="AD77" i="6"/>
  <c r="J13" i="6"/>
  <c r="L15" i="6"/>
  <c r="L120" i="6" s="1"/>
  <c r="T15" i="6"/>
  <c r="Z36" i="6"/>
  <c r="Q68" i="6"/>
  <c r="Z68" i="6" s="1"/>
  <c r="Q67" i="6"/>
  <c r="Z67" i="6" s="1"/>
  <c r="Z48" i="6"/>
  <c r="P48" i="6"/>
  <c r="Y48" i="6" s="1"/>
  <c r="P51" i="6"/>
  <c r="Y51" i="6" s="1"/>
  <c r="P57" i="6"/>
  <c r="Y57" i="6" s="1"/>
  <c r="AB76" i="6"/>
  <c r="J68" i="6"/>
  <c r="J69" i="6" s="1"/>
  <c r="N68" i="6"/>
  <c r="AC68" i="6" s="1"/>
  <c r="R68" i="6"/>
  <c r="AA68" i="6" s="1"/>
  <c r="V68" i="6"/>
  <c r="M79" i="6"/>
  <c r="AA116" i="6"/>
  <c r="Y88" i="6"/>
  <c r="R91" i="6"/>
  <c r="R93" i="6" s="1"/>
  <c r="J101" i="6"/>
  <c r="J103" i="6" s="1"/>
  <c r="Q101" i="6"/>
  <c r="Z101" i="6" s="1"/>
  <c r="S101" i="6"/>
  <c r="AB96" i="6"/>
  <c r="P97" i="6"/>
  <c r="M99" i="6"/>
  <c r="M101" i="6" s="1"/>
  <c r="M103" i="6" s="1"/>
  <c r="O101" i="6"/>
  <c r="O103" i="6" s="1"/>
  <c r="AD103" i="6" s="1"/>
  <c r="AC103" i="6"/>
  <c r="AB79" i="6"/>
  <c r="AC80" i="6"/>
  <c r="M80" i="6"/>
  <c r="AB80" i="6" s="1"/>
  <c r="AA80" i="6"/>
  <c r="N93" i="6"/>
  <c r="AA95" i="6"/>
  <c r="R101" i="6"/>
  <c r="R103" i="6" s="1"/>
  <c r="AA103" i="6" s="1"/>
  <c r="AB95" i="6"/>
  <c r="S102" i="6"/>
  <c r="AB98" i="6"/>
  <c r="Y110" i="6"/>
  <c r="AB110" i="6"/>
  <c r="AA114" i="6"/>
  <c r="AB73" i="6"/>
  <c r="T77" i="6"/>
  <c r="AD116" i="6"/>
  <c r="AC79" i="6"/>
  <c r="Y80" i="6"/>
  <c r="AA81" i="6"/>
  <c r="U93" i="6"/>
  <c r="Z92" i="6"/>
  <c r="T93" i="6"/>
  <c r="Z96" i="6"/>
  <c r="P96" i="6"/>
  <c r="Y96" i="6" s="1"/>
  <c r="AA102" i="6"/>
  <c r="Z115" i="6"/>
  <c r="Y73" i="6"/>
  <c r="AD75" i="6"/>
  <c r="P79" i="6"/>
  <c r="P116" i="6" s="1"/>
  <c r="Z116" i="6"/>
  <c r="AB81" i="6"/>
  <c r="AB84" i="6"/>
  <c r="Q91" i="6"/>
  <c r="Q93" i="6" s="1"/>
  <c r="AA92" i="6"/>
  <c r="Y95" i="6"/>
  <c r="Y97" i="6"/>
  <c r="P98" i="6"/>
  <c r="P102" i="6" s="1"/>
  <c r="Q102" i="6"/>
  <c r="Z102" i="6" s="1"/>
  <c r="Z98" i="6"/>
  <c r="AA115" i="6"/>
  <c r="AC102" i="6"/>
  <c r="Y105" i="6"/>
  <c r="AB108" i="6"/>
  <c r="AA109" i="6"/>
  <c r="AD110" i="6"/>
  <c r="U111" i="6"/>
  <c r="AC116" i="6"/>
  <c r="Y107" i="6"/>
  <c r="AC109" i="6"/>
  <c r="Z109" i="6"/>
  <c r="R119" i="6" l="1"/>
  <c r="Q119" i="6"/>
  <c r="Z119" i="6" s="1"/>
  <c r="K120" i="6"/>
  <c r="P119" i="6"/>
  <c r="AB14" i="6"/>
  <c r="Y27" i="6"/>
  <c r="O119" i="6"/>
  <c r="M114" i="6"/>
  <c r="M91" i="6"/>
  <c r="M116" i="6"/>
  <c r="AB116" i="6" s="1"/>
  <c r="P114" i="6"/>
  <c r="Y109" i="6"/>
  <c r="AD68" i="6"/>
  <c r="N119" i="6"/>
  <c r="AC119" i="6" s="1"/>
  <c r="V119" i="6"/>
  <c r="M115" i="6"/>
  <c r="AB115" i="6" s="1"/>
  <c r="U120" i="6"/>
  <c r="X120" i="6"/>
  <c r="W120" i="6"/>
  <c r="T120" i="6"/>
  <c r="S119" i="6"/>
  <c r="Y30" i="6"/>
  <c r="AB30" i="6"/>
  <c r="AB13" i="6"/>
  <c r="S15" i="6"/>
  <c r="P91" i="6"/>
  <c r="P93" i="6" s="1"/>
  <c r="Z75" i="6"/>
  <c r="N46" i="6"/>
  <c r="AC111" i="6"/>
  <c r="J31" i="6"/>
  <c r="AA101" i="6"/>
  <c r="AA15" i="6"/>
  <c r="AB109" i="6"/>
  <c r="AC91" i="6"/>
  <c r="AD119" i="6"/>
  <c r="M68" i="6"/>
  <c r="AB68" i="6" s="1"/>
  <c r="AD45" i="6"/>
  <c r="P101" i="6"/>
  <c r="P103" i="6" s="1"/>
  <c r="AA91" i="6"/>
  <c r="AB63" i="6"/>
  <c r="Z30" i="6"/>
  <c r="J119" i="6"/>
  <c r="N113" i="6"/>
  <c r="AC113" i="6" s="1"/>
  <c r="AC44" i="6"/>
  <c r="M29" i="6"/>
  <c r="M31" i="6" s="1"/>
  <c r="V31" i="6"/>
  <c r="V69" i="6"/>
  <c r="P68" i="6"/>
  <c r="Y68" i="6" s="1"/>
  <c r="P67" i="6"/>
  <c r="Y67" i="6" s="1"/>
  <c r="AD67" i="6"/>
  <c r="O69" i="6"/>
  <c r="AD69" i="6" s="1"/>
  <c r="Y98" i="6"/>
  <c r="Z91" i="6"/>
  <c r="Y79" i="6"/>
  <c r="M93" i="6"/>
  <c r="Y72" i="6"/>
  <c r="AC15" i="6"/>
  <c r="R113" i="6"/>
  <c r="AA113" i="6" s="1"/>
  <c r="R77" i="6"/>
  <c r="AA77" i="6" s="1"/>
  <c r="AA75" i="6"/>
  <c r="S46" i="6"/>
  <c r="S69" i="6"/>
  <c r="P15" i="6"/>
  <c r="AA46" i="6"/>
  <c r="AA119" i="6"/>
  <c r="N69" i="6"/>
  <c r="AC69" i="6" s="1"/>
  <c r="M45" i="6"/>
  <c r="AB45" i="6" s="1"/>
  <c r="AA29" i="6"/>
  <c r="AC93" i="6"/>
  <c r="Z93" i="6"/>
  <c r="S103" i="6"/>
  <c r="AB101" i="6"/>
  <c r="Q103" i="6"/>
  <c r="Z103" i="6" s="1"/>
  <c r="Y116" i="6"/>
  <c r="AA111" i="6"/>
  <c r="AD111" i="6"/>
  <c r="AB111" i="6"/>
  <c r="Y111" i="6"/>
  <c r="AA93" i="6"/>
  <c r="Z77" i="6"/>
  <c r="AC77" i="6"/>
  <c r="AA44" i="6"/>
  <c r="S93" i="6"/>
  <c r="Q69" i="6"/>
  <c r="Z69" i="6" s="1"/>
  <c r="J113" i="6"/>
  <c r="J15" i="6"/>
  <c r="J120" i="6" s="1"/>
  <c r="Y14" i="6"/>
  <c r="Q113" i="6"/>
  <c r="Z113" i="6" s="1"/>
  <c r="Q15" i="6"/>
  <c r="Z13" i="6"/>
  <c r="AC46" i="6"/>
  <c r="Z46" i="6"/>
  <c r="P45" i="6"/>
  <c r="Y45" i="6" s="1"/>
  <c r="Y114" i="6"/>
  <c r="N31" i="6"/>
  <c r="AC31" i="6" s="1"/>
  <c r="AC29" i="6"/>
  <c r="O113" i="6"/>
  <c r="AD113" i="6" s="1"/>
  <c r="Y13" i="6"/>
  <c r="M67" i="6"/>
  <c r="P29" i="6"/>
  <c r="P31" i="6" s="1"/>
  <c r="AD15" i="6"/>
  <c r="M15" i="6"/>
  <c r="S77" i="6"/>
  <c r="AB75" i="6"/>
  <c r="AA31" i="6"/>
  <c r="AD31" i="6"/>
  <c r="Y115" i="6"/>
  <c r="P75" i="6"/>
  <c r="P77" i="6" s="1"/>
  <c r="R69" i="6"/>
  <c r="AA69" i="6" s="1"/>
  <c r="O46" i="6"/>
  <c r="M44" i="6"/>
  <c r="AB44" i="6" s="1"/>
  <c r="AD29" i="6"/>
  <c r="V113" i="6"/>
  <c r="V15" i="6"/>
  <c r="AB102" i="6"/>
  <c r="Y102" i="6"/>
  <c r="AD101" i="6"/>
  <c r="O93" i="6"/>
  <c r="AD93" i="6" s="1"/>
  <c r="AD91" i="6"/>
  <c r="P44" i="6"/>
  <c r="Y44" i="6" s="1"/>
  <c r="S31" i="6"/>
  <c r="AB114" i="6"/>
  <c r="S113" i="6"/>
  <c r="R120" i="6" l="1"/>
  <c r="AA120" i="6" s="1"/>
  <c r="Q120" i="6"/>
  <c r="Y29" i="6"/>
  <c r="Z120" i="6"/>
  <c r="M69" i="6"/>
  <c r="AB69" i="6" s="1"/>
  <c r="M119" i="6"/>
  <c r="AB119" i="6" s="1"/>
  <c r="N120" i="6"/>
  <c r="AC120" i="6" s="1"/>
  <c r="O120" i="6"/>
  <c r="AD120" i="6" s="1"/>
  <c r="V120" i="6"/>
  <c r="S120" i="6"/>
  <c r="AB15" i="6"/>
  <c r="Y15" i="6"/>
  <c r="Y91" i="6"/>
  <c r="Y101" i="6"/>
  <c r="AB91" i="6"/>
  <c r="AB29" i="6"/>
  <c r="M113" i="6"/>
  <c r="AB113" i="6" s="1"/>
  <c r="Y31" i="6"/>
  <c r="AB31" i="6"/>
  <c r="Y77" i="6"/>
  <c r="AB77" i="6"/>
  <c r="Y103" i="6"/>
  <c r="AB103" i="6"/>
  <c r="AD46" i="6"/>
  <c r="P46" i="6"/>
  <c r="Y46" i="6" s="1"/>
  <c r="Y119" i="6"/>
  <c r="AB67" i="6"/>
  <c r="Y93" i="6"/>
  <c r="AB93" i="6"/>
  <c r="Z15" i="6"/>
  <c r="M46" i="6"/>
  <c r="AB46" i="6" s="1"/>
  <c r="Y75" i="6"/>
  <c r="P113" i="6"/>
  <c r="Y113" i="6" s="1"/>
  <c r="P69" i="6"/>
  <c r="Y69" i="6" s="1"/>
  <c r="P120" i="6" l="1"/>
  <c r="Y120" i="6" s="1"/>
  <c r="M120" i="6"/>
  <c r="AB120" i="6" s="1"/>
</calcChain>
</file>

<file path=xl/sharedStrings.xml><?xml version="1.0" encoding="utf-8"?>
<sst xmlns="http://schemas.openxmlformats.org/spreadsheetml/2006/main" count="1132" uniqueCount="370">
  <si>
    <t>Տ Ե Ղ Ե Կ Ա Ն Ք</t>
  </si>
  <si>
    <t xml:space="preserve">ՀՀ պետական բյուջեով օտարերկրյա պետությունների և միջազգային վարկատու կազմակերպությունների կողմից տրամադրված վարկային և դրամաշնորհային միջոցների հաշվին իրականացվող ծրագրերի վերաբերյալ </t>
  </si>
  <si>
    <t>Հ/Հ</t>
  </si>
  <si>
    <t>Ծրագիր</t>
  </si>
  <si>
    <t>Միջոցառում</t>
  </si>
  <si>
    <t>Ծրագրի/միջոցառման անվանումը, ֆինանսավորող կազմակերպությունը</t>
  </si>
  <si>
    <t>Վարկի/ դրամաշնորհի չափը (համապատասխան արժույթով)</t>
  </si>
  <si>
    <t>Ծրագիրն իրականացնող մարմինը, ծրագրի սկիզբը և ավարտը</t>
  </si>
  <si>
    <t>Ծրագրի նպատակը և նկարագիրը</t>
  </si>
  <si>
    <t>Ծրագրի ընթացքը</t>
  </si>
  <si>
    <t>Չկատարման պատճառները</t>
  </si>
  <si>
    <t>Ընդամենը</t>
  </si>
  <si>
    <t>Վարկ/Դրամաշնորհ</t>
  </si>
  <si>
    <t>ՀՀ պետ.բյուջե</t>
  </si>
  <si>
    <t xml:space="preserve">Ընդամենը 1019 Ծրագրով, որից՝ </t>
  </si>
  <si>
    <t>ԸՆԹԱՑԻԿ ԾԱԽՍԵՐ</t>
  </si>
  <si>
    <t xml:space="preserve"> ԿԱՊԻՏԱԼ ԾԱԽՍԵՐ </t>
  </si>
  <si>
    <t xml:space="preserve">Ընդամենը 1004 Ծրագրով, որից՝ </t>
  </si>
  <si>
    <t xml:space="preserve">Ընդամենը 1072 Ծրագրով, որից՝ </t>
  </si>
  <si>
    <t>Կոշտ թափոնների կառավարում - 4 միջոցառում</t>
  </si>
  <si>
    <t xml:space="preserve">Ընդամենը 1040 Ծրագրով, որից՝ </t>
  </si>
  <si>
    <t xml:space="preserve">Ընդամենը 1157 Ծրագրով, որից՝ </t>
  </si>
  <si>
    <t xml:space="preserve">Ընդամենը 1167 Ծրագրով, որից՝ </t>
  </si>
  <si>
    <t xml:space="preserve">Ընդամենը 1232 Ծրագրով, որից՝ </t>
  </si>
  <si>
    <t>Ը Ն Դ Ա Մ Ե Ն Ը,   որից՝</t>
  </si>
  <si>
    <t>Վ Ա Ր Կ Ա Յ Ի Ն   Ծ Ր Ա Գ Ր Ե Ր,   այդ թվում՝</t>
  </si>
  <si>
    <t>Դ Ր Ա Մ Ա Շ Ն Ո Ր Հ Ա Յ Ի Ն   Ծ Ր Ա Գ Ր Ե Ր՝</t>
  </si>
  <si>
    <t>Վ Ա Ր Կ Ա Յ Ի Ն   Ծ Ր Ա Գ Ր Ե Ր   (Դ Ե Ֆ Ի Ց Ի Տ)</t>
  </si>
  <si>
    <t>Ընդամենը բոլոր ծրագրերից՝</t>
  </si>
  <si>
    <t xml:space="preserve"> ԿԱՊԻՏԱԼ ԾԱԽՍԵՐ 
</t>
  </si>
  <si>
    <t xml:space="preserve"> Ֆրանսիայի Հանրապետության կառավարության աջակցությամբ իրականացվող Վեդու ջրամբարի  և ոռոգման համակարգի կառուցում</t>
  </si>
  <si>
    <t xml:space="preserve"> Գերմանիայի զարգացման վարկերի բանկի աջակցությամբ իրականացվող Ախուրյան գետի ջրային ռեսուրսների ինտեգրված կառավարման ծրագրի շրջանակներում ջրային տնտեսության ենթակառուցվածքների հիմնանորոգում</t>
  </si>
  <si>
    <t>Գերմանիայի զարգացման վարկերի բանկի աջակցությամբ իրականացվող Ախուրյան գետի ջրային ռեսուրսների ինտեգրացված կառավարում փուլ 1 ծրագրով Ջրաձոր գյուղի վերաբնակեցման գործողությունների խորհրդատվություն և կառավարում</t>
  </si>
  <si>
    <t>Գերմանիայի զարգացման բանկի աջակցությամբ իրականացվող Ախուրյան գետի ջրային ռեսուրսների ինտեգրված կառավարման փուլ 1 ծրագրով Ջրաձոր գյուղի վերաբնակեցման համար   ենթակառուցվածքների և բնակելի տների կառուցում</t>
  </si>
  <si>
    <t>Գերմանիայի զարգացման վարկերի բանկի աջակցությամբ իրականացվող Ախուրյան գետի ջրային ռեսուրսների ինտեգրացված կառավարման դրամաշնորհային ծրագիր</t>
  </si>
  <si>
    <t xml:space="preserve"> Գերմանիայի զարգացման վարկերի բանկի աջակցությամբ իրականացվող Լոռու (Վանաձորի) մարզի ջրամատակարարման և ջրահեռացման համակարգերի վերականգնման ծրագիր՛ երկրորդ փուլ</t>
  </si>
  <si>
    <t>Ասիական զարգացման բանկի աջակցությամբ իրականացվող Հայաստան-Վրաստան սահմանային տարածաշրջանային ճանապարհի (Մ6 Վանաձոր-Բագրատաշեն) բարելավման ծրագրի համակարգում և կառավարում</t>
  </si>
  <si>
    <t xml:space="preserve"> Ասիական զարգացման բանկի աջակցությամբ իրականացվող Հյուսիս-հարավ միջանցքի զարգացման վարկային ծրագիր, Տրանշ 3</t>
  </si>
  <si>
    <t xml:space="preserve"> Հյուսիս-հարավ ճանապարհային միջանցքի զարգացման ծրագրի Սիսիան-Քաջարան 60կմ-ի համակարգում և կառավարում</t>
  </si>
  <si>
    <t xml:space="preserve"> Վերակառուցման և զարգացման եվրոպական բանկի աջակցությամբ իրականացվող «Կոտայքի և Գեղարքունիքի մարզի կոշտ թափոնների կառավարման խորհրդատվության համար» դրամաշնորհային  ծրագիր</t>
  </si>
  <si>
    <t>Վերակառուցման և զարգացման եվրոպական բանկի աջակցությամբ իրականացվող «Կոտայքի և Գեղարքունիքի մարզի կոշտ թափոնների կառավարման» դրամաշնորհային ծրագիր</t>
  </si>
  <si>
    <t xml:space="preserve">Վերակառուցման և զարգացման եվրոպական բանկի աջակցությամբ իրականացվող Կոտայքի և Գեղարքունիքի մարզերի կոշտ թափոնների կառավարման ծրագրի շրջանակներում ենթավարկի տրամադրում «Կոտայքի և Գեղարքունիքի Կոշտ կենցաղային թափոնների կառավարում» ՍՊԸ-ին </t>
  </si>
  <si>
    <t xml:space="preserve">Վերակառուցման և զարգացման եվրոպական բանկի աջակցությամբ իրականացվող Երևանի քաղաքային լուսավորության ծրագրի շրջանակներում ենթավարկի տրամադրում «Երքաղլույս» ՓԲԸ-ին </t>
  </si>
  <si>
    <t xml:space="preserve">Եվրոպական  ներդրումային բանկի աջակցությամբ իրականացվող Երևանի մետրոպոլիտենի վերակառուցման երկրորդ ծրագրի շրջանակներում ենթավարկի տրամադրում «Երևանի մետրոպոլիտեն» ՓԲԸ-ին </t>
  </si>
  <si>
    <t xml:space="preserve"> 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ծրագրի կատարման ապահովում</t>
  </si>
  <si>
    <t xml:space="preserve"> Վերակառուցման և զարգացման եվրոպական բանկի աջակցությամբ իրականացվող Գյումրու քաղաքային ճանապարհների դրամաշնորհային ծրագիր (Տրանշ Ա, Բ, Գ)</t>
  </si>
  <si>
    <t>Գերմանիայի զարգացման վարկերի բանկի (KFW) աջակցությամբ իրականացվող Կովկասյան էլեկտրահաղորդման ցանց I Հայաստան-Վրաստան հաղորդիչ գիծ/ենթակայանների դրամաշնորհային ծրագրի շրջանակներում իրականացվող ներդրումներ</t>
  </si>
  <si>
    <t xml:space="preserve">Վերակառուցման և զարգացման միջազգային բանկի աջակցությամբ իրականացվող էլեկտրամատակարարման հուսալիության ծրագրի լրացուցիչ ֆինանսավորման ծրագրի շրջանակներում ենթավարկի տրամադրում «Բարձրավոլտ էլեկտրացանցեր»  ՓԲԸ-ին </t>
  </si>
  <si>
    <t>Վերակառուցման և զարգացման միջազգային բանկի աջակցությամբ իրականացվող «Աշնակ»
 և «Արարատ 2» ենթակայանների վերակառուցման ծրագրի շրջանակներում ենթավարկի տրամադրում «Բարձրավոլտ էլեկտրացանցեր» ՓԲԸ- ին</t>
  </si>
  <si>
    <t>Գերմանիայի զարգացման վարկերի բանկի (KFW) աջակցությամբ իրականացվող «Կովկասյան էլեկտրահաղորդման ցանց I» Հայաստան-Վրաստան հաղորդիչ գիծ/ենթակայանների վարկային ծրագրի շրջանակներում ենթավարկի տրամադրում «Բարձրավոլտ էլեկտրացանցեր» ՓԲԸ- ին</t>
  </si>
  <si>
    <t>17.9 մլն Եվրո</t>
  </si>
  <si>
    <t>40 մլն                                                                                                                                                                                                                                                                                                                               ԱՄՆ դոլար</t>
  </si>
  <si>
    <t>75 մլն եվրո</t>
  </si>
  <si>
    <t>Վեդիի ջրամբարի պատվարի և օժանդակ կառուցվածքների, ջրառ հանգույցների, ջրի փոխադրող և ոռոգման համակարգի, ինչպես նաև ջրամբարի իշխման տակ գտնվող հողատարածքների ոռոգման ներտնտեսային ցանցի կառուցում։</t>
  </si>
  <si>
    <t>50 մլն եվրո</t>
  </si>
  <si>
    <t>ՀՀ Շիրակի մարզում՝ Ախուրյան գետի վրա, Կապսի ջրամբարի պատվարի և օժանդակ կառույցների կառուցում, ինչի արդյունքում կապահովվի գյուղատնտեսական նպատակներով հուսալի ոռոգումը, ինչպես նաև ջրավազանի ջրային ռեսուրսների արդյունավետ կառավարումը։</t>
  </si>
  <si>
    <t>1,599,057․3
հազ. ՀՀ դրամ                                                                                                                                                                                                                                                                                                                                                                                                                                                                                                                                                                                                                                                                                                                                                                                                                                                                                                                                                                                                    (միայն ՀՀ կառավարության համաֆինան-սավորման միջոցներից)</t>
  </si>
  <si>
    <t>3,350,954.2                                                                                                                                                                                                                                                                                                                               
հազ. ՀՀ դրամ 
(միայն ՀՀ կառավարության համաֆինան-սավորման միջոցներից)</t>
  </si>
  <si>
    <t>300.0 հազ. եվրո</t>
  </si>
  <si>
    <t>Հայաստանի տարածքային զարգացման հիմնադրամ                                                                                                                                                                                                                                                                                                                                                                                                                                                     18.07.2019-31.12.2025թթ.</t>
  </si>
  <si>
    <t>Ծրագրի նպատակն է աջակցել ՀՀ կառավարությանը ոռոգման ոլորտի ընթացիկ բարեփոխումների հարցում` կենտրոնական և տեղական մակարդակներում կարողությունների զարգացման և ջրօգտագործողների միավորումներին տրամադրվող սուբսիդիաների կրճատման միջոցով, ներդնել նորարարական կայուն մեխանիզմներ` ուղղված ոռոգվող գյուղատնտեսության տնտեսական զարգացման խոչընդոտներին:</t>
  </si>
  <si>
    <t>Երևանի ջրամատակարարման ցանցի բարելավման աշխատանքների իրականացում։</t>
  </si>
  <si>
    <t>7 մլն                                                                                                                                                                                                                                                                                                                               ԱՄՆ դոլար</t>
  </si>
  <si>
    <t>12 մլն եվրո</t>
  </si>
  <si>
    <t>579 գյուղական բնակավայրերից ընտրված որոշ համայնքների ջրամատակարարման և ջրահեռացման համակարգերի հատվածների հրատապ վերականգնման աշխատանքների իրականացում։</t>
  </si>
  <si>
    <t>Գերմանիայի զարգացման վարկերի բանկի աջակցությամբ իրականացվող ջրամատակարարման և ջրահեռացման ենթակառուցվածքների վերականգնման ծրագրի երրորդ փուլի աուդիտ։</t>
  </si>
  <si>
    <t>11 քաղաքի և 37   գյուղական բնակավայրի ջրամատակարարման և ջրահեռացման համակարգերի հատվածների հրատապ (մասնակի) վերականգնման աշխատանքների իրականացում։</t>
  </si>
  <si>
    <t>16.7 մլն եվրո</t>
  </si>
  <si>
    <t>430 378,7  եվրո</t>
  </si>
  <si>
    <t>41.39 մլն եվրո</t>
  </si>
  <si>
    <t>170 մլն                                                                                                                                                                                                                                                                                                                               ԱՄՆ դոլար</t>
  </si>
  <si>
    <t>Աշտարակ-Թալին ճանապարհահատվածի կառուցման տեխնիկական հսկողության ծառայություններ, ՀՕՏԾ ծրագիր։</t>
  </si>
  <si>
    <t>Աշտարակ-Թալին ճանապարհահատվածի կառուցման աշխատանքներ։</t>
  </si>
  <si>
    <t>100 մլն                                                                                                                                                                                                                                                                                                                               ԱՄՆ դոլար</t>
  </si>
  <si>
    <t>Թալին-Լանջիկ ա/ճ կառուցման տեխնիկական հսկողության ծառայություններ, հաղորդակցուղիների տեղափոխման տեխնիկական և հեղինակային հսկողություններ։</t>
  </si>
  <si>
    <t>150 մլն                                                                                                                                                                                                                                                                                                                               ԱՄՆ դոլար</t>
  </si>
  <si>
    <t>Հյուսիս-հարավ միջանցքի զարգացման ծրագրի (Տրանշ 4) Ագարակ-Քաջարան ճանապարհահատվածի վերակառուցում։</t>
  </si>
  <si>
    <t>60 մլն եվրո</t>
  </si>
  <si>
    <t>Լանջիկ-Գյումրի ճանապարհահատվածի կառուցման աշխատանքներ:</t>
  </si>
  <si>
    <t>Լանջիկ-Գյումրի ճանապարհահատվածի կառուցման աշխատանքների տեխնիկական հսկողություն։</t>
  </si>
  <si>
    <t>Նոր մեկնարկային Ծրագրեր են, որոնց գծով առկա չեն Վարկային Համաձայնագրեր, Պայմանագրեր, Խորհրդատուներ և Շինարարներ</t>
  </si>
  <si>
    <t xml:space="preserve"> Ճանապարհային ցանցի բարելավում և անվտանգ երթևեկության ապահովում։</t>
  </si>
  <si>
    <t>5.5 մլն եվրո</t>
  </si>
  <si>
    <t xml:space="preserve"> Նախատեսվում է՝                                                                                                                                                                                                                                                                                           կառուցել ԵՄ չափանիշներին համապատասխանող սանիտարական աղբավայր, վերաբեռման 2 կայան, ձեռք բերել 2 մարզում աղբահանության իրականացման և աղբավայրի շահագործման համար անհրաժեշտ մեքենա-սարքավորումներ։</t>
  </si>
  <si>
    <t>Ծրագրի շրջանակներում ընտրված խորհրդատվական կազմակերպության կողմից նախատեսվում է իրականացնել աղբավայրի նախագծման, վերաբեռնման կայանների նախագծման, սարքավորումների  տեխնիկական բնութագրերի կազմման աշխատանքները, աջակցել մրցութային գործընթացներին, իրականացնել՝ աղբահանության սխեմաների մշակումը, ԿԿԹԿ ընկերության ստեղծմանն ուղղված իրավական և ինստիտուցիոնալ աշխատանքները, իրազեկման արշավները, աղբահանության վարձավճարների քաղակաքականության մշակումը։</t>
  </si>
  <si>
    <t>Նախատեսվում է՝                                                                                                                                                                                                                                                                                           կառուցել ԵՄ չափանիշներին համապատասխան սանիտարական աղբավայր, վերաբեռնման 2 կայան, ձեռք բերել 2 մարզում աղբահանության իրականացման և աղբավայրի շահագործման համար անհրաժեշտ մեքենա-սարքավորումներ:</t>
  </si>
  <si>
    <t>56.8 մլն եվրո</t>
  </si>
  <si>
    <t xml:space="preserve">
4 մլն                                                                                                                                                                                                                                                                                                                               ԱՄՆ դոլար</t>
  </si>
  <si>
    <t>Ծրագրի շրջանակներում նախատեսվում է Երևան քաղաքի 28 փողոցներում փոխել/ամրացնել լուսավորության հենասյուները, առկա վերգետնյա մալուխներն անցկացնել ստորգետնյա կապուղիներով, առկա շուրջ 4,400 լուսատուները փոխարինել մոտ 2,200 LED տիպի լուսատուներով:</t>
  </si>
  <si>
    <t xml:space="preserve">
1.9 մլն եվրո</t>
  </si>
  <si>
    <t>Ծրագրի շրջանակներում նախատեսվում է Երևան քաղաքի թվող 28 փողոցներում փոխել/ամրացնել լուսավորության հենասյուները, առկա վերգետնյա մալուխներն անցկացնել ստորգետնյա կապուղիներով, փոխարինել առկա լուսատուները LED տիպի լուսատուներով: Նախատեսվում է 28 փողոցներում առկա շուրջ 4,400 լուսատուները փոխարինել մոտ 2,200 LED տիպի լուսատուներով:</t>
  </si>
  <si>
    <t xml:space="preserve">
5 մլն եվրո</t>
  </si>
  <si>
    <t>Դրենաժային թունելի երկարացում և մետրոյի թունելներում  վերականգնման աշխատանքների իրականացում։</t>
  </si>
  <si>
    <t xml:space="preserve"> Ծրագրի շրջանակներում նախատեսվում է Երևան քաղաքի թվող 28 փողոցներում փոխել/ամրացնել լուսավորության հենասյուները, առկա վերգետնյա մալուխներն անցկացնել ստորգետնյա կապուղիներով, փոխարինել առկա լուսատուները LED տիպի լուսատուներով: Նախատեսվում է 28 փողոցներում առկա շուրջ 4,400 լուսատուները փոխարինել մոտ 2,200 LED տիպի լուսատուներով:</t>
  </si>
  <si>
    <t>7.3 մլն եվրո</t>
  </si>
  <si>
    <t>36.0 մլն 
ԱՄՆ դոլար</t>
  </si>
  <si>
    <t>23.2 մլն
 ԱՄՆ դոլար</t>
  </si>
  <si>
    <t>10.86 մլն եվրո</t>
  </si>
  <si>
    <t>«Բարձրավոլտ էլեկտրացանցեր» ՓԲԸ                                                                                                                                                                                                               
30.05.2016-30.12.2025թթ․</t>
  </si>
  <si>
    <t xml:space="preserve">  Ծրագիրը նախատեսվում է իրականացնել երեք լոտերով. Լոտ 1՝ «Դդմաշեն» ենթակայանի կառուցում՝ ներառյալ 220կՎ գծեր (Դդմաշեն ենթակայանի մուտք /ելք), Լոտ 2՝ օդային գծերի կառուցում (500/400/220/110կՎ) և Լոտ 3՝ «Այրում» ենթակայանի և ԲԼՀՀ փոխակերպիչ կայանի  կառուցում:  
Ծրագրի նպատակն է՝ Հայաստանի և Վրաստանի  էներգահամակարգերի միջև ասինքրոն միացման ապահովումը, որի արդյունքում ՀՀ էներգահամակարգը ԻԻՀ էներգահամակարգից բացի (Իրան-Հայաստան 400կՎ երրորդ օդային գծի կառուցումից հետո) կկապվի նաև Վրաստանի, ՌԴ և տարածաշրջանի մյուս երկրների հետ:</t>
  </si>
  <si>
    <t>1,719,200 ԱՄՆ դոլար</t>
  </si>
  <si>
    <t>Ծրագրի նպատակն է բարձրացնել հանրային շենքերում էներգախնայողության մակարդակը, նպաստել  էներգետիկ ծառայություններ մատուցող ենթակառուցվածքային կազմակերպությունների զարգացմանն ու ձևավորմանը, ինչպես նաև բարձրացնել տարածաշրջանային իշխանությունների ներկայացուցիչների իրազեկվածությունն էներգախնայողության վարկեր ներգրավելու արդյունավետության, սկզբունքների և մեխանիզմների վերաբերյալ։</t>
  </si>
  <si>
    <t>Կապսի ջրամբարի կառուցման հետևանքով անհրաժեշտություն է առաջանում                                                                                                                                                                     հողերի ձեռքբերման և մարդկանց վերաբնակեցման, ճանապարհների և ոռոգման ջրանցքների կառուցման, էլեկտրական էներգիայի մատակարարման օդային գծերի անցկացման և այլնի։</t>
  </si>
  <si>
    <t>1.8 մլն եվրո, 
որից՝  1.5 մլն Եվրո՝ դրամաշնորհային միջոցներ, 
0.3 մլն Եվրո՝ ՀՀ կառավարության համաֆինանսավորում</t>
  </si>
  <si>
    <t>30 մլն եվրո</t>
  </si>
  <si>
    <t>«Ճանապարհային դեպարտամենտ» Հիմնադրամ                                                                                                                                                                                            
2020-2026թթ․</t>
  </si>
  <si>
    <t xml:space="preserve">Հայաստանի Հանրապետության ոռոգման համակարգերի արդիականացում, համակարգերի արդյունավետության բարձրացում՝ շահագործման և պահպանման ծախսերի կրճատմամբ, բարձր ջրակորուստների և էլեկտրաէներգիայի ծախսումների նվազեցմամբ:                                                                                                             Նպատակն իրագործելու համար պետք է իրականացվեն հետևյալ միջոցառումները՝ մեխանիկական ոռոգման փոխարինում ինքնահոս համակարգերով, որոշ մայր և երկրորդ կարգի ջրանցքների վերականգնում, ՋՕԸ-ների ներտնտեսային ոռոգման ցանցերի արդիականացում,                                                                                                       ՋՕԸ-ների կառավարչական ներուժի ամրապնդում: </t>
  </si>
  <si>
    <t>Դրամաշնորհային ծրագրի շրջանականերում նախատեսվում է ֆինանսավորել «Ախուրյան գետի ջրային ռեսուրսների ինտեգրված կառավարման ծրագրի» Կապսի ջրամբարի կառուցման Փուլ I փուլի փորձագիտական ծառայությունների իրականացումը՝ շրջակա միջավայրի վրա սոցիալական գնահատման (ՇՄՍԱԳ) խորհրդատվական ծառայությունների մատուցման պայմանագրի շրջանակներում։</t>
  </si>
  <si>
    <t>178.2 մլն եվրո</t>
  </si>
  <si>
    <t>«Բարձրավոլտ էլեկտրացանցեր» ՓԲԸ                                                                                                                                                                                                          
09.12.2014-30.12.2025թթ․</t>
  </si>
  <si>
    <t xml:space="preserve">Ընդամենը 1049 Ծրագրով, որից՝ </t>
  </si>
  <si>
    <t>6.0 մլն                                                                                                                                                                                                                                                                                                                               ԱՄՆ դոլար</t>
  </si>
  <si>
    <t xml:space="preserve">Տեղական ինքնակառավարման և ապակենտրոնացման բարեփոխումների Ծրագրի շրջանակներում հզորացնել տեղական ինքնակառավարման համակարգերը, գործընթացները և ծառայությունների մատուցումը և աջակցել կառավարության կողմից ապակենտրոնացման պլանավորման ու պիլոտային իրականացման աշխատանքներին: </t>
  </si>
  <si>
    <t>Թալին-Լանջիկ ճանապարհահատվածի կառուցում։</t>
  </si>
  <si>
    <t>Նախատեսվում ՀՀ 8 մարզերում (բացի Կոտայքից և Գեղարքունիքից) կառուցել ԵՄ չափանիշներով 4 սանիտարական աղբավայր, 16 փոխաբեռնման կայան։</t>
  </si>
  <si>
    <t>5․5 մլն եվրո</t>
  </si>
  <si>
    <t>-</t>
  </si>
  <si>
    <t>Հայաստանի տարածքային զարգացման հիմնադրամ                                                                                                                                                                                                                                                                                                                                                                                                                                      01.12.2022-30.11.2027թթ.</t>
  </si>
  <si>
    <t xml:space="preserve">«Ճանապարհային դեպարտամենտ» Հիմնադրամ 
14.04.2015-30.12.2026թթ.                                                                                                                                                                                                                                                                                                                                                                                                                                                                                                                   </t>
  </si>
  <si>
    <t>250,934 եվրո</t>
  </si>
  <si>
    <t>Հայաստանի տարածքային զարգացման հիմնադրամ                                                                                                                                                                                                                                                                                                                                                                                                                                               12.05.2016-31.12.2024թթ.</t>
  </si>
  <si>
    <t xml:space="preserve">Հայաստանի տարածքային զարգացման հիմնադրամ                                                                                                                                                                                                                                                                                                                                                                                                                                      08.12.2020-31.05.2025թթ.                                                                                                                                                                                                                                                                                                                                                                                                                                                                                                      </t>
  </si>
  <si>
    <t xml:space="preserve">
738.1 հազ․                                                                                                                                                                                                                                                                                                                              եվրո </t>
  </si>
  <si>
    <t xml:space="preserve">ՀՀ ՏԿԵՆ Ջրային կոմիտե                                                                                                                                                                                                                                                                                                                                                                                                                                                                                               21.06.2014-30.12.2025թթ. </t>
  </si>
  <si>
    <t>Հայաստանի տարածքային զարգացման հիմնադրամ                                                                                                                                                                                                                                                                                                                                                                                                                                                     23.04.2020-19.06.2026թթ.</t>
  </si>
  <si>
    <t>Հայաստանի տարածքային զարգացման հիմնադրամ                                                                                                                                                                                                                                                                                                                                                                                                                                                  04.11.2014-06.01.2026թթ.</t>
  </si>
  <si>
    <t>Աջակցություն ծրագրի նախապատրաստմանն ու իրականացմանը, ծրագրում ընդգրկված փողոցների հիմնանորոգման շինարարական աշխատանքների մրցութային փաթեթների կազմում, տեխնիկական հսկողություն, ավտոկայանատեղերի ռազմավարության և գործողությունների պլանի կազմում, քաղաքային ճանապարհների և տրանսպորտի ակտիվների կառավարման և բարելավման պլանի մշակում</t>
  </si>
  <si>
    <t xml:space="preserve">Հայաստանի տարածքային զարգացման հիմնադրամ                                                                                                                                                                                                                                                                                                                                                                                                                                                     07.09.2020-30.12.2025թթ.                                                                                                                                                                                                                                                                                                                                                                                                                                                                                                                       </t>
  </si>
  <si>
    <t>2024թ․ տարեկան պլան</t>
  </si>
  <si>
    <t>2024թ. փաստացի վճարներ (աճողական)</t>
  </si>
  <si>
    <t>2024թ. նախատեսվող ծախսեր</t>
  </si>
  <si>
    <t>2024թ․ բյուջեի  կատարողական ճշտված պլանի նկատմամբ (%)</t>
  </si>
  <si>
    <t>Սոցիալական ներդրումների և տեղական զարգացման ծրագիր - 4 միջոցառում</t>
  </si>
  <si>
    <t>Եվրասիական զարգացման բանկի աջակցությամբ իրականացվող ոռոգման համակարգերի զարգացման ծրագրի խորհրդատվություն և կառավարում</t>
  </si>
  <si>
    <t>Եվրասիական զարգացման բանկի աջակցությամբ իրականացվող ոռոգման համակարգերի զարգացման ծրագրի շրջանակներում ջրային տնտեսության ենթակառուցվածքների հիմնանորոգում</t>
  </si>
  <si>
    <t>Ֆրանսիայի Հանրապետության կառավարության աջակցությամբ իրականացվող Վեդու ջրամբարի և որռոգման համակարգի  կառուցման ծրագրի խորհրդատվություն և կառավարում</t>
  </si>
  <si>
    <t>Գերմանիայի զարգացման վարկերի բանկի աջակցությամբ իրականացվող Ախուրյան գետի ջրային ռեսուրսների ինտեգրացված կառավարում ծրագրի խորհրդատվություն և կառավարում</t>
  </si>
  <si>
    <t> Զարգացման ֆրանսիական գործակալության աջակցությամբ իրականացվող ոռոգման ոլորտի ֆինանսական կայունության և ոռոգման կառավարման կարողությունների բարելավման դրամաշնորհային ծրագրի խորհրդատվություն և կառավարում</t>
  </si>
  <si>
    <t>Գերմանիայի զարգացման վարկերի բանկի աջակցությամբ իրականացվող Ախուրյան գետի ջրային ռեսուրսների ինտեգրացված կառավարման ծրագրի երկրորդ փուլի շրջանակներում ջրային տնտեսության ենթակառուցվածքների հիմնանորոգում</t>
  </si>
  <si>
    <t>Ոռոգման համակարգի առողջացում - 12  միջոցառում</t>
  </si>
  <si>
    <t>Գերմանիայի զարգացման վարկերի բանկի աջակցությամբ իրականացվող ջրամատակարարման և ջրահեռացման ենթակառուցվածքների վերականգնման ծրագրի երրորդ փուլ</t>
  </si>
  <si>
    <t>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t>
  </si>
  <si>
    <t xml:space="preserve">  Համաշխարհային բանկի աջակցությամբ իրականացվող Սոցիալական ներդրումների և տեղական զարգացման ծրագրի լրացուցիչ ֆինանսավորման ծրագրի կառավարում</t>
  </si>
  <si>
    <t>Եվրոպական ներդրումային բանկի աջակցությամբ իրականացվող Երևանի ջրամատակարարման բարելավման ծրագիր</t>
  </si>
  <si>
    <t>Եվրոպակական ներդրումային բանկի աջակցությամբ իրականացվող Երևանի ջրամատակարարման բարելավման ծրագրի շրջանակներում ջրամատակարարման և ջրահեռացման ենթակառուցվածքների հիմնանորոգում</t>
  </si>
  <si>
    <t>Եվրոպական միության հարևանության ներդրումային ծրագրի աջակցությամբ իրականացվող Երևանի ջրամատակարարման բարելավման դրամաշնորհային ծրագիր</t>
  </si>
  <si>
    <t>Եվրոպական միության հարևանության ներդրումային ծրագրի աջակցությամբ իրականացվող Երևանի ջրամատակարարման բարելավման դրամաշնորհային ծրագրի շրջանակներում Ջրամատակարարման և ջրահեռացման ենթակառուցվածքների հիմնանորոգում</t>
  </si>
  <si>
    <t>Գերմանիայի զարգացման և Եվրոպական միության հարևանության ներդրումային բանկի աջակցությամբ իրականացվող ջրամատակարարման և ջրահեռացման ենթակառուցվածքների դրամաշնորհային ծրագիր` երրորդ փուլ</t>
  </si>
  <si>
    <t>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t>
  </si>
  <si>
    <t>Ասիական զարգացման բանկի աջակցությամբ իրականացվող  Մ6 Վանաձոր-Ալավերդի-Վրաստանի սահման միջպետական նշանակության ճանապարհի ծրագրի կառուցում և հիմնանորոգում</t>
  </si>
  <si>
    <t xml:space="preserve"> Ասիական զարգացման բանկի աջակցությամբ իրականացվող Հյուսիս-հարավ միջանցքի զարգացման ծրագրի համակարգում և կառավարում                           ( Տրանշ 2)</t>
  </si>
  <si>
    <t>Ասիական զարգացման բանկի աջակցությամբ իրականացվող Հյուսիս-հարավ միջանցքի զարգացման վարկային ծրագիր, Տրանշ 2</t>
  </si>
  <si>
    <t>Եվրոպական ներդրումային բանկի աջակցությամբ իրականացվող Հյուսիս-հարավ միջանցքի զարգացման դրամաշնորհային ծրագիր, Տրանշ 3</t>
  </si>
  <si>
    <t>Վերակառուցման և զարգացման եվրոպական բանկի աջակցությամբ իրականացվող ՀՀ պետական սահմանի Բագրատաշեն անցման կետի կամրջի վերակառուցման վարկային ծրագիր</t>
  </si>
  <si>
    <t>Ասիական զարգացման բանկի աջակցությամբ իրականացվող Հյուսիս-հարավ միջանցքի զարգացման ծրագրի համակարգում և կառավարում (Տրանշ 3)</t>
  </si>
  <si>
    <t>Եվրասիական զարգացման բանկի աջակցությամբ իրականացվող Հյուսիս-հարավ միջանցքի զարգացման ծրագրի համակարգում և կառավարում</t>
  </si>
  <si>
    <t>Եվրասիական զարգացման բանկի աջակցությամբ իրականացվող Հյուսիս-հարավ միջանցքի զարգացման ծրագիր</t>
  </si>
  <si>
    <t>Եվրոպական ներդրումային բանկի աջակցությամբ իրականացվող Հյուսիս-հարավ միջանցքի զարգացման ծրագրի համակարգում և կառավարում (Տրանշ 3)</t>
  </si>
  <si>
    <t xml:space="preserve">  Եվրոպական ներդրումային բանկի աջակցությամբ իրականացվող Հյուսիս-հարավ միջանցքի զարգացման վարկային ծրագիր, Տրանշ 3</t>
  </si>
  <si>
    <t xml:space="preserve"> Հյուսիս-հարավ ճանապարհային միջանցքի զարգացման ծրագրի Սիսիան-Քաջարան 60կմ ճանապարհահատվածի կառուցում</t>
  </si>
  <si>
    <t>Հյուսիս-հարավ ճանապարհային միջանցքի զարգացման ծրագրի Քաջարանի թունելի և մոտեցումների կառուցում</t>
  </si>
  <si>
    <t>Հյուսիս-հարավ ճանապարհային միջանցքի զարգացման ծրագրի Քաջարանի թունելի և մոտեցումների համակարգում և կառավարում</t>
  </si>
  <si>
    <t>Հյուսիս-հարավ ճանապարհային միջանցքի զարգացման ծրագրի Գյումրու շրջանցիկ ճանապարհի համակարգում և կառավարում,                  Տրանշ 5</t>
  </si>
  <si>
    <t>Հյուսիս-հարավ ճանապարհային միջանցքի զարգացման ծրագրի Գյումրու շրջանցիկ ճանապարհի կառուցում և հիմնանորոգում, Տրանշ 5</t>
  </si>
  <si>
    <t>Միջազգային կազմակերպությունների աջակցությամբ իրականացվող  ՀՀ 8 մարզերում աղբահանության և կոշտ թափոնների ինտեգրված համակարգի կառուցում</t>
  </si>
  <si>
    <t>Եվրոպական միության հարևանության ներդրումային բանկի աջակցությամբ իրականացվող Երևանի մետրոպոլիտենի վերակառուցման երկրորդ դրամաշնորհային ծրագիր</t>
  </si>
  <si>
    <t xml:space="preserve"> Վերակառուցման և զարգացման եվրոպական բանկի աջակցությամբ իրականացվող Երևանի քաղաքային լուսավորության դրամաշնորհային ծրագրի կատարման ապահովում</t>
  </si>
  <si>
    <t>Ասիական զարգացման բանկի աջակցությամբ իրականացվող քաղաքային զարգացման ներդրումային ծրագրի համակարգում և կառավարում</t>
  </si>
  <si>
    <t xml:space="preserve"> Ասիական զարգացման բանկի աջակցությամբ իրականացվող քաղաքային զարգացման ներդրումային ծրագրի շրջանակներում ճանապարհային շինարարություն</t>
  </si>
  <si>
    <t>Վերակառուցման և զարգացման եվրոպական բանկի աջակցությամբ իրականացվող Գյումրու քաղաքային ճանապարհների  ծրագիր</t>
  </si>
  <si>
    <t>Վերակառուցման և զարգացման եվրոպական բանկի աջակցությամբ իրականացվող Գյումրու քաղաքային ճանապարհների տեխնիկական համագործակցության   դրամաշնորհային ծրագիր</t>
  </si>
  <si>
    <t>Գերմանիայի զարգացման վարկերի բանկի (KFW)) աջակցությամբ իրականացվող «Կովկասյան էլեկտրահաղորդման ցանց I» Հայաստան-Վրաստան հաղորդիչ գիծ/ենթակայանների դրամաշնորհային ծրագիր</t>
  </si>
  <si>
    <t>Եվրոպական ներդրումային բանկի աջակցությամբ իրականացվող Երևանի էներգաարդյունավետության  դրամաշնորհային ծրագրի երկրորդ փուլ (մանկապարտեզների և այլ հանրային շենքերի էներգարդյունավետվության բարելավում)</t>
  </si>
  <si>
    <t>Եվրասիական զարգացման բանկի աջակցությամբ իրականացվող հանրային  շենքերում էներգախնայողության բարելավման  և կանաչ էներգիայի զարգացմանը նպաստող  դրամաշնորհային ծրագրի կառավարում</t>
  </si>
  <si>
    <t>2024թ․ տարեկան ճշտված պլան</t>
  </si>
  <si>
    <t>Էներգաարդյունավետության ծրագիր- 4 միջոցառում</t>
  </si>
  <si>
    <t xml:space="preserve"> Եվրոպական ներդրումային բանկի աջակցությամբ իրականացվող Երևանի էներգաարդյունավետության ծրագրի երկրորդ փուլ (մանկապարտեզների և այլ հանրային շենքերի էներգարդյունավետվության բարելավում)</t>
  </si>
  <si>
    <t>12003</t>
  </si>
  <si>
    <t xml:space="preserve"> Համաշխարհային բանկի աջակցությամբ իրականացվող Սոցիալական ներդրումների և տեղական զարգացման ծրագրի լրացուցիչ ֆինանսավորման վարկի շրջանակներում ՀՀ համայնքային և միջհամայնքային ենթակառուցվածքների որակի, օգտագործման և հասանելիության բարելավում</t>
  </si>
  <si>
    <t>ԱՄՆ ՄԶԳ աջակցությամբ իրականացվող Տեղական ինքնակառավարման և ապակենտրոնացման բարեփոխումների դրամաշնորհային ծրագրի կառավարում</t>
  </si>
  <si>
    <t>ԱՄՆ ՄԶԳ աջակցությամբ իրականացվող Տեղական ինքնակառավարման և ապակենտրոնացման բարեփոխումների դրամաշնորհային ծրագրի շրջանակներում Տեղական կառավարման համակարգերի հզորացում, ապակենտրոնացման գործընթացներին աջակցություն, պիլոտային ծրագրերի իրականացում</t>
  </si>
  <si>
    <t>Համաշխարհային բանկի աջակցության շրջանակներում ոռոգման, ջրամատակարարման և ջրահեռացման ծրագրերի իրականացում</t>
  </si>
  <si>
    <t>Եվրասիական զարգացման բանկի աջակցությամբ իրականացվող հանրային  շենքերում էներգախնայողության բարելավման  և կանաչ էներգիայի զարգացմանը նպաստող  դրամաշնորհային ծրագրի շրջանակներում հիմնանորոգման աշխատանքներ</t>
  </si>
  <si>
    <t>«Բարձրավոլտ էլեկտրացանցեր» ՓԲԸ                                                                                                                                                                                                             
21.09.2015-31.12.2024թթ.</t>
  </si>
  <si>
    <t>Շարունակվում է ծրագրի շրջանակներում կնքված պայմանագրերով նախատեսված ծառայությունների մատուցումը և շինարարական աշխատանքների իրականացումը:</t>
  </si>
  <si>
    <t>Հայաստանի տարածքային զարգացման հիմնադրամ                                                                                                                                                                                                                                                                                                                                                                                                                                                 10.06.2016-31.12.2025թթ.</t>
  </si>
  <si>
    <t>Շարունակվում են ծառայությունների մատուցումը և աշխատանքների իրականացումը՝ եղանակային պայմաններին և կապալառուի ֆինանսական վիճակին համարժեք արտադրողականությամբ։  
Ընթացքի մեջ են նաև ներտնտեսային ոռոգման համակարգի կառուցման աշխատանքները։</t>
  </si>
  <si>
    <t xml:space="preserve">Խորհրդատուի կողմից նախատեսված ծառայությունների մատուցումն ընթացքի մեջ է։ </t>
  </si>
  <si>
    <t>18.5 մլն Եվրո</t>
  </si>
  <si>
    <t xml:space="preserve">ՀՀ ՏԿԵՆ Ջրային կոմիտե     </t>
  </si>
  <si>
    <t>6 մլն եվրո                                                                                                                                                                                                                                                                                                                                                                                                                                                                                                                                                                 Համաձայնագիրը կնքված է 12մլն եվրո գումարով, սակայն 6 մլն եվրո գումարը նախատեսված է տեխ աջակցության համար, որն անմիջապես վճարվում է բանկի կողմից</t>
  </si>
  <si>
    <t xml:space="preserve">Լանջիկ-Գյումրի շուրջ 27,5 կմ ճանապարհահատվածի կառուցում: Միաժամանակ ֆինանսավորվում է  վարկային համաձայնագրի շրջանակներում՝ 20%-ի չափով: </t>
  </si>
  <si>
    <t xml:space="preserve">Համայնքային ճանապարհների հիմնանորոգում և փողոցային լուսավորության ցանցի արդիականացում: Ճանապարհների վերակառուցում՝ ասֆալտի և մայթերի ծածկի նորացում, այդ թվում՝ ջրահեռացման ենթակառուցվածքների փոխարինում: </t>
  </si>
  <si>
    <t>Ծրագրի շրջանակներում  վերակառուցվել է  220 կՎ «Հաղթանակ» և 110 կՎ «Վանաձոր-1»ենթակայանները, ինչպես նաև նախատեսվում է վերակառուցել «Չարենցավան-3» և 220 կՎ  «Զովունի» ենթակայանները: 
Ծրագրի նպատակն է՝ բարձրացնել սպառողներին անխափան էլեկտրաէներգիայի մատակարարման հուսալիությունը, ինչպես նաև նվազեցնել ենթակայանների շահագործման ծախսերը:</t>
  </si>
  <si>
    <t>«Բարձրավոլտ էլեկտրացանցեր» ՓԲԸ                                                                                                                                                                                                             
 03.02.2015-31.12.2023թթ.</t>
  </si>
  <si>
    <t xml:space="preserve">Ծրագրի շրջանակներում վերակառուցել է 220 կՎ «Աշնակ» ենթակայանը, ինչպես նաև նախատեսվում է վերակառուցել 30 և ավելի տարիներ շահագործման մեջ գտնվող  220 կՎ «Արարատ-2» ենթակայանը:
Ծրագրի նպատակն է՝ բարձրացնել սպառողներին անխափան էլեկտրաէներգիայի մատակարարման հուսալիությունը, ինչպես նաև նվազեցնել ենթակայանների շահագործման ծախսերը:                        </t>
  </si>
  <si>
    <t>6.1 մլն եվրո</t>
  </si>
  <si>
    <t>ՀՀ պետական սահմանի Բագրատաշեն անցման կետում նոր կամրջի կառուցում։</t>
  </si>
  <si>
    <t xml:space="preserve"> Կապալառուի պայմանագիրը կնքվել է  23.10.2023թ: 
Տեխ հսկողության Պայմանագիրը կնքվել է 14.11.2023թ.:</t>
  </si>
  <si>
    <t xml:space="preserve">«Ճանապարհային դեպարտամենտ» Հիմնադրամ                                                                                                                                                                                            
</t>
  </si>
  <si>
    <t xml:space="preserve">«Ճանապարհային դեպարտամենտ» Հիմնադրամ   </t>
  </si>
  <si>
    <t>25.0 մլն եվրո</t>
  </si>
  <si>
    <t xml:space="preserve">ՀՀ տարածքային կառավարման և ենթակառուցվածքների նախարարություն                                                                                                                                                                                                   
</t>
  </si>
  <si>
    <t xml:space="preserve">Գյումրու համայնքապետարան                                                                                                                                                                                                                                                                          14.06.2017-28.11.2028թթ.                                                                                                                                                          </t>
  </si>
  <si>
    <t>Իրականացվում են Դրենաժային միջոցառումներ`
ներթափանցող ջրի ուղղորդում դրենաժային թունել, 
ամրակապի հորատանցում ջրի հավաքագրման համար, հակակոռոզիոն աշխատանքներ, դրենաժային թունելի հողային շերտում անցքերի բացում և պոլիքլորվինիլե խողովակի անցկացում, բաց մնացած հատվածների բետոնացում։ 
Իրականացվելու են  Ինժեների գումարի վճարում, Կապալառուից պահված երաշխիքային գումարի հետվճարում /5%/, ինչպես նաև Պայմանագրի վերջնական արժեքի 10%-ից ավելի հաշվարկված և պահված տույժերի, տուգանքների գումարի հետ վերադարձ։</t>
  </si>
  <si>
    <t xml:space="preserve">Հայաստանի տարածքային զարգացման հիմնադրամ                                                                                                                                                                                                                                                                                                                                                                                                                                              05.02.2015-31.12.2025թթ.                                                                                                                                                                                  </t>
  </si>
  <si>
    <t xml:space="preserve">Շինարարական աշխատանքներն իրականացման փուլում են։
</t>
  </si>
  <si>
    <t>Ծրագրի նպատակն է մեծացնել քաղաքային շարժունակությունը, քաղաքային կառավարումը և բարելավել նախագիծը: Ծրագրի արդյունքում նախատեսվում է կառուցել/կառուցապատել Իսակով–Արշակունյաց քաղաքային ճանապարհը, կամուրջ Հրազդան գետի վրայով, հետիոտնային գետնանցումներ՝ շարժունակության խանգարումներ ունեցող անձանց համար համընդհանուր հասանելիությամբ, լավ լուսավորությամբ, ճանապարհային անվտանգության ենթակառուցվածքներ, հարակից ջրահեռացման համակարգեր, դիմակայության շեշտադրմումով կանաչապատում, Կոմիտասի անվան զբոսայգու վերականգնումը, ճանապարհի և զբոսայգու երկայնքով տնկված նոր ծառեր, և գենդերազգայուն հատկանիշներ, ներառյալ լուսադիոդային փողոցային լույսերը:</t>
  </si>
  <si>
    <t>10.1 մլն եվրո</t>
  </si>
  <si>
    <t>«Երևանի կառուցապատման ներդրումային ծրագրերի իրականացման» ՀՈԱԿ                                                                                                                                                                                               2024-2028թթ.</t>
  </si>
  <si>
    <t>Հայաստանի տարածքային զարգացման հիմնադրամ                                                                                                                                                                                                                                                                                                                                                                                                                                                   29.06.2015-30.06.2024թթ.</t>
  </si>
  <si>
    <t xml:space="preserve">  Եվրոպական ներդրումային  բանկի աջակցությամբ իրականացվող Մ6 Վանաձոր-Ալավերդի- Վրաստանի սահման միջպետական նշանակության ճանապարհի անվտանգության բարելավման դրամաշնորհային ծրագիր</t>
  </si>
  <si>
    <t>4.25 մլն Եվրո</t>
  </si>
  <si>
    <t>Ճանապարհային ցանցի բարելավում և անվտանգ երթևեկության ապահովում։</t>
  </si>
  <si>
    <t xml:space="preserve">Հայաստանի տարածքային զարգացման հիմնադրամ                                                                                                                                                                                                                                                                                                                                                                                                                                                  21.06.2014-30.12.2018թթ.                                                                                                                                                                                                                                                                                                                                                                                                                                                                                                                (Ծրագրի ժամկետներն երկարաձգման փուլում են։)                                                                                                                                                                                                                                                                                                                                                                                                                                                                                                               </t>
  </si>
  <si>
    <t>1,754.83 հազ. եվրո</t>
  </si>
  <si>
    <t xml:space="preserve">Հայաստանի տարածքային զարգացման հիմնադրամ                                                                                                                                                                                                                                                                                                                                                                                                                                                   04.05.2010-30.12.2020թթ.                                                                                                                                                                                                                                                                                                                                                                                                                                                                                                                        </t>
  </si>
  <si>
    <t>Կնքված և ընթացքի մեջ են թվով 2 պայմանագրեր Հատված 1/Լոտ 1 Ագարակ համայնքի մոտակայքում  29+600 կմ  - 37+545 կմ  (մոտ 8 կմ) ճանապարհահատվածի վերակառուցման և Հատված 2/Լոտ 2 34 կմ անավարտ ճանապարհահատվածի կառուցման (37+545 կմ - 71+435 կմ) նպատակով։</t>
  </si>
  <si>
    <t>Սոցիալական ներդրումների և տեղական զարգացման ծրագրի լրացուցիչ ֆինանսավորման վարկային ծրագրով նախատեսված ՀՀ տարածքներում ջրագծերի, առողջապահության, կրթության օբյեկտների, մշակույթային տների, ծերանոցների, մանկատների, հատուկ դպրոցների, մանկապարտեզների և կոյուղու օբյեկտների հիմնանորոգում և շինարարություն, գույքի և սարքավորումների տրամադրում՝ ենթակառուցվածքային ներդրումների շահառու Ենթածրագրերի համար:</t>
  </si>
  <si>
    <t xml:space="preserve"> Գերմանիայի զարգացման վարկերի բանկի աջակցությամբ իրականացվող Համայնքային ենթակառուցվածքների երկրորդ ծրագրի երրորդ փուլի դրամաշնորհային ծրագրի ուղեկցող միջոցառման 3-րդ բաղադրիչ</t>
  </si>
  <si>
    <t>ՀՀ ՏԿԵՆ Ջրային կոմիտե                                                                                                                                                                                                                                                                                                                                                                                                                                                                                            20.12.2019-30.12.2023թթ.</t>
  </si>
  <si>
    <t xml:space="preserve">Ծրագրի շրջ. նախատեսվում է աջակցել ՋԿ-ին՝ կառուցվածքային ստորաբաժանումների ինստիտուցիոնալ կարողությունների բարձրացման և Վարձակալական պայմանագրի համարժեք կառավարման գործում ծառայությունների մատուցմանը, ինչպես նաև ոռոգման կազմակերպությունների, ՀՏԶՀ  ջրային տնտեսության ծրագրերի իրականացման մասնաճյուղին՝ ինստիտուցիոնալ կարողությունների զարգացման նպատակով: Հիմնական շեշտադրումը դրված է աջակցելու ջրամատակարարման և կեղտաջրերի հավաքման ու հեռացման ներդրումային ծրագրերի իրականացմանը։ Այն վերաբերում է ենթակառուցվածքների ներդրումային ծրագրի նախապատրաստման և իրականացման որոշումների աջակցմանն ու իրագործմանը։ </t>
  </si>
  <si>
    <t>Ջրամատակարարման և ջրահեռացման բարելավում -11  միջոցառում</t>
  </si>
  <si>
    <t xml:space="preserve">
60,090.0 հազ. Եվրո</t>
  </si>
  <si>
    <t xml:space="preserve">              
Շինարարական աշխատանքները մեկնարկել են 2023 թվականի հունիսի 9-ին։ 
Ընթացքի մեջ են գետի ջրի ջրահեռացման համակարգի կառուցման աշխատանքները, մեթոդների մասին հայատարարագրերի պատրաստումը և այլն։</t>
  </si>
  <si>
    <t>3 մլն եվրո</t>
  </si>
  <si>
    <t>2 մլն եվրո</t>
  </si>
  <si>
    <t>Գերմանիայի զարգացման վարկերի բանկի 
աջակցությամբ իրականացվող Ախուրյան գետի 
ջրային ռեսուրսների 
ինտեգրացված կառավարման դրամաշնորհային ծրագիր</t>
  </si>
  <si>
    <t>Ճանապարհային ցանցի բարելավում - 19 միջոցառում</t>
  </si>
  <si>
    <t>Տվյալ դրամաշնորհը նախատեսված է տեխնիկական աջակցության նպատակով, որի շրջանակներում կնքվել են խորհրդատվական պայմանագրեր՝ կորպորատիվ զարգացման ծրագրի գնումների և իրականացման աջակցման վերաբերյալ, ինչպես նաև շինարարության տեխնիկական հսկողության համար:</t>
  </si>
  <si>
    <t>Նոր մեկնարկային Ծրագիր, որի գծով առկա չեն Վարկային Համաձայնագրեր, Պայմանագրեր, Խորհրդատուներ և Շինարարներ: Կազմվել է տեխնիկական առաջադրանք՝ հանրապետության 8 մարզերում ուսումնասիրություն իրականացնելու համար, որի հիման վրա ՎԶԵԲ-ի կողմից նախնական ուսումնասիրությունների աշխատանքների համար ընտրվել է Խորհրդատվական կազմակերպություն: Ներկայացվել է մեկնարկային հաշվետվություն, իսկ առաջադրանքի վերջնական հաշվետվությունը նախարարությանը ներկայացվել է 2024թ․ փետրվար ամսին։ Նախարարության կողմից ներկայացվել են որոշ դիտարկումներ ու առարկություններ։ Ներկայումս այն լրամշակման ու քննարկման փուլում է:</t>
  </si>
  <si>
    <t>հազ․դրամ</t>
  </si>
  <si>
    <t>«Հայկական ատոմային էլեկտրակայան» ՓԲԸ-ի 2-րդ էներգաբլոկի շահագործման նախագծային ժամկետի կրկնակի երկարաձգում</t>
  </si>
  <si>
    <t>Հայաստանի վերականգնվող էներգետիկայի և էներգախնայողության հիմնադրամ 03.08.2022-31.12.2024թթ․</t>
  </si>
  <si>
    <t xml:space="preserve">ՀԱԷԿ-ի 2-րդ էներգաբլոկի շահագործման ժամկետի երկարաձգում մինչև 2036թ․։ </t>
  </si>
  <si>
    <t>«ՀԱԷԿ» ՓԲԸ                                                                                                                                                                                                               
2024-2026թթ․</t>
  </si>
  <si>
    <t>Ծրագրի նպատակն է նվազեցնել Երևան համայնքի հասարակական շենքերի էներգիայի սպառումը և աջակցել էներգաարդյունավետության ու վերականգնվող էներգիայի միջոցառումներին, որոնք կներառեն անհրաժեշտ աշխատանքներ պոլիկլինիկաների և մանկապարտեզների ընդհանուր տեխնիկական վիճակի բարելավման համար:
Ակնկալվող արդյունքները՝ ծրագրի իրականացման արդյունքում հնարավոր կլինի նվազեցնել 38 հասարակական շենքերի (6 պոլիկլինիկա և 32 մանկապարտեզ) էներգիայի սպառումը, որի արդյունքում կանխատեսվում է`
• էլեկտրաէներգիայի ծախսի նվազեցում,
• սեյսմիկ անվտանգության բարելավում,
• այցելուների հարմարավետության ու կյանքի որակի բարելավում,
• ածխաթթու գազի (CO2) արտանետումների կրճատում,
• վերանորոգվող շենքերի շահագործման ժամկետի երկարաձգում:</t>
  </si>
  <si>
    <t xml:space="preserve">Համայնքային ճանապարհների հիմնանորոգում և փողոցային լուսավորության ցանցի արդիականացում: Ճանապարհների վերակառուցում՝ ասֆալտի և մայթերի ծածկի նորացում, այդ թվում՝ ջրահեռացման ենթակառուցվածքների փոխարինում: Գ տրանշի շրջանակներում Անի և Ավստրիական թաղամասերի, ինչպես նաև Շիրակացի փողոցի փողոցային լուսավորության վերականգնման արդյունքում ներկայիս բարձր ճնշման սնդիկային լամպերի փոխարինում լուսադիոդային խնայող լամպերով: </t>
  </si>
  <si>
    <t>2024թ․ ինն ամսվա ճշտված պլան</t>
  </si>
  <si>
    <t>2024թ․ ինն ամսվա                                                                                                                                                                                                                                                                                                                                                                                                                                                                                                               բյուջեով                                                                                                                                                                                                                                                                                                                                                                                                                                                                                                                         կատարողական (%)</t>
  </si>
  <si>
    <t>«Ճանապարհային դեպարտամենտ» Հիմնադրամ   04.12.2019- 21.12.2023թթ.                                                                                                                                                                                                                                                                                                                                                                                           (Միջոցները հասանելի են մինչև 21.12.2024թ.)</t>
  </si>
  <si>
    <t>ՀՀ ՏԿԵՆ Ջրային կոմիտե                                                                                                                                                                                                                                                                                                                                                                                                                                                                                            24.11.2022-30.12.2023թթ.                                                                                                                                                                                                                                                                                                                                                                                                                                                                                                                                  (Իրականացվում է ծրագրի ժամկետի երկարաձգման գործընթացը)</t>
  </si>
  <si>
    <t>Հայաստանի տարածքային զարգացման հիմնադրամ                                                                                                                                                                                                                                                                                                                                                                                                                                                          21.06.2014-30.12.2025թթ.</t>
  </si>
  <si>
    <t xml:space="preserve"> «Համայնքային ենթակառուցվածքների II ծրագիր, փուլ 3 - Հայաստանի ջրամատակարարման և ջրահեռացման ենթակառուցվածք ծրագրի» շրջանակներում լրացուցիչ աշխատանքների իրականացման համար անհրաժեշտ խորհրդատուների մրցութային գործընթացի կազմակերպման և խորհրդատվական պայմանագրերի կնքման գործընթացները կարող է իրականացվել միայն միջազգային մրցութային գործակալի (Tender Agent) միջոցով՝ համաձայն Վերակառուցման վարկերի բանկի ընթացակարգերի:</t>
  </si>
  <si>
    <t xml:space="preserve">Խորհրդատվական ծառայություն: Պայամանագրի փոփոխության հիման վրա աշխատանքների կատարման ավարտ է նախատեսվել մինչև 30.12.2023թ.: Պայմանագրով նախատեսված աշխատանքները ընթացքի մեջ են։ Նախաձեռնվում է կատարել պայմանագրի փոփոխություն՝ կատարման ժամկետի երկարաձգման նպատակով: </t>
  </si>
  <si>
    <t>Ընթացքի մեջ են հողերի ձեռքբերման և վերաբնակեցումների գործողությունների պլանի (ՀՁՎԳՊ) ազդակիր անձանց փոխհատուցումների և օժանդակությունների տրամադրման աշխատանքները, ինչպես նաև՝ Ջրաձոր գյուղի նախագծահետազոտական աշխատանքների փորձաքննության փուլը։</t>
  </si>
  <si>
    <t>Ավարտական փուլում է խորհրդատվական ծառայությունների մատուցման խորհրդատուի ընտրության մրցութային գործընթացը։</t>
  </si>
  <si>
    <t>Ընթանում են ճանապարհահատվածի վերակառուցման ավարտական աշխատանքները:</t>
  </si>
  <si>
    <t xml:space="preserve">Խորհրդատվական ծառայություն մատուցող «Գիտեք» ընկերությունը ներկայացրել է ավարտական հաշվետվությունը, որը ընդունվել է 30.01.2024թ., վճարումները կատարվել են ամբողջությամբ: Ծրագիրն ավարտվել է: </t>
  </si>
  <si>
    <t>Էլեկտրաէներգետիկ համակարգի զարգացման ծրագիր - 6  միջոցառում</t>
  </si>
  <si>
    <t>Երևանի քաղաքապետարան                                                                                                                                                                                                  
2023-2028թթ.</t>
  </si>
  <si>
    <t>Երևանի քաղաքապետարան                                                                                                                                                                                                                                                                                                                                                                                                                                                                                     
30.09.2016-30.04.2025թթ.</t>
  </si>
  <si>
    <t>Երևանի քաղաքապետարան                                                                                                                                                                                                                                                                                                                                                                                                                                                                                     
20.10.2015-30.04.2025թթ.</t>
  </si>
  <si>
    <t>Երևանի քաղաքապետարան                                                                                                                                                                                                     
20.10.2015-30.04.2025թթ.</t>
  </si>
  <si>
    <t>Կամրջի աշխատանքներն ավարտվել են 2022թ. և հանձնվել է շահագործման: Ծրագիրը գտնվում է թերությունների վերացման ժամանակաշրջանում՝ 2 տարի ժամկետով:</t>
  </si>
  <si>
    <t xml:space="preserve">Հայաստանի տարածքային զարգացման հիմնադրամ                                                                                                                                                                                                                                                                                                                                                                                                                                                 27.03.2018-                                                                                                                                                                                                                                                                                                                                                                                                                                                                                                                                         31.12.2026թթ.                                                                                                                                                                                                                                                                                                                                                                                                                                                                                                                                                       </t>
  </si>
  <si>
    <t xml:space="preserve"> 1. Մ6 Վանաձոր-Ալավերդի-Վրաստանի սահման միջպետական նշանակության կմ 38+450 -  կմ 90+191 ճանապարհահատվածի վերակառուցում                                                                                                                                                                                                                                                                    2. Պուշկինի և Դիլիջանի Թունելների նախագծում                                                                                                                                                                                                                                                                                                                                                                                                                                                                              3. Աղետի հետևանքով փլուզված ճանապարհահատվածի գեոլոգիական ուսումնասիրություն, նախագծում։</t>
  </si>
  <si>
    <t>1. Մ6 Վանաձոր-Ալավերդի-Վրաստանի սահման միջպետական նշանակության կմ 38+450 -  կմ 90+191 ճանապարհահատվածի վերակառուցման աշխատանքներն ավարտված են,  ֆիզիկական առաջընթացը՝ 100 % է։
2. Պուշկինի և Դիլիջանի Թունելների նախագծումը ընթացքի մեջ է։
3.  Աղետի հետևանքով փլուզված ճանապարհահատվածի գեոլոգիական ուսումնասիրությունը, նախագծումը կախված է վարկի երկարացման հաստատումից։</t>
  </si>
  <si>
    <t xml:space="preserve">«Կարեն Դեմիրճյանի անվան Երևանի մետրոպոլիտեն»                                                                                                                                                                                                                                                                                                                                                                                                                                                                ՓԲԸ                                                                                                                                                                                                                                                                                                                                                                                                                                                                                                                                                                                          10.02.2014-27.12.2024թթ.                                                                                                                                                                                                                                                                                                                                                                                                                                                                                                                                                                                                                                                                                                                                                                                                                                                                                                                                                                                                         </t>
  </si>
  <si>
    <t xml:space="preserve">«Կարեն Դեմիրճյանի անվան Երևանի մետրոպոլիտեն»                                                                                                                                                                                     ՓԲԸ                                                                                                                                                                                                                                                                                                                                                                                                                                                                                                                                                                 06.08.2014-30.06.2023թթ.                                                                                                                                                                                                                                                                                                                                                                                                                                                                                                                                                                                                                                                                                                                                                                                                                                                                                                                                                                                                        </t>
  </si>
  <si>
    <t>27.11.2023թ. ստորագրվել է թիվ 4371-ARM վարկային համաձայնագիրը։ Ծրագիրը  վավերացվել է սույն թվականի մայիսի 22-ին:</t>
  </si>
  <si>
    <t xml:space="preserve">ՀՀ տարածքային կառավարման և ենթակառուցվածքների նախարարություն                                                                                                                                                                                              
15.10.2021    -30.12.2024թթ․                                                                                                                                                                                            </t>
  </si>
  <si>
    <t>Գյումրու համայնքապետարան                                                                                                                                                                                                                                                                                                   14.06.2017- 28․11․2028թ․</t>
  </si>
  <si>
    <t>Ծրագրի 1-ին բաղադրիչով իրականացման տարբեր փուլերում են միկրոծրագրեր Արագածոտնի, Վայոց ձորի, Լոռու,  Շիրակի, Տավուշի և Արմավիրի մարզերում: Ծրագրի 2-րդ բաղադրիչի շրջանակներում  իրականացվում են  ավտոկայանատեղիների և ոռոգման համակարգերի  կառուցման և վերանորոգման աշխատանքները: Շինարարական աշխատանքներին վերաբերվող 3 ենթածրագրերը  գտնվում են իրականացման տարբեր փուլերում: Ավարտվել են կոմունալ  և գյուղական նշանակության սարքավորումների տրամադրման գործընթացները:</t>
  </si>
  <si>
    <t>Ծրագիրն ավարտվել է, նախատեսված վճարումները կատարվել են։ Թերակատարումը պայմանավորված է արտարժույթի փոխարժեքի տարբերությամբ:</t>
  </si>
  <si>
    <t>16.57 մլն եվրո</t>
  </si>
  <si>
    <t xml:space="preserve">Գյումրու համայնքապետարան                                                                                                                                                                                                                                                                                                                                                                                               07.06.2017-31.12.2026թթ.                                                </t>
  </si>
  <si>
    <t xml:space="preserve">Ծրագրի առաջին և երկրորդ բաղադրիչների շրջանակներում հայտարարվում են մրցույթներ, կնքվում պայմանագրեր: 
</t>
  </si>
  <si>
    <t xml:space="preserve"> Վարկային համաձայնագրի բացակայություն` պայմանավորված Դոնորի բացակայությամբ:</t>
  </si>
  <si>
    <t xml:space="preserve">Շարունակվում է ծրագրի շրջանակներում կնքված պայմանագրերով նախատեսված ծառայությունների մատուցումը և շինարարական աշխատանքների իրականացումը։ </t>
  </si>
  <si>
    <t>Նախատեսված է 2025թ․ հայտարարել մրցույթ տեխ հսկողի ձեռք բերման համար:</t>
  </si>
  <si>
    <t xml:space="preserve"> Ասիական զարգացման բանկի աջակցությամբ իրականացվող քաղաքային ենթակառուցվածքների և քաղաքի կայուն զարգացման ներդրումային ծրագրի շրջանակներում ճանապարհային շինարարություն</t>
  </si>
  <si>
    <t>«Երևանի կառուցապատման ներդրումային ծրագրերի իրականացման» ՀՈԱԿ                                                                                                                                                                                                           
19.07.2011-31.12.2023թթ.</t>
  </si>
  <si>
    <t>Ասիական զարգացման բանկի աջակցությամբ իրականացվող քաղաքային ենթակառուցվածքների և քաղաքի կայուն զարգացման ներդրումային երկրորդ ծրագրի շրջանակներում ճանապարհային շինարարություն</t>
  </si>
  <si>
    <t>«Երևանի կառուցապատման ներդրումային ծրագրերի իրականացման» ՀՈԱԿ                                                                                                                                                                                                                
04.03.2016-31.12.2023թթ.</t>
  </si>
  <si>
    <t>Թերակատարումը պայմանավորված է արտարժույթի փոխարժեքային տարբերությամբ:</t>
  </si>
  <si>
    <t>Ընթացքի մեջ են խորհրդատուի ծառայությունների մատուցման գործընթացները, ինչպես նաև՝ կապալառուների ընտրության մրցութային գործընթացի ավարտական փուլը։</t>
  </si>
  <si>
    <t>Քաղաքային տրանսպորտի ենթակառուցվածքի բարելավում, Երևանի արևմտյան օղակաձև ճանապարհի հատվածների կառուցում, ինստիտուցիոնալ կարողությունների զարգացում, ծրագրի կառավարում և կարողությունների զարգացում:
Արշակունյաց պողոտայի վերակառուցման/լայնացման, Արտաշատի խճուղու վերակառուցման/լայնացման և Նոր Շիրակ ճանապարհահատվածի կառուցման աշխատանքների իրականացում,
ինչպես նաև ինստիտուցիոնալ կարողությունների զարգացում, ծրագրի կառավարում և կարողությունների զարգացում:</t>
  </si>
  <si>
    <t>Լրացնել Երևան քաղաքի արևմտյան օղակաձև ճանապարհի բացակայող ճանապարհահատվածները, որի արդյունքում կբեռնաթափվի Երևանի կենտրոնը, ուղիղ կապ կապահովվի Դավթաշեն, Աջափնյակ, Շենգավիթ և Մալաթիա-Սեբաստիա համայնքների միջև: Կնվազեցվի երթևեկության ժամանակը և խցանումների քանակը:
Բարելավված ճանապարհային երթևեկության ցանց և  անվտանգություն, Դավթաշեն-Աշտարակ, Բաբաջանյան-Աշտարակ և Արգավանդ-Շիրակ ճանապարհահատվածների կառուցում: Խորհրդատվական ծառայությունների վարձման արդյունքում պատշաճ մակարդակի  շինարարական աշխատանքների վերահսկողության, ինչպես նաև աուդիտի և մոնիտորինգի իրականացում:</t>
  </si>
  <si>
    <t xml:space="preserve">Ծրագրի դրամաշնորհային միջոցների հասանելիության ժամկետը սպառվել է 30․06․24թ., և Եվրամիությունը չի երկարաձգել այն։  </t>
  </si>
  <si>
    <t>38,96 մլն                                                                                                                                                                                                                                                                                                                               ԱՄՆ դոլար                                                                                                                                                                                                                                                                                                                                                                                                                                                                                                                                                                                                                                                                                                                                                                                                                                                                                                                                                (27,200.28 հազ. SDR)</t>
  </si>
  <si>
    <t xml:space="preserve">
75,513.34 հազ. ԱՄՆ դոլար</t>
  </si>
  <si>
    <t>Ընթանում են բանակցություններ ֆինանսավորող բանկերի հետ վարկային համաձայնագրերի կնքման համար։</t>
  </si>
  <si>
    <t>ՀՀ կառավարության 19․09.2024թ․ N 1490-Ն  որոշման համաձայն Միջոցառման համար նախատեսված ծախսերը նվազեցվել են ամբողջությամբ:</t>
  </si>
  <si>
    <t>ՀՀ կառավարության 19․09.2024թ․ N 1490-Ն որոշման համաձայն Միջոցառման համար նախատեսված ծախսերը նվազեցվել են ամբողջությամբ:</t>
  </si>
  <si>
    <t>ՀՀ կառավարության 03.10.2024թ․ N 1579-Ն  որոշման համաձայն Միջոցառման համար նախատեսված ծախսերը նվազեցվել են ամբողջությամբ:</t>
  </si>
  <si>
    <t>ՀՀ կառավարության 15.11.2024թ․ N 1806-Ն  որոշման համաձայն Միջոցառման համար նախատեսված ծախսերը նվազեցվել են ամբողջությամբ:</t>
  </si>
  <si>
    <t>ՀՀ կառավարության 03.10.2024թ․ N 1579-Ն  և 15.11.2024թ․                                                                                                                                                                                                                                                                                                                                                                                                                                                        N 1800-Ն որոշումներով Միջոցառման համար նախատեսված ծախսերը նվազեցվել են ամբողջությամբ:</t>
  </si>
  <si>
    <t>Քաղաքային զարգացում - 12 միջոցառում</t>
  </si>
  <si>
    <t>ՀՀ կառավարության 15.11.2024թ․ N 1806-Ն որոշման համաձայն Միջոցառման համար նախատեսված ծախսերը նվազեցվել են ամբողջությամբ:</t>
  </si>
  <si>
    <t>ՀՀ կառավարության 15.11.2024թ.․N 1806-Ն որոշման համաձայն Միջոցառման համար նախատեսված ծախսերը նվազեցվել են ամբողջությամբ:</t>
  </si>
  <si>
    <t xml:space="preserve">Ա տրանշով սահմանված բոլոր 14 փողոցներում և հրապարականերում շին․ աշխատանքներն ավարտված  են, հիմնանորոգվել է ընդհանուր առմամբ մոտ 12 կմ ճանապարհային ցանց՝ իր ենթակառուցվածքներով։ Բ տրանշի շրջանակներում մոտ 13 կմ երկարությամբ , թվով 23 փողոցներում ճանապարհների հիմնանորոգման աշխատանքների բոլոր երեք չափաբաժիններն ավարտված են։ Միջոցառման միջոցների հաշվին իրականացվել է աշխատանքների 1/3 մասը։ Պիլոտային-2 ծրագրի շրջանակներում 2021թ․ տեղադրվել է 401 լուսադիոդային լամպեր և կառավարման  սարքավորումներ։ Ստորագրվել է Գ Տրանշի դրամաշնորհային համաձայնագրի երկարաձգումը՝ մինչև 2028թ․ նոյեմբերի 28-ը։ Ա և Բ Տրանշների հասանելիությունը երկարաձգվել է Վարկային համաձայնագրի փոփոխությամբ։ Գ Տրանշի վերաբաշխման նախագիծը հաստատված է։  Նախատեսվում է Ա և Բ Տրանշներից տնտեսված դրամաշնորհային միջոցներն ուղղել Գ Տրանշի նպատակների համար։ </t>
  </si>
  <si>
    <t>Տեխնիկական համագործակցության շրջանակներում իրականացվել է տեխնիկական և հեղինակային հսկողություն ծրագրի Ա  և Բ տրանշներով հիմնանորոգված փողոցների շին աշխատանքների վրա։  Նախատեսվում է Գ Տրանշի իրագործման համար պահանջվող նախագծանախահաշվային փաստաթղթերի պատրաստման և տեխնիկական հսկողության բաղադրիչին ուղղված ՎԶԵԲ կողմից  750 հազ․ ՏՀ  նոր դրամաշնորհի տրամադրում։ Նախատեսվում է վարկի ավելացված սահմանաչափի միջոցնեերից ևս  750 հազ․ եվրո տրամադրել Տեխնիկական համագործակցության նպատակների համար։ Հայտարարվել է մրցույթ Գ Տրանշի խորհրդատուի ընտրության նպատակով, ստացվել են մասնակիցների Հետաքրքրության արտահայտումները, ընթանում են  ընտրության գործընթացներ։</t>
  </si>
  <si>
    <t xml:space="preserve">ՀՀ տարածքային կառավարման և ենթակառուցվածքների նախարարություն                                                                                                                                                                                               
05.04.2016-30.09.2025թթ.                                                                                                                                                                                                        </t>
  </si>
  <si>
    <t xml:space="preserve">ՀՀ տարածքային կառավարման և ենթակառուցվածքների նախարարություն                                                                                                                                                                                                   
05.04.2016-30.09.2025թթ.                                                                                                                                                                                                                                                                                                                                                                                                                                                                                                                                                                                                                                                                                                           
</t>
  </si>
  <si>
    <t>Ճանապարհահատվածի վերակառուցման աշխատանքներն ավարտված են:</t>
  </si>
  <si>
    <t xml:space="preserve">«Ճանապարհային դեպարտամենտ» Հիմնադրամ                                                                                                                                                                                                                                                                                                                                                                                                                                                                                                                                                     24.04.2017-31.08.2024թթ.  (Երկարացման և վավերացման փուլում է գտնվում  մինչև 31.12.2025թ.)                                                                                                                                                                                                                                                                                                                                                                                                                                                                                                                                                                                                                                                                                                                                                                                                                                                                                                                                                                                                                                </t>
  </si>
  <si>
    <t xml:space="preserve">«Ճանապարհային դեպարտամենտ» Հիմնադրամ                                                                                                                                                                                          
18.07.2011-31.12.2024թթ.  .Վարկային համաձայնագրի ավարտից հետո վերջնական վարկային վճարումներն իրականացվելու են մինչև 30.04.2025թ.:
Աշխատանքներն ու հետերաշխիքային ժամանակաշրջանը  ավարտվելու են 2026թ.՝ ՀՀ համաֆինանսավորման միջոցների հաշվին:                                                                                                                                                                                                                                                                                                                                                                                                                                                                                                                                                                                                                                                                                                                                                                                                                                                                                                                                                                                                                               </t>
  </si>
  <si>
    <t xml:space="preserve">«Ճանապարհային դեպարտամենտ» Հիմնադրամ                                                                                                                                                                                               
24.07.2014-31.12.2024թթ.                                                                                                                                                                                                                                                                                                                                                                                                                                                                                                              Վարկային համաձայնագրի ավարտից հետո վերջնական վճարումներն իրականացվելու են մինչև 30.04.2025թ․                                                                                                                                                                                                                                                                                                                                                                                                                                                                                                                                                                                                                                                                                                                                                                                                                                                                                                                                                                                                                                                               </t>
  </si>
  <si>
    <t xml:space="preserve"> Աշխատանքների առաջընթացը 99% է: Շահագործման է հանձնվել 2022թ:                                                                                                                                                                                                                                                                                                                                                                                                               Տրանշ 3-ից վճարվում է նաև Տրանշ 2 Ծրագրի 34կմ հատվածի 8.8 կմ-ը:</t>
  </si>
  <si>
    <t>«Ճանապարհային դեպարտամենտ» Հիմնադրամ                                                                                                                                                                                            
27.08.2014-31.12.2023թթ.                                                                                                                                                                                                                                                                                                                                                                                                                                                                                                     (Միջոցները հասանելի են մինչև 19.12.2024թ. Հետերաշխիքային ժամանակաշրջանն  ավարտվելու է 2025թ., որի համար առկա է բանկի համաձայնություն՝ վճարումներ իրականացնելու համար:)</t>
  </si>
  <si>
    <t>2024-2025թթ․ իրականացվում են հողերի օտարման և տարաբնակեցման ծրագրերը:</t>
  </si>
  <si>
    <t>Իրականացվել են  Հողերի օտարման և տարաբնակեցման ծրագրերը:</t>
  </si>
  <si>
    <t>Հողերի օտարման և տարաբնակեցման ծրագրերը նախատեսվում են իրականացնել  2025թ․ ընթացքում:</t>
  </si>
  <si>
    <t>Իրականացվել են Տրանշ 2  Ծրագրի ՀՕՏԾ-ի շրջանականերում օտարումների ծախսերը, ինչպես նաև տարեկան ֆինանսական աուդիտի ծառայությունը։</t>
  </si>
  <si>
    <r>
      <t xml:space="preserve">«Ճանապարհային դեպարտամենտ» Հիմնադրամ                                                                                                                                                                                              
05.04.2017-30.04.2024թթ.                                                                                                                                                                                                                                                                                                                                                                                                                                                                                                                         </t>
    </r>
    <r>
      <rPr>
        <sz val="14"/>
        <color rgb="FFFF0000"/>
        <rFont val="GHEA Grapalat"/>
        <family val="3"/>
      </rPr>
      <t xml:space="preserve">  </t>
    </r>
    <r>
      <rPr>
        <sz val="14"/>
        <rFont val="GHEA Grapalat"/>
        <family val="3"/>
      </rPr>
      <t xml:space="preserve">                                                                                                                                                                                                                                                                                                                                                                                                                                                                                                 </t>
    </r>
  </si>
  <si>
    <t>Կապալառու ընկերությունների կողմից իրականացվում են էներգախնայողության միջոցառումներին ուղղված շինարարական աշխատանքների ավարտական փուլը։</t>
  </si>
  <si>
    <t>Ծրագրի շրջանակներում ավարտվել են հանրապետությունում առաջին սանիտարական աղբավայրի   երկու փոխաբեռնման կայանների շինարարական աշխատանքները։ Ներկայումս ընթանում են շինարարական աշխատանքների փաստագրման գործընթացները։  Միաժամանակ ընթացքում են  աղբավայրի և փոխաբեռնման կայանների շահագործման հատուկ մեքենամեխանիզացիայի, աղբատար մեքենաների և աղբամանների գնման գործընթացները։ Մասնավորապես՝ 28 աղբատարները, աղբավայրի շահագործման կոմպակտորը, բուլդոզերը, անվավոր բեռնիչը, ինքնաթափը և աղբամանները  արդեն մատակարարվել են։ Կեղտաջրերի հավաքման բեռնատարը    դեկտեմբերի 10-ին մատակարարվել է։ Իսկ Կցասայլով 2 բեռնամբարձիչ, Ստացիոնար խտացնող 2 սարքավորում, փոխաբեռնման կայանի շահագործման համար թվով 6 Փակ 30խմ կոնտեյներ, աղբավայրի համար թվով 6 հատ  40խմ Բաց կոնտեյներ, հավաքման կետերի համար սպասարկման մեքենաներ, աղբավայրի համար պիկապ  մեքենասարքավորումների համար մի քանի անգամ հայտարարված մրցույթներին մասնակից չի եղել։ Գործընթացն արագացնելու համար նախատեսվում է տեղական ընթացակարգերով մրցույթ հայտարարել։ Հուլիսի 18-ին հայտարարված էլեկտրոնային աճուրդին ներկայացվել են հայտեր, աճուրդը կայացել է հուլիսի 30-ին, 4 չափաբաժինների մասով կան հաղթած մասնակիցներ, որոնց հետ կնքվել են պայմանագրեր, սպասարկման մեքենաների չափաբաժնի մասով վերահայտարարված մրցույթին 2 հայտ է ներկայացված, ներկայումս գնահատման փուլն է։</t>
  </si>
  <si>
    <t>Ծրագրի շրջանակներում ավարտվել են հանրապետությունում առաջին սանիտարական աղբավայրի   երկու փոխաբեռնման կայանների շինարարական աշխատանքները։ Ներկայումս ընթանում են շինարարական աշխատանքների փաստագրման գործընթացները։  Միաժամանակ ընթացքում են  աղբավայրի և փոխաբեռնման կայանների շահագործման հատուկ մեքենամեխանիզացիայի, աղբատար մեքենաների և աղբամանների գնման գործընթացները։ Մասնավորապես՝ 28 աղբատարները, աղբավայրի շահագործման կոմպակտորը, բուլդոզերը, անվավոր բեռնիչը, ինքնաթափը և աղբամանները  արդեն մատակարարվել են։ Կեղտաջրերի հավաքման բեռնատարը    դեկտեմբերի 10-ին մատակարարվել է։ Իսկ Կցասայլով 2 բեռնամբարձիչ, Ստացիոնար խտացնող 2 սարքավորում, փոխաբեռնման կայանի շահագործման համար թվով 6 Փակ 30խմ կոնտեյներ,  աղբավայրի համար թվով 6 հատ  40խմ Բաց կոնտեյներ, հավաքման կետերի համար սպասարկման մեքենաներ, աղբավայրի համար պիկապ  մեքենասարքավորումների համար մի քանի անգամ հայտարարված մրցույթներին մասնակից չի եղել։ Գործընթացն արագացնելու համար նախատեսվում է տեղական ընթացակարգերով մրցույթ հայտարարել։ Հուլիսի 18-ին հայտարարված էլեկտրոնային աճուրդին ներկայացվել են հայտեր, աճուրդը կայացել է հուլիսի 30-ին, 4 չափաբաժինների մասով կան հաղթած մասնակիցներ, որոնց հետ կնքվել են պայմանագրեր, սպասարկման մեքենաների չափաբաժնի մասով վերահայտարարված մրցույթին 2 հայտ է ներկայացված, ներկայումս գնահատման փուլն է։</t>
  </si>
  <si>
    <t xml:space="preserve">Շահագործման ժամկետի կրկնակի երկարաձգման ծրագրի շրջանակներում կնքվել են հետևյալ պայմանագրերը․  11 պայմանագիր 9.831 մլն. ԱՄՆ դոլար արժեքով, 1 պայմանագիր 24.470 մլն ՌԴ ռուբլի արժեքով,  3 պայմանագիր 7.431 մլն եվրո արժեքով և  11 պայմանագիր 5.288,6 մլն դրամ արժեքով։ Կատարվել են պայմանագրով նախատեսված կանխավճարները և վճարումներ կատարված աշխատանքների դիմաց։      </t>
  </si>
  <si>
    <t>160 մլն
 ԱՄՆ դոլար</t>
  </si>
  <si>
    <t xml:space="preserve">  (01.01.2025թ. դրությամբ) </t>
  </si>
  <si>
    <t xml:space="preserve"> Իրականացվել է  Համայնքային ենթակառուցվածքների վերականգնում 2-րդ ծրագրի 3-րդ փուլի  ծրագրի 2023 թ. ֆինանսական հաշվետվությունների աուդիտ, որը ընդունվել է 27.03.2024թ.: Ծրագրի կատարումը երկարաձգվել է մինչև 30.12.2025թ., որի հիման վրա նախաձեռնվել է պայմանագրի փոփոխության գործընթաց, որը անցնում է երկարատև համաձայնությունների ընթացք՝ KfW բանկի հետ։ Լրացում 3-ը ստորագրման փուլում է, որով պայմանավորված 2024թ․ երկու կիսամյակային տեխնիկական աուդիտի հաշվետվությունները նախատեսվում է ներկայացնել  2025թ․ առաջին կիսամյակի ընթացքում՝ որի արդյունքների հիման վրա և կկատարվի վճարում։</t>
  </si>
  <si>
    <t xml:space="preserve"> Թերակատարումը պայմանավորված է արտարժույթի փոխարժեքի տարբերությամբ:</t>
  </si>
  <si>
    <t xml:space="preserve"> Կառավարման խորհրդի 2023թ․ դեկտեմբերի 18-ի N 6-02-02/2023 որոշման 2023թ․ դեկտեմբերի 19-ին ստորագրվել են 220կՎ «Զովունի» ենթակայանի վերակառուցման նախագծման, մատակարարման և մոնտաժման  N HVEN-DSI-1/2020_2 պայմանագրի (այսուհետ՝ Պայմանագիր) փոփոխություններ  N 3-ն ու N 4-ը, համաձայն որոնց  փոփոխություններ են իրականացվել Պայմանագրի Վճարման պայմաններում և երկարաձգվել են Փուլ 1-ի և Փուլ 2-ի ժամկետները։ Պայմանագրի շրջանակներում կապալառուի կողմից մատակարարված սարք-սարքավորումների դիմաց իրականացվել է վճարում: Ավարտվել են փուլ 1-ով նախատեսված շինմոնտաժային աշխատանքները, ընթանում է ընդունման-հանձնման գործընթացը:  «Զովունի» ենթակայանի վերակառուցման աշխատանքները նախատեսվում է ավարտել 2025թ․: 
«Վանաձոր-1» ենթակայանի վերակառուցման շրջանակներում ավարտված շինարարական օբյեկտի՝ հաստատված նախագծային և նորմատիվատեխնիկական փաստաթղթերի պարտադիր պահանջներին համապատասխանության հավաստման նպատակով Պատվիրատուի գլխավոր տնօրենի հրամանով ստեղծվել է ընդունող հանձնաժողով, որն իրականացրել է ավարտված շինարարական օբյեկտի շահագործման ընդունման ակտի ստորագրման գործընթաց: Հանձնման-ընդունման ակտը և համապատասխան փաստաթղթերը ուղարկվել են Վանաձոր համայնքի ղեկավարին՝ ավարտական շահագործման թույլտվությունը փաստագրելու համար։ Վերջնավճարների վճարումը (սեփական միջոցների հաշվին) նախատեսվում է իրականացնել 2025թ․ ընթացքում։
«Էլեկտրամատակարարման հուսալիության ծրագրի լրացուցիչ ֆինանսավորում» ծրագրի վարկային համաձայնագրի ժամկետը լրացել է 2023թ․ դեկտեմբերի 31-ին: </t>
  </si>
  <si>
    <t>Կառավարման խորհրդի 2023թ․ դեկտեմբերի 18-ի N 6-02-03/2023 որոշման՝ 2023թ․ դեկտեմբերի 19-ին ստորագրվել են 220կՎ «Արարատ-2» ենթակայանի վերակառուցման նախագծման, մատակարարման և մոնտաժման N HVEN-DSI-1/2020_1 պայմանագրի (այսուհետ՝ Պայմանագիր) փոփոխություններ N 3-ը, N 4-ը և N 5-ը, համաձայն որոնց  փոփոխություններ են իրականացվել Պայմանագրի Վճարման պայմաններում, իսկ ենթակայանում աշխատանքների ավարտման ժամկետ է սահմանվել 2024թ․ դեկտեմբերի 29-ը։ Պայմանագրի շրջանակներում կապալառու Kaskad-Energo LLC ընկերության կողմից իրականացվել են 1-ին, 2-րդ և 3-րդ փուլի շինարարական աշխատանքները, որոնց դիմաց իրականացվել են համապատասխան վճարումներ: Պայմանագրի շրջանակներում ավարտվել են փուլ 4-ով և շինարարական աշխատանքներով նախատեսված շինմոնտաժային աշխատանքները և կապալառու Kaskad-Energo LLC ընկերության կողմից ներկայացվել են համապատասխան ակտեր, որոնք գտնվում են «Բարձրավոլտ էլեկտրացանցեր» ՓԲ ընկերության կողմից դիտարկման փուլում։</t>
  </si>
  <si>
    <t xml:space="preserve">Վերականգնման վարկերի (KfW) բանկի (այսուհետ՝ Բանկ) աջակցությամբ իրականացվող «Կովկասյան էլեկտրահաղորդման ցանց (Հայաստան-Վրաստան հաղորդիչ գիծ/ենթակայաններ)» ծրագրի շրջանակներում (այսուհետ՝ Ծրագիր)  
Լոտ 1-ի և Լոտ 3-ի մասով հայտատուների բացակայության պատճառով՝ Բանկի առաջարկով մրցույթները չեղարկվել են: Նոր մրցույթները շարունակվելու են «Սահմանափակ մրցակցային սակարկություն» գործընթացով՝ նախապես ընտրված ընկերություններից գնառաջարկի ստացման տարբերակով: Համաձայն Բանկի կողմից հաստատված նախապես ընտրված  ցանկի՝ տեղեկատվական գրություններ են ներկայացվել հնարավոր հայտատուներին՝ մրցույթին մասնակցելու նրանց հետաքրքրությունը պարզելու համար: Լոտ 1-ին մասնակցելու հետաքրքրություն են հայտել 7, իսկ Լոտ 3-ին՝ 3 ընկերություններ: Մրցութային փաստաթղթերը վերջնականացնելու նպատակով Fichtner խորհրդատվական ընկերության (այսուհետ՝ Խորհրդատու) հետ իրականացվում են որոշ թեմաների քննարկումներ: Ներկայումս Խորհրդատուի կողմից վերջնականացվում են մրցութային փաստաթղթերի նախագծերի համապատասխան բաժինները՝ հաշվի առնելով Ընկերության առաջարկությունները:
Լոտ 2-ի  մասով հայտատուներ Kalpataru Projects International limited և KEC International limited ընկերությունների կողմից ներկայացված  ֆինանսական հայտերի  բարձր  գներով  պայմանավորված՝ Բանկի և ՀՀ ՏԿԵՆ կառավարման խորհրդի հաստատմամբ գլխավոր կապալառուի ընտրության ընթացիկ մրցույթը չեղարկվել է: Այդ  մասին ծանուցումը 2024թ. դեկտեմբերի 06-ին հրապարակվել է ԳԱՆՀ-ի (Գերմանիայի առևտրային և ներդրումային հարթակ), ՀՀ ՏԿԵՆ-ի և Ընկերության պաշտոնական կայքերում: Ընթացիկ մրցութային գործընթացը չեղյալ հայտարարելուց հետո, նախատեսվել է գների նվազեցման շուրջ ուղիղ բանակցությունների վարում համեմատաբար ցածր գին ներկայացրած KEC հայտատուի հետ: 2024թ. դեկտեմբերի 11-ին Խորհրդատուի և Ընկերության միջև կայացած տեսազանգի միջոցով իրականացվել են ներքին նախապատրաստական քննարկումներ համեմատաբար ցածր գին ներկայացրած KEC ընկերության հետ նախատեսվող  բանակցությունների հնարավոր թեմաների շուրջ: 2024թ. դեկտեմբերի 16-ին  KEC-ի հետ բանակցությունների շրջանակում տեղի  է ունեցել առաջին առցանց հանդիպումը, որի  ընթացքում Ընկերությունը և Խորհրդատուն KEC-ին են ներկայացրել Ընկերության և Խորհրդատուի կողմից մշակված նոր պայմանները, որոնց պարագայում հնարավոր է KEC-ից ակնկալել ավելի ցածր գնառաջարկ: KEC-ի հետ բանակցությունների շրջանակում տեղի ունեցած առաջին առցանց հանդիպման արդյունքում 2024թ. դեկտեմբերի 18-ին KEC-ը ներկայացրել է հենարանի քաշի և հիմքի ծավալների կրճատման միջոցով նախագծի օպտիմալացման նոր առաջարկ՝ Ծրագրի ծախսերի խնայողության  և ավելի ցածր գնառաջարկ ապահովելու նպատակով: Նոր առաջարկը դիտարկվում է Ընկերության և Խորհրդատուի կողմից: Ըստ բանակցության կողմերի պայմանավորվածության՝ KEC-ը վերանայված գնառաջարկը պետք է ներկայացնի մինչև 2025թ. հունվարի 15-ը: 
Խորհրդատվական Պայմանագրի Փոփոխություն No. 04-ի Հավելված 2a-ի համաձայն՝ խորհրդատուն ներկայացրել է 2024թ. երկրորդ և երրորդ եռամսյակների՝ ապրիլից մինչև հունիս և հուլիսից մինչև սեպտեմբեր ընկած ժամանակահատվածների համար Փուլ A-ով մատուցած ծառայությունների դիմաց վճարման հաշիվ-ապրանքագրերը իր հիմնավորող փաստաթղթերով: 
Խորհրդատուի կողմից Փուլ A-ի համար մատուցված ծառայությունների դիմաց 2024թ. երկրորդ եռամսյակի՝ ապրիլից մինչև հունիս և 2024թ. երրորդ եռամսյակի՝ հուլիսից մինչև սեպտեմբեր ընկած ժամանակահատվածների համար հաստատված վճարման պահանջագրերը համապատասխանաբար 2024թ. դեկտեմբերի 13-ին և 2024թ. դեկտեմբերի 20-ին Ընկերության կողմից սահմանված կարգով ներկայացվել են Բանկի վճարմանը: Ներկայումս Ընկերությունը սպասում է Բանկի կողմից կատարված վճարման հանձնարարագրերին: </t>
  </si>
  <si>
    <t xml:space="preserve">Հաշվետու ժամանակահատվածում 2024թ. ՀՀ պետական բյուջեի թերակատարումը պայմանավորված է Ծրագրի խորհրդատու Fichtner GmbH &amp; Co. KG ընկերության կողմից 2024թ. Երկրորդ և երրորդ եռամսյակների համար մատուցված ծառայությունների դիմաց KfW բանկի կողմից վճարման ուշացմամբ: </t>
  </si>
  <si>
    <t>Վճարումները կատարվել են ձեռքբերված ապրանքների և ծառայություններին համապատասխան։
Թերակատարումը պայմանավորված է առաջացած խնայողություններով։</t>
  </si>
  <si>
    <t>Թերակատարումը պայմանավորված է առաջացած փոխարժեքային տարբերություններով։</t>
  </si>
  <si>
    <t>Վճարումները կատարվել են ձեռքբերված ապրանքների և ծառայություններին համապատասխան։
Թերակատարումը պայմանավորված է առաջացած խնայողություններով և որոշ խորհրդատվական ծառայությունների մատուցման հետաձգմամբ։</t>
  </si>
  <si>
    <t>Թերակատարումը պայմանավորված է առաջացած փոխարժեքային տարբերություններով և առաջացած խնայողություններով։</t>
  </si>
  <si>
    <t xml:space="preserve">Նախատեսված բոլոր վճարումները կատարվել են։
Թերակատարումը պայմանավորված է փոխարժեքի տարբերությամբ:                       </t>
  </si>
  <si>
    <t xml:space="preserve">Հայաստանի տարածքային զարգացման հիմնադրամ                                                                                                                                                                                                                                                                                                                                                                                                                                                 29.06.2015-30.12.2026թթ.                                                                                                                                                                                                                                                                                                                                                                                                                                                                                                           </t>
  </si>
  <si>
    <t xml:space="preserve">Վճարումները կատարվել են ձեռքբերված ապրանքների և ծառայություններին համապատասխան։
Թերակատարումը պայմանավորված է առաջացած խնայողություններով, ինչպես նաև՝ հանձնաժողովի նիստերի հետաձգման պատճառով նախատեսվածից քիչ փոխհատուցման փաթեթների հաստատմամբ և համապատասխան վճարումների ծավալով։                              </t>
  </si>
  <si>
    <t>ՀՀ կառավարության 19.12.2024թ․ N 2002-Ն որոշումով Միջոցառման համար նախատեսված ծախսերը նվազեցվել են ամբողջությամբ:</t>
  </si>
  <si>
    <t xml:space="preserve">Վճարումները կատարվել են ձեռքբերված ապրանքների և ծառայություններին համապատասխան։
Թերակատարումը պայմանավորված է առաջացած խնայողություններով։
</t>
  </si>
  <si>
    <t xml:space="preserve">Վճարումները կատարվել են համաձայն ներկայացված կատարողականների։ Թերակատարումը պայմանավորված է փոխարժեքային տարբերություններով։                                                                                                                                                                                                                                                                                                                                                                                                      </t>
  </si>
  <si>
    <t xml:space="preserve">Վճարումները կատարվել են համաձայն ներկայացված կատարողականների։ Թերակատարումը պայմանավորված է փոխարժեքային տարբերություններով։                                                                                                                                                                                                                                   </t>
  </si>
  <si>
    <t xml:space="preserve"> Թերակատարումը պայմանավորված է արտարժույթի փոխարժեքային տարբերություններով։  </t>
  </si>
  <si>
    <t xml:space="preserve">Ծրագիրն ավարտվել է, նախատեսված վճարումները կատարվել են։ Թերակատարումը պայմանավորված է արտարժույթի փոխարժեքային տարբերությամբ:  </t>
  </si>
  <si>
    <t>Թերակատարումը պայմանավորված է փոխարժեքային տարբերությամբ:</t>
  </si>
  <si>
    <t>Թերակատարումը պայմանավորված է փոխարժեքային տարբերությամբ։</t>
  </si>
  <si>
    <t xml:space="preserve">«Ճանապարհային դեպարտամենտ» Հիմնադրամ                                                                                                                                                                                              
04.09.2013-14.08.2024թթ.                                                                                                                                                                                                                                                                                                                                                                                                                                                                                                          (Վճարման վերջնաժամկետ՝ 31.12.2024թ.)                                                                                                                                                                                                                                                                                                                                                                                                                                                                                                      </t>
  </si>
  <si>
    <t>Ծրագիրն ավարտվել է, կատարվել է վերջին 5%  հետերաշխիքային գումարի վճարումը:</t>
  </si>
  <si>
    <t>Թերակատարումը պայմանավորված է Ծրագրի ընթացիկ ծախսերի խնայողություններով:</t>
  </si>
  <si>
    <t>Իրականացվել են Ծրագրի պահպանման/գրասենյակային ծախսերը, ինչպես նաև տարեկան ֆինանսական աուդիտի ծառայությունը։</t>
  </si>
  <si>
    <t>Իրականացվել են Տրանշ 3 Ծրագրերի պահպանման/գրասենյակային ծախսերը, ինչպես նաև տարեկան ֆինանսական աուդիտի ծառայությունը։</t>
  </si>
  <si>
    <t>Իրականացվել են Ծրագրի պահպանման/գրասենյակային ծախսերը, ինչպես նաև տարեկան ֆինանսական աուդիտի ծառայությունը:</t>
  </si>
  <si>
    <t>Իրականացվել են բոլոր աշխատանքները, ծրագիրն ավարտվել է:</t>
  </si>
  <si>
    <t>Իրականացվել է աշխատանքների և ծառայությունների ընդունում։</t>
  </si>
  <si>
    <t xml:space="preserve">Միջոցառման շրջանակներում վճարումներն իրականացնելու, ինչպես նաև նախատեսված ժամանակահատվածում ՀԱԷԿ-ի 2-րդ էներգաբլոկի շահագործման ժամկետը մինչև 2036թ. երկարացնելուն ուղղված աշխատանքների կատարումն սկսելու նպատակով, մինչև ֆինանսավորման աղբյուրի հստակեցումը, Կառավարության 02.05.2024թ. № 632-Ն որոշմամբ թույլատրվել է Ընկերությանը, միջոցառման շրջանակներում նախատեսված աշխատանքների ֆինանսավորման նպատակով, Կառավարության 11.06.2020թ. № 953-Ն որոշմամբ Ընկերությանը 2020-2025թթ․ ընթացքում ՀՀ պետ. բյուջեից տրամադրվող 63,2 մլրդ դրամ գումարի չափով բյուջետային վարկի շրջանակներում ստացված, սակայն դեռևս չօգտագործված միջոցներից ուղղել ՀԱԷԿ-ի 2-րդ էներգաբլոկի շահագործման նախագծային ժամկետի կրկնակի երկարաձգման շրջանակներում նախատեսված աշխատանքների ֆինանսավորմանը՝ հետագայում օգտագործված գումարը վերականգնելու պայմանով: Նշված վճարումներն իրականացվել են վերջինիս չօգտագործված միջոցներից: Միջոցառման շրջանակներում իրականացվել են 3,850,700.7 հազ. դրամի (ԱԱՀ-ը կազմում է 431,059.2 հազ․դրամ) վճարումներ՝ վերը նշված չօգտագործված միջոցներից:                                                                                        </t>
  </si>
  <si>
    <t xml:space="preserve">Ա տրանշով սահմանված բոլոր 14 փողոցներում և հրապարականերում շին․ աշխատանքներն ավարտված  են, հիմնանորոգվել է ընդհանուր առմամբ մոտ 12 կմ ճանապարհային ցանց՝ իր ենթակառուցվածքներով։ Բ տրանշի շրջանակներում մոտ 13 կմ երկարությամբ թվով 23 ճանապարհների հիմնանորոգման աշխատանքների բոլոր երեք չափաբաժինները ևս հասցվել են ավարտին։ Միջոցառման միջոցների հաշվին իրականացվել է աշխատանքների 2/3 մասը։ Պիլոտային-2 ծրագրի շրջանակներում 2021թ․ տեղադրվել է 800 լուսադիոդային լամպեր և կառավարման  սարքավորումներ։ Գ Տրանշի շրջանակներում սպասվող աշխատանքների անխափան իրականացման նպատակով նախատեսվում է վարկի սահմանաչափի ավելացում՝ Դ Տրանշի 2.72 մլն եվրոյի չափով, որից  1․97 մլն կհատակացվի սույն միջոցառմանը։ Վարկի սահմանաչափի ավելացման որոշումը 15.02.2024թ. կառավարույան նիստում ընդունվել է և վարկային համաձայնագրի թիվ 2 փոփոխությունը 16․02․2024թ. ստորագրվել է ՀՀ Ֆինանսների նախարարության կողմից, Ազգային ժողովի կողմից վավերացվել է 02․10․2024թ․։ 16․02․2024թ. ստորագրվել է Ծրագրի համաձայնագրի փոփոխությունը։ Վարկային համաձայնագրի թիվ 2 փոփոխությամբ երկարաձգվել են նաև բոլոր Տրանշների վերջին հասանելիության ժամկետները՝ մինչև 28․11․2028թ․։  </t>
  </si>
  <si>
    <t xml:space="preserve">Թերակատարումը պայմանավորված է Երևանի քաղաքային լուսավորության ծրագրի իրականացման ձգձգմամբ։                                                                           </t>
  </si>
  <si>
    <t xml:space="preserve">ԵՆԲ պայմանագիր 7-ով  ծրագրին տրվել է 2 մլն եվրո տրանշ, որից 1.2 մլն ուղղվելու են լրացուցիչ բաղադրիչների իրականացմանը:  Այս տարի լրացուցիչ բաղադրիչների վրա ծախսվել է 921,804.99 եվրո կամ 559,427․0 հազ․ դրամ։ Դրենաժային թունելի հանձնում-ընդունումը իրականացվելու է 2025թ․ հունվարին։ Կապալառուից պահված երաշխիքային գումարի, նրանից գանձված տույժ-տուգանքի ավելցուկի վերադարձը, ինժեներին չվճարված գումարների վճարումները կիրականացվեն 2025թ․։                                                                        </t>
  </si>
  <si>
    <t xml:space="preserve">Թերակատարումը պայմանավորված է գնումների և ՀՕՏԾ-ի գործընթացների ձգձգմամբ։ Ընթանում են գնումների և ՀՕՏԾ-ի հետ կապված գործընթացներ՝ նախագծման փուլում է գտնվում Երևանի քաղաքային զարգացման ներդրումային ծրագրի հողի օտարման և տարաբնակեցման ծրագիրը, ԱԶԲ-ի կողմից հաստատումից հետո կուղարկվի ՀՀ կառավարության հաստատմանը, իսկ Երևանի քաղաքային զարգացման ներդրումային ծրագրի հողի օտարման և տարաբնակեցման շրջանակը հաստատելու մասին նախագիծը հաստատվել է Ասիական զարգացման բանկի կողմից և պետք է ուղարկվի ՀՀ կառավարության հաստատմանը:                                                                                                                                                                                                                                                                                                                                                              </t>
  </si>
  <si>
    <t>2023թ․ դեկտեմբերին մասհանման հայտեր են ներկայացվել Ասիական զարգացման բանկ ուղիղ վճարումներ կատարելու համար: ԱԶԲ-ի կողմից վճարումը հաստատվել է 2024թ․ հունվարին, որի համար 15.11.2024թ. ՀՀ կառավարության որոշմամբ ներառվել է ՀՀ 2024թ․ պետական բյուջե: Վճարումները ամբողջությամբ իրականացվել են։</t>
  </si>
  <si>
    <t>2023թ․ դեկտեմբերին մասհանման հայտեր են ներկայացվել Ասիական զարգացման բանկ ուղիղ վճարումներ կատարելու համար: ԱԶԲ-ի կողմից վճարումը հաստատվել է 2024թ․ հունվարին, որի համար 15.11.2024թ. ՀՀ կառավարության որոշմամբ ներառվել է ՀՀ 2024թ․ պետական բյուջե:                                                                                                                                                                                                                                                                                                                                                                                                                                                                                                                                        Վճարումները ամբողջությամբ իրականացվել են։</t>
  </si>
  <si>
    <t xml:space="preserve">Կապալառուին 2019թ. վճարվել է պայմանագրով նախատեսված կանխավճարը և տրվել է աշխատանքների մեկնարկը: Ընդունվել են մասնակի կատարողականներ՝ Թումանյան փողոցի համար 23.12.2020թ․, Աճառյան և  Ամիրյան փողոցների համար 14.09.2022թ․, Աճառյան փողոցի համար 30.11.2022թ․, Աճառյան փողոցի և Control System-ի համար 12.05.2023թ․, Մյասնիկյան և Ամիրյան փողոցների և Secondary  connections-ի համար 16.08.2023թ., Մյասնիկյան, Աճառյան և Ամիրյան փողոցների համար  17.11.2023թ․, Մյասնիկյան, Աճառյան,Վարդանաց, Նալբանդյան փողոցների համար  01.09.2024թ․ և համաձայն պայմանագրի կատարվել են համապատասխան վճարումները։  Ներկա դրությամբ Երևան քաղաքի Թումանյան և Խորենացի  փողոցներում իրականացվում են երկրորդային միացումների աշխատանքներ: 
  (Վճարումները վարկային և դրամաշնորհային միջոցներից իրականացվում են միաժամանակ՝ 67% վարկային միջոցներից և 33% դրամաշնորհային միջոցներից համամասնություններով ) </t>
  </si>
  <si>
    <t xml:space="preserve">Վճարումների ձգձգումը կապված է վարկային և դրամաշնորհային միջոցների պայմանագրերի հասանելության ժամկետների ավարտման հետ, որոնք երկարաձգվել են սույն թվականի օգոստոս ամսին, ինչպես նաև կատարվել է պայմանագի կարգի փոփոխություն: Ծրագրերի չկատարման պատճառով ՀՀ ֆինանսների նախարարություն է ներկայացվել գումարների նվազեցման առաջարկ: ՀՀ ֆինանսների նախարարության՝ հ.01/9-1/27050-2024 գրությունով ծրագրերի գումարների նվազեցման առաջարկը մերժվել է:                                                                          </t>
  </si>
  <si>
    <t xml:space="preserve">Թերակատարումը պայմանավորված է այն հանգամանքով, որ հաշվետու ժամանակահատվածում նախատեսվում էր կապալառուի կողմից 4-րդ փուլի սարքավորումների մատակարարման և շինմոնտաժային աշխատանքների դիմաց վճարումների իրականացում, սակայն կապալառուի կողմից նշված աշխատանքների դիմաց ներկայացված հանձման-ընդունման արձանագրությունները չեն ընդունվել՝ աշխատանքներում տեղ գտած թերությունների պատճառով: </t>
  </si>
  <si>
    <t xml:space="preserve">Վճարումները կատարվել են համաձայն ներկայացված կատարողականների։ Դոնորի կողմից վճարման համաձայնեցում-հաստատումը դեռևս չի ստացվել և նախատեսված վճարումները հետաձգվել են 2025թ.։                                                                                                                                                                                                                                                                                                                </t>
  </si>
  <si>
    <t xml:space="preserve">Թերակատարումը պայմանավորված է փոխարժեքային տարբերություններով։          </t>
  </si>
  <si>
    <t xml:space="preserve">Իրականացվել են Բենիամին համայնքի պատմամշակութային հատվածի շրջանցման արդյունքում առաջացած հողերի օտարման գործընթացները:
</t>
  </si>
  <si>
    <t>2024թ․ հայտարարվել է  մրցույթ տեխ հսկողի ձեռք բերման համար, որի հիման վրա Պայմանագիրը կստորագրվի և համապատասխան կանխավճար կվճարվի 2025թ.:</t>
  </si>
  <si>
    <t>Գերակատարւմը պայմանավորված է հաշվին առկա միջոցներից վճարումներ իրականացնելու արդյունքով, հաշվի առնելով, որ դրամաշնորհային միջոցների սահմանափակում առկա չէ:</t>
  </si>
  <si>
    <t xml:space="preserve">Ծրագրի շրջանակներում ԵՆԲ-ի կողմից պատվիրվել է տեխնիկատնտեսական ուսումնասիրություն։ Ուսումնասիրության շրջանակները ներառում են թվով 24 պոլիկլինիկաներ և 21 մանկապարտեզներ, որոնք ներառվել են Երևանի էներգաարդյունավետության ծրագրի երկրորդ փուլի իրականացման շրջանակներում։                                                                                                                                                                                                                                                                                                                                                                      Ծրագիրը  վավերացվել է 2024թ․ ապրիլի 22-ին: </t>
  </si>
  <si>
    <t>Նոր խորհրդատվական ընկերության ներգրավման նպատակով հայտարարված միջազգային մրցույթում հաղթող ճանաչված  «Sweco International» և «Տրանսնախագիծ»  ՓԲԸ խորհրդատվական միավորման հետ  15.10.2021թ․ կնքված պայմանագրի դրույթների համաձայն խորհրդատուի կողմից  մշակվել են աղբահանության սխեմաները, որոնց հիման վրա մշակվել են երկու մարզերի բնակավայրերի աղբահանության իրականացման համար անհրաժեշտ մեքենասարքավորումների տեխնիկական բնութագրերը և քանակը, կազմվել  են  մրցութային փաթեթները։ Մշակվել է սակագնային քաղաքականության փաստաթուղթը  «Աղբավայրի շահագործման ձեռնարկը»։ Ընդունվել է նաև «Աղբավայրի շահագործման ձեռնարկ» առաջադրանքով ստացված փաստաթուղթը: Պայմանագիրը երկարաձգված է մինչև 30.12.24, խորհրդատուի կողմից լրիվությամբ իրականացվել են նաև գնման ընթացակարգերի աջակցության, աղբի հավաքման հարթակների նախագծման, գնման փաթեթների կազմման աջակցության առաջադրանքները:</t>
  </si>
  <si>
    <t>Աղբավայրի և փոխաբեռնման կայանների շինարարության ավարտի հաշվետվությունը տեխհսկողի կողմից ներկայացվել է  ՎԶԵԲ: Թերակատարումը պայմանավորված է վճարումների ձգձգմամբ։</t>
  </si>
  <si>
    <t>Թերակատարումը պայմանավորված է գնման ընթացակարգերի ձգձգմամբ։</t>
  </si>
  <si>
    <t>Թերակատարումը պայմանավորված է առաջացած փոխարժեքային տարբերություններով և որոշ վճարումների հետաձգմամբ։</t>
  </si>
  <si>
    <t>Թերակատարումը պայմանավորված է փոխարժեքային տարբերություններով։</t>
  </si>
  <si>
    <t>Թերակատարումը պայմանավորված է արտարժույթի փոխարժեքի տարբերությամբ:</t>
  </si>
  <si>
    <t>Ոռոգման համակարգի առողջացում - 11  միջոցառում</t>
  </si>
  <si>
    <t>Ջրամատակարարման և ջրահեռացման բարելավում - 8  միջոցառում</t>
  </si>
  <si>
    <t>Ոռոգման համակարգի առողջացում - 1 միջոցառում</t>
  </si>
  <si>
    <t>Ջրամատակարարման և ջրահեռացման բարելավում -3  միջոցառում</t>
  </si>
  <si>
    <t>Էներգաարդյունավետության ծրագիր- 2 միջոցառում</t>
  </si>
  <si>
    <t>Քաղաքային զարգացում - 9 միջոցառում</t>
  </si>
  <si>
    <t>Քաղաքային զարգացում - 3 միջոցառում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</si>
</sst>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quot;$&quot;#,##0.00"/>
    <numFmt numFmtId="167" formatCode="_-* #,##0.00_р_._-;\-* #,##0.00_р_._-;_-* &quot;-&quot;??_р_._-;_-@_-"/>
    <numFmt numFmtId="168" formatCode="#,##0.0_);\(#,##0.0\)"/>
    <numFmt numFmtId="169" formatCode="00000"/>
  </numFmts>
  <fonts count="34" x14ac:knownFonts="1">
    <font>
      <sz val="11"/>
      <color theme="1"/>
      <name val="Calibri"/>
      <family val="2"/>
      <scheme val="minor"/>
    </font>
    <font>
      <b/>
      <sz val="16"/>
      <color theme="1"/>
      <name val="GHEA Grapalat"/>
      <family val="3"/>
    </font>
    <font>
      <sz val="11"/>
      <name val="Times Armenian"/>
      <family val="1"/>
    </font>
    <font>
      <sz val="11"/>
      <color theme="1"/>
      <name val="GHEA Grapalat"/>
      <family val="3"/>
    </font>
    <font>
      <sz val="8"/>
      <name val="GHEA Grapalat"/>
      <family val="2"/>
    </font>
    <font>
      <sz val="11"/>
      <color theme="1"/>
      <name val="Calibri"/>
      <family val="2"/>
      <scheme val="minor"/>
    </font>
    <font>
      <sz val="10"/>
      <name val="Arial"/>
      <family val="2"/>
    </font>
    <font>
      <sz val="12"/>
      <color theme="1"/>
      <name val="GHEA Grapalat"/>
      <family val="3"/>
    </font>
    <font>
      <sz val="10"/>
      <name val="Times Armenian"/>
      <family val="1"/>
    </font>
    <font>
      <sz val="14"/>
      <color theme="1"/>
      <name val="GHEA Grapalat"/>
      <family val="3"/>
    </font>
    <font>
      <b/>
      <sz val="14"/>
      <color theme="1"/>
      <name val="GHEA Grapalat"/>
      <family val="3"/>
    </font>
    <font>
      <sz val="14"/>
      <name val="GHEA Grapalat"/>
      <family val="3"/>
    </font>
    <font>
      <sz val="14"/>
      <color theme="1"/>
      <name val="Calibri"/>
      <family val="2"/>
      <scheme val="minor"/>
    </font>
    <font>
      <sz val="12"/>
      <color theme="1"/>
      <name val="Calibri"/>
      <family val="2"/>
      <scheme val="minor"/>
    </font>
    <font>
      <b/>
      <sz val="18"/>
      <color theme="1"/>
      <name val="GHEA Grapalat"/>
      <family val="3"/>
    </font>
    <font>
      <b/>
      <sz val="14"/>
      <name val="GHEA Grapalat"/>
      <family val="3"/>
    </font>
    <font>
      <b/>
      <sz val="14"/>
      <color theme="1"/>
      <name val="Calibri"/>
      <family val="2"/>
      <scheme val="minor"/>
    </font>
    <font>
      <sz val="14"/>
      <color rgb="FFFF0000"/>
      <name val="GHEA Grapalat"/>
      <family val="3"/>
    </font>
    <font>
      <b/>
      <i/>
      <sz val="20"/>
      <color rgb="FF0070C0"/>
      <name val="GHEA Grapalat"/>
      <family val="3"/>
    </font>
    <font>
      <sz val="18"/>
      <color theme="1"/>
      <name val="GHEA Grapalat"/>
      <family val="3"/>
    </font>
    <font>
      <sz val="18"/>
      <name val="GHEA Grapalat"/>
      <family val="3"/>
    </font>
    <font>
      <b/>
      <sz val="18"/>
      <name val="GHEA Grapalat"/>
      <family val="3"/>
    </font>
    <font>
      <b/>
      <i/>
      <sz val="20"/>
      <color theme="1"/>
      <name val="GHEA Grapalat"/>
      <family val="3"/>
    </font>
    <font>
      <b/>
      <sz val="20"/>
      <color theme="1"/>
      <name val="GHEA Grapalat"/>
      <family val="3"/>
    </font>
    <font>
      <sz val="20"/>
      <color theme="1"/>
      <name val="GHEA Grapalat"/>
      <family val="3"/>
    </font>
    <font>
      <b/>
      <i/>
      <sz val="20"/>
      <name val="GHEA Grapalat"/>
      <family val="3"/>
    </font>
    <font>
      <b/>
      <i/>
      <sz val="24"/>
      <name val="GHEA Grapalat"/>
      <family val="3"/>
    </font>
    <font>
      <b/>
      <sz val="26"/>
      <name val="GHEA Grapalat"/>
      <family val="3"/>
    </font>
    <font>
      <b/>
      <i/>
      <sz val="26"/>
      <name val="GHEA Grapalat"/>
      <family val="3"/>
    </font>
    <font>
      <b/>
      <sz val="24"/>
      <color theme="1"/>
      <name val="GHEA Grapalat"/>
      <family val="3"/>
    </font>
    <font>
      <sz val="24"/>
      <color theme="1"/>
      <name val="GHEA Grapalat"/>
      <family val="3"/>
    </font>
    <font>
      <sz val="26"/>
      <color theme="1"/>
      <name val="GHEA Grapalat"/>
      <family val="3"/>
    </font>
    <font>
      <b/>
      <sz val="36"/>
      <color theme="1"/>
      <name val="GHEA Grapalat"/>
      <family val="3"/>
    </font>
    <font>
      <sz val="16"/>
      <color theme="1"/>
      <name val="GHEA Grapalat"/>
      <family val="3"/>
    </font>
  </fonts>
  <fills count="11">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rgb="FFFF0000"/>
        <bgColor indexed="64"/>
      </patternFill>
    </fill>
    <fill>
      <patternFill patternType="solid">
        <fgColor theme="8" tint="0.59999389629810485"/>
        <bgColor indexed="64"/>
      </patternFill>
    </fill>
    <fill>
      <patternFill patternType="gray0625">
        <bgColor theme="9" tint="0.79995117038483843"/>
      </patternFill>
    </fill>
    <fill>
      <patternFill patternType="solid">
        <fgColor theme="4"/>
        <bgColor indexed="64"/>
      </patternFill>
    </fill>
    <fill>
      <patternFill patternType="solid">
        <fgColor rgb="FF92D050"/>
        <bgColor indexed="64"/>
      </patternFill>
    </fill>
    <fill>
      <patternFill patternType="solid">
        <fgColor theme="9" tint="0.39997558519241921"/>
        <bgColor indexed="64"/>
      </patternFill>
    </fill>
    <fill>
      <patternFill patternType="solid">
        <fgColor theme="9"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s>
  <cellStyleXfs count="6">
    <xf numFmtId="0" fontId="0" fillId="0" borderId="0"/>
    <xf numFmtId="0" fontId="2" fillId="0" borderId="0"/>
    <xf numFmtId="165" fontId="4" fillId="0" borderId="0" applyFill="0" applyBorder="0" applyProtection="0">
      <alignment horizontal="right" vertical="top"/>
    </xf>
    <xf numFmtId="167" fontId="5" fillId="0" borderId="0" applyFont="0" applyFill="0" applyBorder="0" applyAlignment="0" applyProtection="0"/>
    <xf numFmtId="0" fontId="6" fillId="0" borderId="0"/>
    <xf numFmtId="0" fontId="8" fillId="0" borderId="0"/>
  </cellStyleXfs>
  <cellXfs count="376">
    <xf numFmtId="0" fontId="0" fillId="0" borderId="0" xfId="0"/>
    <xf numFmtId="0" fontId="9" fillId="0" borderId="0" xfId="0" applyFont="1"/>
    <xf numFmtId="0" fontId="12" fillId="0" borderId="0" xfId="0" applyFont="1"/>
    <xf numFmtId="0" fontId="7" fillId="0" borderId="0" xfId="0" applyFont="1"/>
    <xf numFmtId="0" fontId="13" fillId="0" borderId="0" xfId="0" applyFont="1"/>
    <xf numFmtId="0" fontId="0" fillId="0" borderId="31" xfId="0" applyBorder="1"/>
    <xf numFmtId="0" fontId="0" fillId="0" borderId="32" xfId="0" applyBorder="1"/>
    <xf numFmtId="0" fontId="10" fillId="0" borderId="0" xfId="0" applyFont="1"/>
    <xf numFmtId="0" fontId="16" fillId="0" borderId="0" xfId="0" applyFont="1"/>
    <xf numFmtId="164" fontId="10" fillId="2" borderId="10" xfId="0" applyNumberFormat="1" applyFont="1" applyFill="1" applyBorder="1" applyAlignment="1">
      <alignment horizontal="center" vertical="center" textRotation="90" wrapText="1"/>
    </xf>
    <xf numFmtId="164" fontId="10" fillId="2" borderId="29" xfId="0" applyNumberFormat="1" applyFont="1" applyFill="1" applyBorder="1" applyAlignment="1">
      <alignment horizontal="center" vertical="center" textRotation="90" wrapText="1"/>
    </xf>
    <xf numFmtId="164" fontId="10" fillId="2" borderId="9" xfId="0" applyNumberFormat="1" applyFont="1" applyFill="1" applyBorder="1" applyAlignment="1">
      <alignment horizontal="center" vertical="center" textRotation="90" wrapText="1"/>
    </xf>
    <xf numFmtId="164" fontId="10" fillId="2" borderId="28" xfId="0" applyNumberFormat="1" applyFont="1" applyFill="1" applyBorder="1" applyAlignment="1">
      <alignment horizontal="center" vertical="center" textRotation="90" wrapText="1"/>
    </xf>
    <xf numFmtId="164" fontId="10" fillId="2" borderId="12" xfId="0" applyNumberFormat="1" applyFont="1" applyFill="1" applyBorder="1" applyAlignment="1">
      <alignment horizontal="center" vertical="center" textRotation="90" wrapText="1"/>
    </xf>
    <xf numFmtId="164" fontId="19" fillId="2" borderId="8" xfId="0" applyNumberFormat="1" applyFont="1" applyFill="1" applyBorder="1" applyAlignment="1">
      <alignment horizontal="center" vertical="top" textRotation="90" wrapText="1"/>
    </xf>
    <xf numFmtId="164" fontId="20" fillId="2" borderId="6" xfId="0" applyNumberFormat="1" applyFont="1" applyFill="1" applyBorder="1" applyAlignment="1">
      <alignment horizontal="center" vertical="top" textRotation="90" wrapText="1"/>
    </xf>
    <xf numFmtId="164" fontId="14" fillId="2" borderId="5" xfId="0" applyNumberFormat="1" applyFont="1" applyFill="1" applyBorder="1" applyAlignment="1">
      <alignment horizontal="center" vertical="top" textRotation="90" wrapText="1"/>
    </xf>
    <xf numFmtId="164" fontId="19" fillId="2" borderId="5" xfId="0" applyNumberFormat="1" applyFont="1" applyFill="1" applyBorder="1" applyAlignment="1">
      <alignment horizontal="center" vertical="top" textRotation="90" wrapText="1"/>
    </xf>
    <xf numFmtId="164" fontId="21" fillId="2" borderId="5" xfId="0" applyNumberFormat="1" applyFont="1" applyFill="1" applyBorder="1" applyAlignment="1">
      <alignment horizontal="center" vertical="top" textRotation="90" wrapText="1"/>
    </xf>
    <xf numFmtId="164" fontId="20" fillId="2" borderId="1" xfId="0" applyNumberFormat="1" applyFont="1" applyFill="1" applyBorder="1" applyAlignment="1">
      <alignment horizontal="center" vertical="top" textRotation="90" wrapText="1"/>
    </xf>
    <xf numFmtId="164" fontId="21" fillId="2" borderId="1" xfId="0" applyNumberFormat="1" applyFont="1" applyFill="1" applyBorder="1" applyAlignment="1">
      <alignment horizontal="center" vertical="top" textRotation="90" wrapText="1"/>
    </xf>
    <xf numFmtId="164" fontId="14" fillId="2" borderId="4" xfId="0" applyNumberFormat="1" applyFont="1" applyFill="1" applyBorder="1" applyAlignment="1">
      <alignment horizontal="center" vertical="top" textRotation="90" wrapText="1"/>
    </xf>
    <xf numFmtId="164" fontId="14" fillId="2" borderId="1" xfId="0" applyNumberFormat="1" applyFont="1" applyFill="1" applyBorder="1" applyAlignment="1">
      <alignment horizontal="center" vertical="top" textRotation="90" wrapText="1"/>
    </xf>
    <xf numFmtId="164" fontId="19" fillId="2" borderId="1" xfId="0" applyNumberFormat="1" applyFont="1" applyFill="1" applyBorder="1" applyAlignment="1">
      <alignment horizontal="center" vertical="top" textRotation="90" wrapText="1"/>
    </xf>
    <xf numFmtId="164" fontId="14" fillId="2" borderId="21" xfId="0" applyNumberFormat="1" applyFont="1" applyFill="1" applyBorder="1" applyAlignment="1">
      <alignment horizontal="center" vertical="top" textRotation="90" wrapText="1"/>
    </xf>
    <xf numFmtId="164" fontId="19" fillId="2" borderId="10" xfId="0" applyNumberFormat="1" applyFont="1" applyFill="1" applyBorder="1" applyAlignment="1">
      <alignment horizontal="center" vertical="top" textRotation="90" wrapText="1"/>
    </xf>
    <xf numFmtId="0" fontId="9" fillId="0" borderId="18" xfId="0" applyFont="1" applyBorder="1" applyAlignment="1">
      <alignment horizontal="center" vertical="center"/>
    </xf>
    <xf numFmtId="0" fontId="10" fillId="0" borderId="22" xfId="0" applyFont="1" applyBorder="1" applyAlignment="1">
      <alignment horizontal="center" vertical="top"/>
    </xf>
    <xf numFmtId="0" fontId="10" fillId="0" borderId="5" xfId="0" applyFont="1" applyBorder="1" applyAlignment="1">
      <alignment horizontal="center" vertical="center"/>
    </xf>
    <xf numFmtId="49" fontId="11" fillId="2" borderId="5" xfId="1" applyNumberFormat="1" applyFont="1" applyFill="1" applyBorder="1" applyAlignment="1">
      <alignment horizontal="center" vertical="center" wrapText="1"/>
    </xf>
    <xf numFmtId="0" fontId="11" fillId="0" borderId="22" xfId="0" applyFont="1" applyBorder="1" applyAlignment="1">
      <alignment horizontal="center" vertical="center" wrapText="1"/>
    </xf>
    <xf numFmtId="0" fontId="9" fillId="4" borderId="23" xfId="0" applyFont="1" applyFill="1" applyBorder="1" applyAlignment="1">
      <alignment horizontal="center" vertical="center"/>
    </xf>
    <xf numFmtId="0" fontId="10" fillId="5" borderId="1" xfId="0" applyFont="1" applyFill="1" applyBorder="1" applyAlignment="1">
      <alignment horizontal="center" vertical="center"/>
    </xf>
    <xf numFmtId="0" fontId="11" fillId="2" borderId="1" xfId="5" applyFont="1" applyFill="1" applyBorder="1" applyAlignment="1">
      <alignment horizontal="center" vertical="center" wrapText="1"/>
    </xf>
    <xf numFmtId="0" fontId="11" fillId="0" borderId="5" xfId="0" applyFont="1" applyBorder="1" applyAlignment="1">
      <alignment horizontal="center" vertical="center" wrapText="1"/>
    </xf>
    <xf numFmtId="0" fontId="9" fillId="0" borderId="25" xfId="0" applyFont="1" applyBorder="1" applyAlignment="1">
      <alignment horizontal="center" vertical="center"/>
    </xf>
    <xf numFmtId="0" fontId="10" fillId="5" borderId="5" xfId="0" applyFont="1" applyFill="1" applyBorder="1" applyAlignment="1">
      <alignment horizontal="center" vertical="center"/>
    </xf>
    <xf numFmtId="0" fontId="11" fillId="2" borderId="5" xfId="5" applyFont="1" applyFill="1" applyBorder="1" applyAlignment="1">
      <alignment horizontal="center" vertical="center" wrapText="1"/>
    </xf>
    <xf numFmtId="0" fontId="9" fillId="4" borderId="35" xfId="0" applyFont="1" applyFill="1" applyBorder="1" applyAlignment="1">
      <alignment horizontal="center" vertical="center"/>
    </xf>
    <xf numFmtId="0" fontId="10" fillId="0" borderId="6" xfId="0" applyFont="1" applyBorder="1" applyAlignment="1">
      <alignment horizontal="center" vertical="center"/>
    </xf>
    <xf numFmtId="49" fontId="11" fillId="2" borderId="22" xfId="1" applyNumberFormat="1" applyFont="1" applyFill="1" applyBorder="1" applyAlignment="1">
      <alignment horizontal="center" vertical="center" wrapText="1"/>
    </xf>
    <xf numFmtId="4" fontId="11" fillId="0" borderId="6" xfId="1" applyNumberFormat="1" applyFont="1" applyBorder="1" applyAlignment="1">
      <alignment horizontal="center" vertical="center" wrapText="1"/>
    </xf>
    <xf numFmtId="0" fontId="11" fillId="0" borderId="6" xfId="0" applyFont="1" applyBorder="1" applyAlignment="1">
      <alignment horizontal="center" vertical="center" wrapText="1"/>
    </xf>
    <xf numFmtId="0" fontId="9" fillId="0" borderId="23" xfId="0" applyFont="1" applyBorder="1" applyAlignment="1">
      <alignment horizontal="center" vertical="center"/>
    </xf>
    <xf numFmtId="0" fontId="10" fillId="0" borderId="1" xfId="0" applyFont="1" applyBorder="1" applyAlignment="1">
      <alignment horizontal="center" vertical="center"/>
    </xf>
    <xf numFmtId="49" fontId="11" fillId="2" borderId="1" xfId="1" applyNumberFormat="1" applyFont="1" applyFill="1" applyBorder="1" applyAlignment="1">
      <alignment horizontal="center" vertical="center" wrapText="1"/>
    </xf>
    <xf numFmtId="4" fontId="11" fillId="0" borderId="1" xfId="1" applyNumberFormat="1" applyFont="1" applyBorder="1" applyAlignment="1">
      <alignment horizontal="center" vertical="center" wrapText="1"/>
    </xf>
    <xf numFmtId="0" fontId="11" fillId="0" borderId="1" xfId="0" applyFont="1" applyBorder="1" applyAlignment="1">
      <alignment horizontal="center" vertical="center" wrapText="1"/>
    </xf>
    <xf numFmtId="49" fontId="11" fillId="0" borderId="1" xfId="1" applyNumberFormat="1" applyFont="1" applyBorder="1" applyAlignment="1">
      <alignment horizontal="center" vertical="center" wrapText="1"/>
    </xf>
    <xf numFmtId="49" fontId="11" fillId="0" borderId="5" xfId="1" applyNumberFormat="1" applyFont="1" applyBorder="1" applyAlignment="1">
      <alignment horizontal="center" vertical="center" wrapText="1"/>
    </xf>
    <xf numFmtId="4" fontId="11" fillId="2" borderId="1" xfId="1" applyNumberFormat="1" applyFont="1" applyFill="1" applyBorder="1" applyAlignment="1">
      <alignment horizontal="center" vertical="center" wrapText="1"/>
    </xf>
    <xf numFmtId="0" fontId="9" fillId="2" borderId="18" xfId="0" applyFont="1" applyFill="1" applyBorder="1" applyAlignment="1">
      <alignment horizontal="center" vertical="center"/>
    </xf>
    <xf numFmtId="0" fontId="10" fillId="2" borderId="1" xfId="0" applyFont="1" applyFill="1" applyBorder="1" applyAlignment="1">
      <alignment horizontal="center" vertical="center"/>
    </xf>
    <xf numFmtId="166" fontId="11" fillId="0" borderId="1" xfId="1" applyNumberFormat="1" applyFont="1" applyBorder="1" applyAlignment="1">
      <alignment horizontal="center" vertical="center" wrapText="1"/>
    </xf>
    <xf numFmtId="166" fontId="11" fillId="2" borderId="1" xfId="1" applyNumberFormat="1" applyFont="1" applyFill="1" applyBorder="1" applyAlignment="1">
      <alignment horizontal="center" vertical="center" wrapText="1"/>
    </xf>
    <xf numFmtId="4" fontId="11" fillId="0" borderId="1" xfId="3" applyNumberFormat="1" applyFont="1" applyFill="1" applyBorder="1" applyAlignment="1">
      <alignment horizontal="center" vertical="center" wrapText="1"/>
    </xf>
    <xf numFmtId="2" fontId="9" fillId="0" borderId="1" xfId="0" applyNumberFormat="1" applyFont="1" applyBorder="1" applyAlignment="1">
      <alignment horizontal="center" vertical="center" wrapText="1"/>
    </xf>
    <xf numFmtId="0" fontId="9" fillId="0" borderId="20" xfId="0" applyFont="1" applyBorder="1" applyAlignment="1">
      <alignment horizontal="center" vertical="center" wrapText="1"/>
    </xf>
    <xf numFmtId="169" fontId="11" fillId="2" borderId="3" xfId="1" applyNumberFormat="1" applyFont="1" applyFill="1" applyBorder="1" applyAlignment="1">
      <alignment horizontal="center" vertical="center" wrapText="1"/>
    </xf>
    <xf numFmtId="164" fontId="14" fillId="2" borderId="22" xfId="0" applyNumberFormat="1" applyFont="1" applyFill="1" applyBorder="1" applyAlignment="1">
      <alignment horizontal="center" vertical="top" textRotation="90" wrapText="1"/>
    </xf>
    <xf numFmtId="164" fontId="19" fillId="2" borderId="22" xfId="0" applyNumberFormat="1" applyFont="1" applyFill="1" applyBorder="1" applyAlignment="1">
      <alignment horizontal="center" vertical="top" textRotation="90" wrapText="1"/>
    </xf>
    <xf numFmtId="164" fontId="20" fillId="2" borderId="22" xfId="0" applyNumberFormat="1" applyFont="1" applyFill="1" applyBorder="1" applyAlignment="1">
      <alignment horizontal="center" vertical="top" textRotation="90" wrapText="1"/>
    </xf>
    <xf numFmtId="164" fontId="21" fillId="2" borderId="6" xfId="0" applyNumberFormat="1" applyFont="1" applyFill="1" applyBorder="1" applyAlignment="1">
      <alignment horizontal="center" vertical="top" textRotation="90" wrapText="1"/>
    </xf>
    <xf numFmtId="164" fontId="14" fillId="2" borderId="46" xfId="0" applyNumberFormat="1" applyFont="1" applyFill="1" applyBorder="1" applyAlignment="1">
      <alignment horizontal="center" vertical="top" textRotation="90" wrapText="1"/>
    </xf>
    <xf numFmtId="164" fontId="14" fillId="2" borderId="6" xfId="0" applyNumberFormat="1" applyFont="1" applyFill="1" applyBorder="1" applyAlignment="1">
      <alignment horizontal="center" vertical="top" textRotation="90" wrapText="1"/>
    </xf>
    <xf numFmtId="164" fontId="19" fillId="2" borderId="6" xfId="0" applyNumberFormat="1" applyFont="1" applyFill="1" applyBorder="1" applyAlignment="1">
      <alignment horizontal="center" vertical="top" textRotation="90" wrapText="1"/>
    </xf>
    <xf numFmtId="164" fontId="20" fillId="2" borderId="20" xfId="0" applyNumberFormat="1" applyFont="1" applyFill="1" applyBorder="1" applyAlignment="1">
      <alignment horizontal="center" vertical="top" textRotation="90" wrapText="1"/>
    </xf>
    <xf numFmtId="164" fontId="21" fillId="2" borderId="21" xfId="0" applyNumberFormat="1" applyFont="1" applyFill="1" applyBorder="1" applyAlignment="1">
      <alignment horizontal="center" vertical="top" textRotation="90" wrapText="1"/>
    </xf>
    <xf numFmtId="164" fontId="20" fillId="2" borderId="5" xfId="0" applyNumberFormat="1" applyFont="1" applyFill="1" applyBorder="1" applyAlignment="1">
      <alignment horizontal="center" vertical="top" textRotation="90" wrapText="1"/>
    </xf>
    <xf numFmtId="164" fontId="20" fillId="2" borderId="3" xfId="0" applyNumberFormat="1" applyFont="1" applyFill="1" applyBorder="1" applyAlignment="1">
      <alignment horizontal="center" vertical="top" textRotation="90" wrapText="1"/>
    </xf>
    <xf numFmtId="4" fontId="11" fillId="0" borderId="1" xfId="0" applyNumberFormat="1" applyFont="1" applyBorder="1" applyAlignment="1">
      <alignment horizontal="center" vertical="center" wrapText="1"/>
    </xf>
    <xf numFmtId="4" fontId="11" fillId="2" borderId="1" xfId="0" applyNumberFormat="1" applyFont="1" applyFill="1" applyBorder="1" applyAlignment="1">
      <alignment horizontal="center" vertical="center" wrapText="1"/>
    </xf>
    <xf numFmtId="2" fontId="11" fillId="0" borderId="1" xfId="0" applyNumberFormat="1" applyFont="1" applyBorder="1" applyAlignment="1">
      <alignment horizontal="center" vertical="center" wrapText="1"/>
    </xf>
    <xf numFmtId="0" fontId="11" fillId="0" borderId="20"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2" xfId="0" applyFont="1" applyFill="1" applyBorder="1" applyAlignment="1">
      <alignment horizontal="center" vertical="center" wrapText="1"/>
    </xf>
    <xf numFmtId="4" fontId="11" fillId="2" borderId="22" xfId="1" applyNumberFormat="1" applyFont="1" applyFill="1" applyBorder="1" applyAlignment="1">
      <alignment horizontal="center" vertical="center" wrapText="1"/>
    </xf>
    <xf numFmtId="0" fontId="9" fillId="4" borderId="18" xfId="0" applyFont="1" applyFill="1" applyBorder="1" applyAlignment="1">
      <alignment horizontal="center" vertical="center"/>
    </xf>
    <xf numFmtId="169" fontId="11" fillId="2" borderId="5" xfId="1" applyNumberFormat="1" applyFont="1" applyFill="1" applyBorder="1" applyAlignment="1">
      <alignment horizontal="center" vertical="center" wrapText="1"/>
    </xf>
    <xf numFmtId="164" fontId="23" fillId="2" borderId="8" xfId="0" applyNumberFormat="1" applyFont="1" applyFill="1" applyBorder="1" applyAlignment="1">
      <alignment horizontal="center" vertical="top" textRotation="90" wrapText="1"/>
    </xf>
    <xf numFmtId="164" fontId="24" fillId="2" borderId="8" xfId="0" applyNumberFormat="1" applyFont="1" applyFill="1" applyBorder="1" applyAlignment="1">
      <alignment horizontal="center" vertical="top" textRotation="90" wrapText="1"/>
    </xf>
    <xf numFmtId="164" fontId="23" fillId="2" borderId="1" xfId="0" applyNumberFormat="1" applyFont="1" applyFill="1" applyBorder="1" applyAlignment="1">
      <alignment horizontal="center" vertical="top" textRotation="90" wrapText="1"/>
    </xf>
    <xf numFmtId="164" fontId="24" fillId="2" borderId="1" xfId="0" applyNumberFormat="1" applyFont="1" applyFill="1" applyBorder="1" applyAlignment="1">
      <alignment horizontal="center" vertical="top" textRotation="90" wrapText="1"/>
    </xf>
    <xf numFmtId="164" fontId="23" fillId="2" borderId="21" xfId="0" applyNumberFormat="1" applyFont="1" applyFill="1" applyBorder="1" applyAlignment="1">
      <alignment horizontal="center" vertical="top" textRotation="90" wrapText="1"/>
    </xf>
    <xf numFmtId="164" fontId="24" fillId="2" borderId="20" xfId="0" applyNumberFormat="1" applyFont="1" applyFill="1" applyBorder="1" applyAlignment="1">
      <alignment horizontal="center" vertical="top" textRotation="90" wrapText="1"/>
    </xf>
    <xf numFmtId="164" fontId="23" fillId="2" borderId="5" xfId="0" applyNumberFormat="1" applyFont="1" applyFill="1" applyBorder="1" applyAlignment="1">
      <alignment horizontal="center" vertical="top" textRotation="90" wrapText="1"/>
    </xf>
    <xf numFmtId="164" fontId="24" fillId="2" borderId="5" xfId="0" applyNumberFormat="1" applyFont="1" applyFill="1" applyBorder="1" applyAlignment="1">
      <alignment horizontal="center" vertical="top" textRotation="90" wrapText="1"/>
    </xf>
    <xf numFmtId="164" fontId="24" fillId="2" borderId="3" xfId="0" applyNumberFormat="1" applyFont="1" applyFill="1" applyBorder="1" applyAlignment="1">
      <alignment horizontal="center" vertical="top" textRotation="90" wrapText="1"/>
    </xf>
    <xf numFmtId="164" fontId="23" fillId="2" borderId="4" xfId="0" applyNumberFormat="1" applyFont="1" applyFill="1" applyBorder="1" applyAlignment="1">
      <alignment horizontal="center" vertical="top" textRotation="90" wrapText="1"/>
    </xf>
    <xf numFmtId="164" fontId="24" fillId="2" borderId="13" xfId="0" applyNumberFormat="1" applyFont="1" applyFill="1" applyBorder="1" applyAlignment="1">
      <alignment horizontal="center" vertical="top" textRotation="90" wrapText="1"/>
    </xf>
    <xf numFmtId="164" fontId="23" fillId="9" borderId="7" xfId="0" applyNumberFormat="1" applyFont="1" applyFill="1" applyBorder="1" applyAlignment="1">
      <alignment horizontal="center" vertical="top" textRotation="90" wrapText="1"/>
    </xf>
    <xf numFmtId="164" fontId="24" fillId="9" borderId="8" xfId="0" applyNumberFormat="1" applyFont="1" applyFill="1" applyBorder="1" applyAlignment="1">
      <alignment horizontal="center" vertical="top" textRotation="90" wrapText="1"/>
    </xf>
    <xf numFmtId="164" fontId="24" fillId="9" borderId="11" xfId="0" applyNumberFormat="1" applyFont="1" applyFill="1" applyBorder="1" applyAlignment="1">
      <alignment horizontal="center" vertical="top" textRotation="90" wrapText="1"/>
    </xf>
    <xf numFmtId="164" fontId="23" fillId="2" borderId="30" xfId="0" applyNumberFormat="1" applyFont="1" applyFill="1" applyBorder="1" applyAlignment="1">
      <alignment horizontal="center" vertical="top" textRotation="90" wrapText="1"/>
    </xf>
    <xf numFmtId="164" fontId="23" fillId="9" borderId="23" xfId="0" applyNumberFormat="1" applyFont="1" applyFill="1" applyBorder="1" applyAlignment="1">
      <alignment horizontal="center" vertical="top" textRotation="90" wrapText="1"/>
    </xf>
    <xf numFmtId="164" fontId="24" fillId="9" borderId="1" xfId="0" applyNumberFormat="1" applyFont="1" applyFill="1" applyBorder="1" applyAlignment="1">
      <alignment horizontal="center" vertical="top" textRotation="90" wrapText="1"/>
    </xf>
    <xf numFmtId="164" fontId="24" fillId="9" borderId="26" xfId="0" applyNumberFormat="1" applyFont="1" applyFill="1" applyBorder="1" applyAlignment="1">
      <alignment horizontal="center" vertical="top" textRotation="90" wrapText="1"/>
    </xf>
    <xf numFmtId="164" fontId="23" fillId="2" borderId="10" xfId="0" applyNumberFormat="1" applyFont="1" applyFill="1" applyBorder="1" applyAlignment="1">
      <alignment horizontal="center" vertical="top" textRotation="90" wrapText="1"/>
    </xf>
    <xf numFmtId="164" fontId="24" fillId="2" borderId="10" xfId="0" applyNumberFormat="1" applyFont="1" applyFill="1" applyBorder="1" applyAlignment="1">
      <alignment horizontal="center" vertical="top" textRotation="90" wrapText="1"/>
    </xf>
    <xf numFmtId="164" fontId="24" fillId="2" borderId="29" xfId="0" applyNumberFormat="1" applyFont="1" applyFill="1" applyBorder="1" applyAlignment="1">
      <alignment horizontal="center" vertical="top" textRotation="90" wrapText="1"/>
    </xf>
    <xf numFmtId="164" fontId="23" fillId="9" borderId="9" xfId="0" applyNumberFormat="1" applyFont="1" applyFill="1" applyBorder="1" applyAlignment="1">
      <alignment horizontal="center" vertical="top" textRotation="90" wrapText="1"/>
    </xf>
    <xf numFmtId="164" fontId="24" fillId="9" borderId="10" xfId="0" applyNumberFormat="1" applyFont="1" applyFill="1" applyBorder="1" applyAlignment="1">
      <alignment horizontal="center" vertical="top" textRotation="90" wrapText="1"/>
    </xf>
    <xf numFmtId="164" fontId="24" fillId="9" borderId="12" xfId="0" applyNumberFormat="1" applyFont="1" applyFill="1" applyBorder="1" applyAlignment="1">
      <alignment horizontal="center" vertical="top" textRotation="90" wrapText="1"/>
    </xf>
    <xf numFmtId="164" fontId="23" fillId="2" borderId="28" xfId="0" applyNumberFormat="1" applyFont="1" applyFill="1" applyBorder="1" applyAlignment="1">
      <alignment horizontal="center" vertical="top" textRotation="90" wrapText="1"/>
    </xf>
    <xf numFmtId="49" fontId="11" fillId="2" borderId="6" xfId="1" applyNumberFormat="1" applyFont="1" applyFill="1" applyBorder="1" applyAlignment="1">
      <alignment horizontal="center" vertical="center" wrapText="1"/>
    </xf>
    <xf numFmtId="164" fontId="14" fillId="2" borderId="38" xfId="0" applyNumberFormat="1" applyFont="1" applyFill="1" applyBorder="1" applyAlignment="1">
      <alignment horizontal="center" vertical="top" textRotation="90" wrapText="1"/>
    </xf>
    <xf numFmtId="0" fontId="9" fillId="2" borderId="35" xfId="0" applyFont="1" applyFill="1" applyBorder="1" applyAlignment="1">
      <alignment horizontal="center" vertical="center"/>
    </xf>
    <xf numFmtId="0" fontId="10" fillId="5" borderId="6" xfId="0" applyFont="1" applyFill="1" applyBorder="1" applyAlignment="1">
      <alignment horizontal="center" vertical="center"/>
    </xf>
    <xf numFmtId="4" fontId="11" fillId="0" borderId="6" xfId="4" applyNumberFormat="1" applyFont="1" applyBorder="1" applyAlignment="1">
      <alignment horizontal="center" vertical="center" wrapText="1"/>
    </xf>
    <xf numFmtId="0" fontId="11" fillId="2" borderId="6" xfId="0" applyFont="1" applyFill="1" applyBorder="1" applyAlignment="1">
      <alignment horizontal="center" vertical="center" wrapText="1"/>
    </xf>
    <xf numFmtId="4" fontId="11" fillId="2" borderId="20" xfId="1" applyNumberFormat="1" applyFont="1" applyFill="1" applyBorder="1" applyAlignment="1">
      <alignment horizontal="center" vertical="center" wrapText="1"/>
    </xf>
    <xf numFmtId="0" fontId="15" fillId="6" borderId="1" xfId="0" applyFont="1" applyFill="1" applyBorder="1" applyAlignment="1">
      <alignment horizontal="center" vertical="center"/>
    </xf>
    <xf numFmtId="4" fontId="11" fillId="0" borderId="5" xfId="4" applyNumberFormat="1" applyFont="1" applyBorder="1" applyAlignment="1">
      <alignment horizontal="center" vertical="center" wrapText="1"/>
    </xf>
    <xf numFmtId="4" fontId="11" fillId="2" borderId="5" xfId="4" applyNumberFormat="1" applyFont="1" applyFill="1" applyBorder="1" applyAlignment="1">
      <alignment horizontal="center" vertical="center" wrapText="1"/>
    </xf>
    <xf numFmtId="168" fontId="11" fillId="0" borderId="5" xfId="4" applyNumberFormat="1" applyFont="1" applyBorder="1" applyAlignment="1">
      <alignment horizontal="center" vertical="center" wrapText="1"/>
    </xf>
    <xf numFmtId="164" fontId="21" fillId="2" borderId="4" xfId="0" applyNumberFormat="1" applyFont="1" applyFill="1" applyBorder="1" applyAlignment="1">
      <alignment horizontal="center" vertical="top" textRotation="90" wrapText="1"/>
    </xf>
    <xf numFmtId="164" fontId="19" fillId="2" borderId="3" xfId="0" applyNumberFormat="1" applyFont="1" applyFill="1" applyBorder="1" applyAlignment="1">
      <alignment horizontal="center" vertical="top" textRotation="90" wrapText="1"/>
    </xf>
    <xf numFmtId="0" fontId="9" fillId="0" borderId="35" xfId="0" applyFont="1" applyBorder="1" applyAlignment="1">
      <alignment horizontal="center" vertical="center"/>
    </xf>
    <xf numFmtId="0" fontId="15" fillId="6" borderId="6" xfId="0" applyFont="1" applyFill="1" applyBorder="1" applyAlignment="1">
      <alignment horizontal="center" vertical="center"/>
    </xf>
    <xf numFmtId="0" fontId="9" fillId="2" borderId="23" xfId="0" applyFont="1" applyFill="1" applyBorder="1" applyAlignment="1">
      <alignment horizontal="center" vertical="center"/>
    </xf>
    <xf numFmtId="4" fontId="11" fillId="0" borderId="1" xfId="4" applyNumberFormat="1" applyFont="1" applyBorder="1" applyAlignment="1">
      <alignment horizontal="center" vertical="center" wrapText="1"/>
    </xf>
    <xf numFmtId="0" fontId="9" fillId="2" borderId="1" xfId="0" applyFont="1" applyFill="1" applyBorder="1" applyAlignment="1">
      <alignment horizontal="center" vertical="center" wrapText="1"/>
    </xf>
    <xf numFmtId="166" fontId="11" fillId="2" borderId="5" xfId="1" applyNumberFormat="1" applyFont="1" applyFill="1" applyBorder="1" applyAlignment="1">
      <alignment horizontal="center" vertical="center" wrapText="1"/>
    </xf>
    <xf numFmtId="166" fontId="11" fillId="2" borderId="6" xfId="1" applyNumberFormat="1" applyFont="1" applyFill="1" applyBorder="1" applyAlignment="1">
      <alignment horizontal="center" vertical="center" wrapText="1"/>
    </xf>
    <xf numFmtId="4" fontId="11" fillId="0" borderId="22" xfId="1" applyNumberFormat="1" applyFont="1" applyBorder="1" applyAlignment="1">
      <alignment horizontal="center" vertical="center" wrapText="1"/>
    </xf>
    <xf numFmtId="164" fontId="19" fillId="2" borderId="21" xfId="0" applyNumberFormat="1" applyFont="1" applyFill="1" applyBorder="1" applyAlignment="1">
      <alignment horizontal="center" vertical="top" textRotation="90" wrapText="1"/>
    </xf>
    <xf numFmtId="0" fontId="11" fillId="0" borderId="3" xfId="0" applyFont="1" applyBorder="1" applyAlignment="1">
      <alignment horizontal="center" vertical="center" wrapText="1"/>
    </xf>
    <xf numFmtId="49" fontId="15" fillId="2" borderId="1" xfId="1" applyNumberFormat="1" applyFont="1" applyFill="1" applyBorder="1" applyAlignment="1">
      <alignment horizontal="center" vertical="center" wrapText="1"/>
    </xf>
    <xf numFmtId="0" fontId="10" fillId="5" borderId="38" xfId="0" applyFont="1" applyFill="1" applyBorder="1" applyAlignment="1">
      <alignment horizontal="center" vertical="center"/>
    </xf>
    <xf numFmtId="0" fontId="10" fillId="5" borderId="46" xfId="0" applyFont="1" applyFill="1" applyBorder="1" applyAlignment="1">
      <alignment horizontal="center" vertical="center"/>
    </xf>
    <xf numFmtId="164" fontId="21" fillId="2" borderId="38" xfId="0" applyNumberFormat="1" applyFont="1" applyFill="1" applyBorder="1" applyAlignment="1">
      <alignment horizontal="center" vertical="top" textRotation="90" wrapText="1"/>
    </xf>
    <xf numFmtId="164" fontId="19" fillId="2" borderId="36" xfId="0" applyNumberFormat="1" applyFont="1" applyFill="1" applyBorder="1" applyAlignment="1">
      <alignment horizontal="center" vertical="top" textRotation="90" wrapText="1"/>
    </xf>
    <xf numFmtId="164" fontId="23" fillId="8" borderId="7" xfId="0" applyNumberFormat="1" applyFont="1" applyFill="1" applyBorder="1" applyAlignment="1">
      <alignment horizontal="center" vertical="top" textRotation="90" wrapText="1"/>
    </xf>
    <xf numFmtId="164" fontId="24" fillId="8" borderId="8" xfId="0" applyNumberFormat="1" applyFont="1" applyFill="1" applyBorder="1" applyAlignment="1">
      <alignment horizontal="center" vertical="top" textRotation="90" wrapText="1"/>
    </xf>
    <xf numFmtId="164" fontId="24" fillId="8" borderId="11" xfId="0" applyNumberFormat="1" applyFont="1" applyFill="1" applyBorder="1" applyAlignment="1">
      <alignment horizontal="center" vertical="top" textRotation="90" wrapText="1"/>
    </xf>
    <xf numFmtId="164" fontId="24" fillId="2" borderId="21" xfId="0" applyNumberFormat="1" applyFont="1" applyFill="1" applyBorder="1" applyAlignment="1">
      <alignment horizontal="center" vertical="top" textRotation="90" wrapText="1"/>
    </xf>
    <xf numFmtId="164" fontId="24" fillId="2" borderId="48" xfId="0" applyNumberFormat="1" applyFont="1" applyFill="1" applyBorder="1" applyAlignment="1">
      <alignment horizontal="center" vertical="top" textRotation="90" wrapText="1"/>
    </xf>
    <xf numFmtId="164" fontId="23" fillId="8" borderId="23" xfId="0" applyNumberFormat="1" applyFont="1" applyFill="1" applyBorder="1" applyAlignment="1">
      <alignment horizontal="center" vertical="top" textRotation="90" wrapText="1"/>
    </xf>
    <xf numFmtId="164" fontId="24" fillId="8" borderId="1" xfId="0" applyNumberFormat="1" applyFont="1" applyFill="1" applyBorder="1" applyAlignment="1">
      <alignment horizontal="center" vertical="top" textRotation="90" wrapText="1"/>
    </xf>
    <xf numFmtId="164" fontId="24" fillId="8" borderId="26" xfId="0" applyNumberFormat="1" applyFont="1" applyFill="1" applyBorder="1" applyAlignment="1">
      <alignment horizontal="center" vertical="top" textRotation="90" wrapText="1"/>
    </xf>
    <xf numFmtId="164" fontId="24" fillId="8" borderId="52" xfId="0" applyNumberFormat="1" applyFont="1" applyFill="1" applyBorder="1" applyAlignment="1">
      <alignment horizontal="center" vertical="top" textRotation="90" wrapText="1"/>
    </xf>
    <xf numFmtId="164" fontId="23" fillId="8" borderId="9" xfId="0" applyNumberFormat="1" applyFont="1" applyFill="1" applyBorder="1" applyAlignment="1">
      <alignment horizontal="center" vertical="top" textRotation="90" wrapText="1"/>
    </xf>
    <xf numFmtId="164" fontId="24" fillId="8" borderId="10" xfId="0" applyNumberFormat="1" applyFont="1" applyFill="1" applyBorder="1" applyAlignment="1">
      <alignment horizontal="center" vertical="top" textRotation="90" wrapText="1"/>
    </xf>
    <xf numFmtId="164" fontId="24" fillId="8" borderId="12" xfId="0" applyNumberFormat="1" applyFont="1" applyFill="1" applyBorder="1" applyAlignment="1">
      <alignment horizontal="center" vertical="top" textRotation="90" wrapText="1"/>
    </xf>
    <xf numFmtId="164" fontId="23" fillId="8" borderId="34" xfId="0" applyNumberFormat="1" applyFont="1" applyFill="1" applyBorder="1" applyAlignment="1">
      <alignment horizontal="center" vertical="top" textRotation="90" wrapText="1"/>
    </xf>
    <xf numFmtId="164" fontId="24" fillId="8" borderId="51" xfId="0" applyNumberFormat="1" applyFont="1" applyFill="1" applyBorder="1" applyAlignment="1">
      <alignment horizontal="center" vertical="top" textRotation="90" wrapText="1"/>
    </xf>
    <xf numFmtId="164" fontId="23" fillId="2" borderId="42" xfId="0" applyNumberFormat="1" applyFont="1" applyFill="1" applyBorder="1" applyAlignment="1">
      <alignment horizontal="center" vertical="top" textRotation="90" wrapText="1"/>
    </xf>
    <xf numFmtId="0" fontId="10" fillId="0" borderId="22" xfId="0" applyFont="1" applyBorder="1" applyAlignment="1">
      <alignment horizontal="center" vertical="center"/>
    </xf>
    <xf numFmtId="164" fontId="23" fillId="2" borderId="27" xfId="0" applyNumberFormat="1" applyFont="1" applyFill="1" applyBorder="1" applyAlignment="1">
      <alignment horizontal="center" vertical="top" textRotation="90" wrapText="1"/>
    </xf>
    <xf numFmtId="164" fontId="24" fillId="2" borderId="27" xfId="0" applyNumberFormat="1" applyFont="1" applyFill="1" applyBorder="1" applyAlignment="1">
      <alignment horizontal="center" vertical="top" textRotation="90" wrapText="1"/>
    </xf>
    <xf numFmtId="164" fontId="24" fillId="2" borderId="43" xfId="0" applyNumberFormat="1" applyFont="1" applyFill="1" applyBorder="1" applyAlignment="1">
      <alignment horizontal="center" vertical="top" textRotation="90" wrapText="1"/>
    </xf>
    <xf numFmtId="164" fontId="23" fillId="2" borderId="44" xfId="0" applyNumberFormat="1" applyFont="1" applyFill="1" applyBorder="1" applyAlignment="1">
      <alignment horizontal="center" vertical="top" textRotation="90" wrapText="1"/>
    </xf>
    <xf numFmtId="164" fontId="24" fillId="2" borderId="30" xfId="0" applyNumberFormat="1" applyFont="1" applyFill="1" applyBorder="1" applyAlignment="1">
      <alignment horizontal="center" vertical="top" textRotation="90" wrapText="1"/>
    </xf>
    <xf numFmtId="164" fontId="24" fillId="2" borderId="47" xfId="0" applyNumberFormat="1" applyFont="1" applyFill="1" applyBorder="1" applyAlignment="1">
      <alignment horizontal="center" vertical="top" textRotation="90" wrapText="1"/>
    </xf>
    <xf numFmtId="164" fontId="24" fillId="8" borderId="30" xfId="0" applyNumberFormat="1" applyFont="1" applyFill="1" applyBorder="1" applyAlignment="1">
      <alignment horizontal="center" vertical="top" textRotation="90" wrapText="1"/>
    </xf>
    <xf numFmtId="164" fontId="24" fillId="8" borderId="53" xfId="0" applyNumberFormat="1" applyFont="1" applyFill="1" applyBorder="1" applyAlignment="1">
      <alignment horizontal="center" vertical="top" textRotation="90" wrapText="1"/>
    </xf>
    <xf numFmtId="164" fontId="24" fillId="8" borderId="21" xfId="0" applyNumberFormat="1" applyFont="1" applyFill="1" applyBorder="1" applyAlignment="1">
      <alignment horizontal="center" vertical="top" textRotation="90" wrapText="1"/>
    </xf>
    <xf numFmtId="164" fontId="24" fillId="8" borderId="49" xfId="0" applyNumberFormat="1" applyFont="1" applyFill="1" applyBorder="1" applyAlignment="1">
      <alignment horizontal="center" vertical="top" textRotation="90" wrapText="1"/>
    </xf>
    <xf numFmtId="164" fontId="24" fillId="2" borderId="28" xfId="0" applyNumberFormat="1" applyFont="1" applyFill="1" applyBorder="1" applyAlignment="1">
      <alignment horizontal="center" vertical="top" textRotation="90" wrapText="1"/>
    </xf>
    <xf numFmtId="164" fontId="24" fillId="2" borderId="42" xfId="0" applyNumberFormat="1" applyFont="1" applyFill="1" applyBorder="1" applyAlignment="1">
      <alignment horizontal="center" vertical="top" textRotation="90" wrapText="1"/>
    </xf>
    <xf numFmtId="164" fontId="24" fillId="8" borderId="28" xfId="0" applyNumberFormat="1" applyFont="1" applyFill="1" applyBorder="1" applyAlignment="1">
      <alignment horizontal="center" vertical="top" textRotation="90" wrapText="1"/>
    </xf>
    <xf numFmtId="164" fontId="24" fillId="8" borderId="50" xfId="0" applyNumberFormat="1" applyFont="1" applyFill="1" applyBorder="1" applyAlignment="1">
      <alignment horizontal="center" vertical="top" textRotation="90" wrapText="1"/>
    </xf>
    <xf numFmtId="164" fontId="29" fillId="2" borderId="38" xfId="0" applyNumberFormat="1" applyFont="1" applyFill="1" applyBorder="1" applyAlignment="1">
      <alignment horizontal="center" vertical="top" textRotation="90" wrapText="1"/>
    </xf>
    <xf numFmtId="164" fontId="30" fillId="2" borderId="38" xfId="0" applyNumberFormat="1" applyFont="1" applyFill="1" applyBorder="1" applyAlignment="1">
      <alignment horizontal="center" vertical="top" textRotation="90" wrapText="1"/>
    </xf>
    <xf numFmtId="164" fontId="30" fillId="2" borderId="2" xfId="0" applyNumberFormat="1" applyFont="1" applyFill="1" applyBorder="1" applyAlignment="1">
      <alignment horizontal="center" vertical="top" textRotation="90" wrapText="1"/>
    </xf>
    <xf numFmtId="164" fontId="29" fillId="8" borderId="7" xfId="0" applyNumberFormat="1" applyFont="1" applyFill="1" applyBorder="1" applyAlignment="1">
      <alignment horizontal="center" vertical="top" textRotation="90" wrapText="1"/>
    </xf>
    <xf numFmtId="164" fontId="30" fillId="8" borderId="8" xfId="0" applyNumberFormat="1" applyFont="1" applyFill="1" applyBorder="1" applyAlignment="1">
      <alignment horizontal="center" vertical="top" textRotation="90" wrapText="1"/>
    </xf>
    <xf numFmtId="164" fontId="30" fillId="8" borderId="11" xfId="0" applyNumberFormat="1" applyFont="1" applyFill="1" applyBorder="1" applyAlignment="1">
      <alignment horizontal="center" vertical="top" textRotation="90" wrapText="1"/>
    </xf>
    <xf numFmtId="164" fontId="29" fillId="2" borderId="6" xfId="0" applyNumberFormat="1" applyFont="1" applyFill="1" applyBorder="1" applyAlignment="1">
      <alignment horizontal="center" vertical="top" textRotation="90" wrapText="1"/>
    </xf>
    <xf numFmtId="164" fontId="30" fillId="2" borderId="6" xfId="0" applyNumberFormat="1" applyFont="1" applyFill="1" applyBorder="1" applyAlignment="1">
      <alignment horizontal="center" vertical="top" textRotation="90" wrapText="1"/>
    </xf>
    <xf numFmtId="164" fontId="29" fillId="2" borderId="21" xfId="0" applyNumberFormat="1" applyFont="1" applyFill="1" applyBorder="1" applyAlignment="1">
      <alignment horizontal="center" vertical="top" textRotation="90" wrapText="1"/>
    </xf>
    <xf numFmtId="164" fontId="30" fillId="2" borderId="21" xfId="0" applyNumberFormat="1" applyFont="1" applyFill="1" applyBorder="1" applyAlignment="1">
      <alignment horizontal="center" vertical="top" textRotation="90" wrapText="1"/>
    </xf>
    <xf numFmtId="164" fontId="30" fillId="2" borderId="48" xfId="0" applyNumberFormat="1" applyFont="1" applyFill="1" applyBorder="1" applyAlignment="1">
      <alignment horizontal="center" vertical="top" textRotation="90" wrapText="1"/>
    </xf>
    <xf numFmtId="164" fontId="29" fillId="8" borderId="23" xfId="0" applyNumberFormat="1" applyFont="1" applyFill="1" applyBorder="1" applyAlignment="1">
      <alignment horizontal="center" vertical="top" textRotation="90" wrapText="1"/>
    </xf>
    <xf numFmtId="164" fontId="30" fillId="8" borderId="1" xfId="0" applyNumberFormat="1" applyFont="1" applyFill="1" applyBorder="1" applyAlignment="1">
      <alignment horizontal="center" vertical="top" textRotation="90" wrapText="1"/>
    </xf>
    <xf numFmtId="164" fontId="30" fillId="8" borderId="26" xfId="0" applyNumberFormat="1" applyFont="1" applyFill="1" applyBorder="1" applyAlignment="1">
      <alignment horizontal="center" vertical="top" textRotation="90" wrapText="1"/>
    </xf>
    <xf numFmtId="164" fontId="29" fillId="2" borderId="1" xfId="0" applyNumberFormat="1" applyFont="1" applyFill="1" applyBorder="1" applyAlignment="1">
      <alignment horizontal="center" vertical="top" textRotation="90" wrapText="1"/>
    </xf>
    <xf numFmtId="164" fontId="30" fillId="2" borderId="1" xfId="0" applyNumberFormat="1" applyFont="1" applyFill="1" applyBorder="1" applyAlignment="1">
      <alignment horizontal="center" vertical="top" textRotation="90" wrapText="1"/>
    </xf>
    <xf numFmtId="164" fontId="29" fillId="2" borderId="4" xfId="0" applyNumberFormat="1" applyFont="1" applyFill="1" applyBorder="1" applyAlignment="1">
      <alignment horizontal="center" vertical="top" textRotation="90" wrapText="1"/>
    </xf>
    <xf numFmtId="164" fontId="29" fillId="2" borderId="5" xfId="0" applyNumberFormat="1" applyFont="1" applyFill="1" applyBorder="1" applyAlignment="1">
      <alignment horizontal="center" vertical="top" textRotation="90" wrapText="1"/>
    </xf>
    <xf numFmtId="164" fontId="30" fillId="2" borderId="5" xfId="0" applyNumberFormat="1" applyFont="1" applyFill="1" applyBorder="1" applyAlignment="1">
      <alignment horizontal="center" vertical="top" textRotation="90" wrapText="1"/>
    </xf>
    <xf numFmtId="164" fontId="31" fillId="2" borderId="8" xfId="0" applyNumberFormat="1" applyFont="1" applyFill="1" applyBorder="1" applyAlignment="1">
      <alignment horizontal="center" vertical="top" textRotation="90" wrapText="1"/>
    </xf>
    <xf numFmtId="164" fontId="31" fillId="2" borderId="10" xfId="0" applyNumberFormat="1" applyFont="1" applyFill="1" applyBorder="1" applyAlignment="1">
      <alignment horizontal="center" vertical="top" textRotation="90" wrapText="1"/>
    </xf>
    <xf numFmtId="164" fontId="29" fillId="2" borderId="8" xfId="0" applyNumberFormat="1" applyFont="1" applyFill="1" applyBorder="1" applyAlignment="1">
      <alignment horizontal="center" vertical="top" textRotation="90" wrapText="1"/>
    </xf>
    <xf numFmtId="164" fontId="30" fillId="2" borderId="8" xfId="0" applyNumberFormat="1" applyFont="1" applyFill="1" applyBorder="1" applyAlignment="1">
      <alignment horizontal="center" vertical="top" textRotation="90" wrapText="1"/>
    </xf>
    <xf numFmtId="164" fontId="29" fillId="2" borderId="10" xfId="0" applyNumberFormat="1" applyFont="1" applyFill="1" applyBorder="1" applyAlignment="1">
      <alignment horizontal="center" vertical="top" textRotation="90" wrapText="1"/>
    </xf>
    <xf numFmtId="164" fontId="30" fillId="2" borderId="10" xfId="0" applyNumberFormat="1" applyFont="1" applyFill="1" applyBorder="1" applyAlignment="1">
      <alignment horizontal="center" vertical="top" textRotation="90" wrapText="1"/>
    </xf>
    <xf numFmtId="164" fontId="29" fillId="8" borderId="9" xfId="0" applyNumberFormat="1" applyFont="1" applyFill="1" applyBorder="1" applyAlignment="1">
      <alignment horizontal="center" vertical="top" textRotation="90" wrapText="1"/>
    </xf>
    <xf numFmtId="164" fontId="30" fillId="8" borderId="10" xfId="0" applyNumberFormat="1" applyFont="1" applyFill="1" applyBorder="1" applyAlignment="1">
      <alignment horizontal="center" vertical="top" textRotation="90" wrapText="1"/>
    </xf>
    <xf numFmtId="164" fontId="30" fillId="8" borderId="12" xfId="0" applyNumberFormat="1" applyFont="1" applyFill="1" applyBorder="1" applyAlignment="1">
      <alignment horizontal="center" vertical="top" textRotation="90" wrapText="1"/>
    </xf>
    <xf numFmtId="0" fontId="11" fillId="2" borderId="26" xfId="0" applyFont="1" applyFill="1" applyBorder="1" applyAlignment="1">
      <alignment horizontal="center" vertical="center" wrapText="1"/>
    </xf>
    <xf numFmtId="169" fontId="11" fillId="2" borderId="1" xfId="1" applyNumberFormat="1" applyFont="1" applyFill="1" applyBorder="1" applyAlignment="1">
      <alignment horizontal="center" vertical="center" wrapText="1"/>
    </xf>
    <xf numFmtId="4" fontId="11" fillId="0" borderId="5" xfId="1" applyNumberFormat="1" applyFont="1" applyBorder="1" applyAlignment="1">
      <alignment horizontal="center" vertical="center" wrapText="1"/>
    </xf>
    <xf numFmtId="166" fontId="11" fillId="0" borderId="5" xfId="1" applyNumberFormat="1" applyFont="1" applyBorder="1" applyAlignment="1">
      <alignment horizontal="center" vertical="center" wrapText="1"/>
    </xf>
    <xf numFmtId="0" fontId="15" fillId="6" borderId="5" xfId="0" applyFont="1" applyFill="1" applyBorder="1" applyAlignment="1">
      <alignment horizontal="center" vertical="center"/>
    </xf>
    <xf numFmtId="0" fontId="10" fillId="2" borderId="6" xfId="0" applyFont="1" applyFill="1" applyBorder="1" applyAlignment="1">
      <alignment horizontal="center" vertical="center"/>
    </xf>
    <xf numFmtId="0" fontId="11" fillId="2" borderId="5" xfId="0" applyFont="1" applyFill="1" applyBorder="1" applyAlignment="1">
      <alignment horizontal="center" vertical="center" wrapText="1"/>
    </xf>
    <xf numFmtId="2" fontId="11" fillId="0" borderId="5" xfId="1" applyNumberFormat="1" applyFont="1" applyBorder="1" applyAlignment="1">
      <alignment horizontal="center" vertical="center" wrapText="1"/>
    </xf>
    <xf numFmtId="164" fontId="19" fillId="2" borderId="26" xfId="0" applyNumberFormat="1" applyFont="1" applyFill="1" applyBorder="1" applyAlignment="1">
      <alignment horizontal="center" vertical="top" textRotation="90" wrapText="1"/>
    </xf>
    <xf numFmtId="164" fontId="19" fillId="2" borderId="19" xfId="0" applyNumberFormat="1" applyFont="1" applyFill="1" applyBorder="1" applyAlignment="1">
      <alignment horizontal="center" vertical="top" textRotation="90" wrapText="1"/>
    </xf>
    <xf numFmtId="164" fontId="20" fillId="2" borderId="26" xfId="0" applyNumberFormat="1" applyFont="1" applyFill="1" applyBorder="1" applyAlignment="1">
      <alignment horizontal="center" vertical="top" textRotation="90" wrapText="1"/>
    </xf>
    <xf numFmtId="164" fontId="19" fillId="2" borderId="37" xfId="0" applyNumberFormat="1" applyFont="1" applyFill="1" applyBorder="1" applyAlignment="1">
      <alignment horizontal="center" vertical="top" textRotation="90" wrapText="1"/>
    </xf>
    <xf numFmtId="164" fontId="20" fillId="2" borderId="37" xfId="0" applyNumberFormat="1" applyFont="1" applyFill="1" applyBorder="1" applyAlignment="1">
      <alignment horizontal="center" vertical="top" textRotation="90" wrapText="1"/>
    </xf>
    <xf numFmtId="0" fontId="7" fillId="0" borderId="11" xfId="0" applyFont="1" applyBorder="1"/>
    <xf numFmtId="164" fontId="20" fillId="2" borderId="21" xfId="0" applyNumberFormat="1" applyFont="1" applyFill="1" applyBorder="1" applyAlignment="1">
      <alignment horizontal="center" vertical="top" textRotation="90" wrapText="1"/>
    </xf>
    <xf numFmtId="0" fontId="10" fillId="2" borderId="5" xfId="0" applyFont="1" applyFill="1" applyBorder="1" applyAlignment="1">
      <alignment horizontal="center" vertical="center"/>
    </xf>
    <xf numFmtId="164" fontId="19" fillId="2" borderId="4" xfId="0" applyNumberFormat="1" applyFont="1" applyFill="1" applyBorder="1" applyAlignment="1">
      <alignment horizontal="center" vertical="top" textRotation="90" wrapText="1"/>
    </xf>
    <xf numFmtId="0" fontId="7" fillId="0" borderId="26" xfId="0" applyFont="1" applyBorder="1"/>
    <xf numFmtId="0" fontId="7" fillId="0" borderId="12" xfId="0" applyFont="1" applyBorder="1"/>
    <xf numFmtId="164" fontId="20" fillId="2" borderId="19" xfId="0" applyNumberFormat="1" applyFont="1" applyFill="1" applyBorder="1" applyAlignment="1">
      <alignment horizontal="center" vertical="top" textRotation="90" wrapText="1"/>
    </xf>
    <xf numFmtId="0" fontId="7" fillId="0" borderId="11" xfId="0" applyFont="1" applyBorder="1" applyAlignment="1">
      <alignment vertical="center"/>
    </xf>
    <xf numFmtId="0" fontId="7" fillId="0" borderId="26" xfId="0" applyFont="1" applyBorder="1" applyAlignment="1">
      <alignment vertical="center"/>
    </xf>
    <xf numFmtId="164" fontId="14" fillId="10" borderId="35" xfId="0" applyNumberFormat="1" applyFont="1" applyFill="1" applyBorder="1" applyAlignment="1">
      <alignment horizontal="center" vertical="top" textRotation="90" wrapText="1"/>
    </xf>
    <xf numFmtId="164" fontId="19" fillId="10" borderId="6" xfId="0" applyNumberFormat="1" applyFont="1" applyFill="1" applyBorder="1" applyAlignment="1">
      <alignment horizontal="center" vertical="top" textRotation="90" wrapText="1"/>
    </xf>
    <xf numFmtId="164" fontId="19" fillId="10" borderId="37" xfId="0" applyNumberFormat="1" applyFont="1" applyFill="1" applyBorder="1" applyAlignment="1">
      <alignment horizontal="center" vertical="top" textRotation="90" wrapText="1"/>
    </xf>
    <xf numFmtId="164" fontId="14" fillId="10" borderId="18" xfId="0" applyNumberFormat="1" applyFont="1" applyFill="1" applyBorder="1" applyAlignment="1">
      <alignment horizontal="center" vertical="top" textRotation="90" wrapText="1"/>
    </xf>
    <xf numFmtId="164" fontId="19" fillId="10" borderId="5" xfId="0" applyNumberFormat="1" applyFont="1" applyFill="1" applyBorder="1" applyAlignment="1">
      <alignment horizontal="center" vertical="top" textRotation="90" wrapText="1"/>
    </xf>
    <xf numFmtId="164" fontId="19" fillId="10" borderId="19" xfId="0" applyNumberFormat="1" applyFont="1" applyFill="1" applyBorder="1" applyAlignment="1">
      <alignment horizontal="center" vertical="top" textRotation="90" wrapText="1"/>
    </xf>
    <xf numFmtId="2" fontId="11" fillId="0" borderId="1" xfId="1" applyNumberFormat="1" applyFont="1" applyBorder="1" applyAlignment="1">
      <alignment horizontal="center" vertical="center" wrapText="1"/>
    </xf>
    <xf numFmtId="168" fontId="11" fillId="2" borderId="22" xfId="4" applyNumberFormat="1" applyFont="1" applyFill="1" applyBorder="1" applyAlignment="1">
      <alignment horizontal="center" vertical="center" wrapText="1"/>
    </xf>
    <xf numFmtId="168" fontId="11" fillId="2" borderId="1" xfId="4" applyNumberFormat="1" applyFont="1" applyFill="1" applyBorder="1" applyAlignment="1">
      <alignment horizontal="center" vertical="center" wrapText="1"/>
    </xf>
    <xf numFmtId="164" fontId="21" fillId="10" borderId="23" xfId="0" applyNumberFormat="1" applyFont="1" applyFill="1" applyBorder="1" applyAlignment="1">
      <alignment horizontal="center" vertical="top" textRotation="90" wrapText="1"/>
    </xf>
    <xf numFmtId="164" fontId="20" fillId="10" borderId="1" xfId="0" applyNumberFormat="1" applyFont="1" applyFill="1" applyBorder="1" applyAlignment="1">
      <alignment horizontal="center" vertical="top" textRotation="90" wrapText="1"/>
    </xf>
    <xf numFmtId="164" fontId="20" fillId="10" borderId="26" xfId="0" applyNumberFormat="1" applyFont="1" applyFill="1" applyBorder="1" applyAlignment="1">
      <alignment horizontal="center" vertical="top" textRotation="90" wrapText="1"/>
    </xf>
    <xf numFmtId="164" fontId="21" fillId="10" borderId="18" xfId="0" applyNumberFormat="1" applyFont="1" applyFill="1" applyBorder="1" applyAlignment="1">
      <alignment horizontal="center" vertical="top" textRotation="90" wrapText="1"/>
    </xf>
    <xf numFmtId="164" fontId="20" fillId="10" borderId="5" xfId="0" applyNumberFormat="1" applyFont="1" applyFill="1" applyBorder="1" applyAlignment="1">
      <alignment horizontal="center" vertical="top" textRotation="90" wrapText="1"/>
    </xf>
    <xf numFmtId="164" fontId="20" fillId="10" borderId="19" xfId="0" applyNumberFormat="1" applyFont="1" applyFill="1" applyBorder="1" applyAlignment="1">
      <alignment horizontal="center" vertical="top" textRotation="90" wrapText="1"/>
    </xf>
    <xf numFmtId="164" fontId="19" fillId="10" borderId="22" xfId="0" applyNumberFormat="1" applyFont="1" applyFill="1" applyBorder="1" applyAlignment="1">
      <alignment horizontal="center" vertical="top" textRotation="90" wrapText="1"/>
    </xf>
    <xf numFmtId="164" fontId="19" fillId="10" borderId="33" xfId="0" applyNumberFormat="1" applyFont="1" applyFill="1" applyBorder="1" applyAlignment="1">
      <alignment horizontal="center" vertical="top" textRotation="90" wrapText="1"/>
    </xf>
    <xf numFmtId="0" fontId="33" fillId="0" borderId="26" xfId="0" applyFont="1" applyBorder="1"/>
    <xf numFmtId="0" fontId="33" fillId="0" borderId="11" xfId="0" applyFont="1" applyBorder="1"/>
    <xf numFmtId="0" fontId="33" fillId="0" borderId="12" xfId="0" applyFont="1" applyBorder="1"/>
    <xf numFmtId="164" fontId="21" fillId="2" borderId="46" xfId="0" applyNumberFormat="1" applyFont="1" applyFill="1" applyBorder="1" applyAlignment="1">
      <alignment horizontal="center" vertical="top" textRotation="90" wrapText="1"/>
    </xf>
    <xf numFmtId="169" fontId="11" fillId="0" borderId="5" xfId="1" applyNumberFormat="1" applyFont="1" applyBorder="1" applyAlignment="1">
      <alignment horizontal="center" vertical="center" wrapText="1"/>
    </xf>
    <xf numFmtId="169" fontId="11" fillId="2" borderId="26" xfId="1" applyNumberFormat="1" applyFont="1" applyFill="1" applyBorder="1" applyAlignment="1">
      <alignment horizontal="center" vertical="center" wrapText="1"/>
    </xf>
    <xf numFmtId="164" fontId="20" fillId="2" borderId="2" xfId="0" applyNumberFormat="1" applyFont="1" applyFill="1" applyBorder="1" applyAlignment="1">
      <alignment horizontal="center" vertical="top" textRotation="90" wrapText="1"/>
    </xf>
    <xf numFmtId="164" fontId="20" fillId="2" borderId="48" xfId="0" applyNumberFormat="1" applyFont="1" applyFill="1" applyBorder="1" applyAlignment="1">
      <alignment horizontal="center" vertical="top" textRotation="90" wrapText="1"/>
    </xf>
    <xf numFmtId="164" fontId="19" fillId="2" borderId="55" xfId="0" applyNumberFormat="1" applyFont="1" applyFill="1" applyBorder="1" applyAlignment="1">
      <alignment horizontal="center" vertical="top" textRotation="90" wrapText="1"/>
    </xf>
    <xf numFmtId="164" fontId="30" fillId="2" borderId="3" xfId="0" applyNumberFormat="1" applyFont="1" applyFill="1" applyBorder="1" applyAlignment="1">
      <alignment horizontal="center" vertical="top" textRotation="90" wrapText="1"/>
    </xf>
    <xf numFmtId="164" fontId="29" fillId="8" borderId="8" xfId="0" applyNumberFormat="1" applyFont="1" applyFill="1" applyBorder="1" applyAlignment="1">
      <alignment horizontal="center" vertical="top" textRotation="90" wrapText="1"/>
    </xf>
    <xf numFmtId="164" fontId="29" fillId="8" borderId="10" xfId="0" applyNumberFormat="1" applyFont="1" applyFill="1" applyBorder="1" applyAlignment="1">
      <alignment horizontal="center" vertical="top" textRotation="90" wrapText="1"/>
    </xf>
    <xf numFmtId="164" fontId="20" fillId="2" borderId="55" xfId="0" applyNumberFormat="1" applyFont="1" applyFill="1" applyBorder="1" applyAlignment="1">
      <alignment horizontal="center" vertical="top" textRotation="90" wrapText="1"/>
    </xf>
    <xf numFmtId="164" fontId="21" fillId="2" borderId="22" xfId="0" applyNumberFormat="1" applyFont="1" applyFill="1" applyBorder="1" applyAlignment="1">
      <alignment horizontal="center" vertical="top" textRotation="90" wrapText="1"/>
    </xf>
    <xf numFmtId="0" fontId="7" fillId="0" borderId="37" xfId="0" applyFont="1" applyBorder="1"/>
    <xf numFmtId="164" fontId="19" fillId="2" borderId="20" xfId="0" applyNumberFormat="1" applyFont="1" applyFill="1" applyBorder="1" applyAlignment="1">
      <alignment horizontal="center" vertical="top" textRotation="90" wrapText="1"/>
    </xf>
    <xf numFmtId="164" fontId="20" fillId="2" borderId="46" xfId="0" applyNumberFormat="1" applyFont="1" applyFill="1" applyBorder="1" applyAlignment="1">
      <alignment horizontal="center" vertical="top" textRotation="90" wrapText="1"/>
    </xf>
    <xf numFmtId="164" fontId="20" fillId="2" borderId="33" xfId="0" applyNumberFormat="1" applyFont="1" applyFill="1" applyBorder="1" applyAlignment="1">
      <alignment horizontal="center" vertical="top" textRotation="90" wrapText="1"/>
    </xf>
    <xf numFmtId="49" fontId="11" fillId="2" borderId="26" xfId="1" applyNumberFormat="1" applyFont="1" applyFill="1" applyBorder="1" applyAlignment="1">
      <alignment horizontal="center" vertical="center" wrapText="1"/>
    </xf>
    <xf numFmtId="0" fontId="11" fillId="2" borderId="37" xfId="0" applyFont="1" applyFill="1" applyBorder="1" applyAlignment="1">
      <alignment horizontal="center" vertical="center" wrapText="1"/>
    </xf>
    <xf numFmtId="164" fontId="20" fillId="2" borderId="0" xfId="0" applyNumberFormat="1" applyFont="1" applyFill="1" applyAlignment="1">
      <alignment horizontal="center" vertical="top" textRotation="90" wrapText="1"/>
    </xf>
    <xf numFmtId="0" fontId="11" fillId="0" borderId="26" xfId="0" applyFont="1" applyBorder="1" applyAlignment="1">
      <alignment horizontal="center" vertical="center" wrapText="1"/>
    </xf>
    <xf numFmtId="0" fontId="7" fillId="0" borderId="19" xfId="0" applyFont="1" applyBorder="1"/>
    <xf numFmtId="164" fontId="14" fillId="10" borderId="23" xfId="0" applyNumberFormat="1" applyFont="1" applyFill="1" applyBorder="1" applyAlignment="1">
      <alignment horizontal="center" vertical="top" textRotation="90" wrapText="1"/>
    </xf>
    <xf numFmtId="164" fontId="19" fillId="10" borderId="1" xfId="0" applyNumberFormat="1" applyFont="1" applyFill="1" applyBorder="1" applyAlignment="1">
      <alignment horizontal="center" vertical="top" textRotation="90" wrapText="1"/>
    </xf>
    <xf numFmtId="164" fontId="19" fillId="10" borderId="26" xfId="0" applyNumberFormat="1" applyFont="1" applyFill="1" applyBorder="1" applyAlignment="1">
      <alignment horizontal="center" vertical="top" textRotation="90" wrapText="1"/>
    </xf>
    <xf numFmtId="164" fontId="21" fillId="10" borderId="25" xfId="0" applyNumberFormat="1" applyFont="1" applyFill="1" applyBorder="1" applyAlignment="1">
      <alignment horizontal="center" vertical="top" textRotation="90" wrapText="1"/>
    </xf>
    <xf numFmtId="164" fontId="20" fillId="10" borderId="22" xfId="0" applyNumberFormat="1" applyFont="1" applyFill="1" applyBorder="1" applyAlignment="1">
      <alignment horizontal="center" vertical="top" textRotation="90" wrapText="1"/>
    </xf>
    <xf numFmtId="164" fontId="20" fillId="10" borderId="33" xfId="0" applyNumberFormat="1" applyFont="1" applyFill="1" applyBorder="1" applyAlignment="1">
      <alignment horizontal="center" vertical="top" textRotation="90" wrapText="1"/>
    </xf>
    <xf numFmtId="164" fontId="21" fillId="10" borderId="35" xfId="0" applyNumberFormat="1" applyFont="1" applyFill="1" applyBorder="1" applyAlignment="1">
      <alignment horizontal="center" vertical="top" textRotation="90" wrapText="1"/>
    </xf>
    <xf numFmtId="164" fontId="20" fillId="10" borderId="6" xfId="0" applyNumberFormat="1" applyFont="1" applyFill="1" applyBorder="1" applyAlignment="1">
      <alignment horizontal="center" vertical="top" textRotation="90" wrapText="1"/>
    </xf>
    <xf numFmtId="164" fontId="20" fillId="10" borderId="37" xfId="0" applyNumberFormat="1" applyFont="1" applyFill="1" applyBorder="1" applyAlignment="1">
      <alignment horizontal="center" vertical="top" textRotation="90" wrapText="1"/>
    </xf>
    <xf numFmtId="164" fontId="14" fillId="10" borderId="25" xfId="0" applyNumberFormat="1" applyFont="1" applyFill="1" applyBorder="1" applyAlignment="1">
      <alignment horizontal="center" vertical="top" textRotation="90" wrapText="1"/>
    </xf>
    <xf numFmtId="164" fontId="21" fillId="10" borderId="7" xfId="0" applyNumberFormat="1" applyFont="1" applyFill="1" applyBorder="1" applyAlignment="1">
      <alignment horizontal="center" vertical="top" textRotation="90" wrapText="1"/>
    </xf>
    <xf numFmtId="164" fontId="20" fillId="10" borderId="8" xfId="0" applyNumberFormat="1" applyFont="1" applyFill="1" applyBorder="1" applyAlignment="1">
      <alignment horizontal="center" vertical="top" textRotation="90" wrapText="1"/>
    </xf>
    <xf numFmtId="164" fontId="20" fillId="10" borderId="11" xfId="0" applyNumberFormat="1" applyFont="1" applyFill="1" applyBorder="1" applyAlignment="1">
      <alignment horizontal="center" vertical="top" textRotation="90" wrapText="1"/>
    </xf>
    <xf numFmtId="49" fontId="25" fillId="3" borderId="7" xfId="1" applyNumberFormat="1" applyFont="1" applyFill="1" applyBorder="1" applyAlignment="1">
      <alignment horizontal="center" vertical="center" wrapText="1"/>
    </xf>
    <xf numFmtId="49" fontId="25" fillId="3" borderId="8" xfId="1" applyNumberFormat="1" applyFont="1" applyFill="1" applyBorder="1" applyAlignment="1">
      <alignment horizontal="center" vertical="center" wrapText="1"/>
    </xf>
    <xf numFmtId="49" fontId="25" fillId="3" borderId="11" xfId="1" applyNumberFormat="1" applyFont="1" applyFill="1" applyBorder="1" applyAlignment="1">
      <alignment horizontal="center" vertical="center" wrapText="1"/>
    </xf>
    <xf numFmtId="49" fontId="25" fillId="3" borderId="23" xfId="1" applyNumberFormat="1" applyFont="1" applyFill="1" applyBorder="1" applyAlignment="1">
      <alignment horizontal="center" vertical="center" wrapText="1"/>
    </xf>
    <xf numFmtId="49" fontId="25" fillId="3" borderId="1" xfId="1" applyNumberFormat="1" applyFont="1" applyFill="1" applyBorder="1" applyAlignment="1">
      <alignment horizontal="center" vertical="center" wrapText="1"/>
    </xf>
    <xf numFmtId="49" fontId="25" fillId="3" borderId="26" xfId="1" applyNumberFormat="1" applyFont="1" applyFill="1" applyBorder="1" applyAlignment="1">
      <alignment horizontal="center" vertical="center" wrapText="1"/>
    </xf>
    <xf numFmtId="49" fontId="25" fillId="3" borderId="9" xfId="1" applyNumberFormat="1" applyFont="1" applyFill="1" applyBorder="1" applyAlignment="1">
      <alignment horizontal="center" vertical="center" wrapText="1"/>
    </xf>
    <xf numFmtId="49" fontId="25" fillId="3" borderId="10" xfId="1" applyNumberFormat="1" applyFont="1" applyFill="1" applyBorder="1" applyAlignment="1">
      <alignment horizontal="center" vertical="center" wrapText="1"/>
    </xf>
    <xf numFmtId="49" fontId="25" fillId="3" borderId="12" xfId="1" applyNumberFormat="1" applyFont="1" applyFill="1" applyBorder="1" applyAlignment="1">
      <alignment horizontal="center" vertical="center" wrapText="1"/>
    </xf>
    <xf numFmtId="0" fontId="3" fillId="0" borderId="39"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49" fontId="22" fillId="3" borderId="7" xfId="1" applyNumberFormat="1" applyFont="1" applyFill="1" applyBorder="1" applyAlignment="1">
      <alignment horizontal="center" vertical="center" wrapText="1"/>
    </xf>
    <xf numFmtId="49" fontId="22" fillId="3" borderId="8" xfId="1" applyNumberFormat="1" applyFont="1" applyFill="1" applyBorder="1" applyAlignment="1">
      <alignment horizontal="center" vertical="center" wrapText="1"/>
    </xf>
    <xf numFmtId="49" fontId="22" fillId="3" borderId="23" xfId="1" applyNumberFormat="1" applyFont="1" applyFill="1" applyBorder="1" applyAlignment="1">
      <alignment horizontal="center" vertical="center" wrapText="1"/>
    </xf>
    <xf numFmtId="49" fontId="22" fillId="3" borderId="1" xfId="1" applyNumberFormat="1" applyFont="1" applyFill="1" applyBorder="1" applyAlignment="1">
      <alignment horizontal="center" vertical="center" wrapText="1"/>
    </xf>
    <xf numFmtId="49" fontId="22" fillId="3" borderId="24" xfId="1" applyNumberFormat="1" applyFont="1" applyFill="1" applyBorder="1" applyAlignment="1">
      <alignment horizontal="center" vertical="center" wrapText="1"/>
    </xf>
    <xf numFmtId="49" fontId="22" fillId="3" borderId="14" xfId="1" applyNumberFormat="1" applyFont="1" applyFill="1" applyBorder="1" applyAlignment="1">
      <alignment horizontal="center" vertical="center" wrapText="1"/>
    </xf>
    <xf numFmtId="49" fontId="18" fillId="2" borderId="39" xfId="1" applyNumberFormat="1" applyFont="1" applyFill="1" applyBorder="1" applyAlignment="1">
      <alignment horizontal="center" vertical="center" wrapText="1"/>
    </xf>
    <xf numFmtId="49" fontId="18" fillId="2" borderId="40" xfId="1" applyNumberFormat="1" applyFont="1" applyFill="1" applyBorder="1" applyAlignment="1">
      <alignment horizontal="center" vertical="center" wrapText="1"/>
    </xf>
    <xf numFmtId="49" fontId="18" fillId="2" borderId="41" xfId="1" applyNumberFormat="1" applyFont="1" applyFill="1" applyBorder="1" applyAlignment="1">
      <alignment horizontal="center" vertical="center" wrapText="1"/>
    </xf>
    <xf numFmtId="0" fontId="10" fillId="0" borderId="22" xfId="0" applyFont="1" applyBorder="1" applyAlignment="1">
      <alignment horizontal="center" vertical="top"/>
    </xf>
    <xf numFmtId="0" fontId="11" fillId="2" borderId="22" xfId="0" applyFont="1" applyFill="1" applyBorder="1" applyAlignment="1">
      <alignment horizontal="center" vertical="center" wrapText="1"/>
    </xf>
    <xf numFmtId="0" fontId="11" fillId="2" borderId="6" xfId="0" applyFont="1" applyFill="1" applyBorder="1" applyAlignment="1">
      <alignment horizontal="center" vertical="center" wrapText="1"/>
    </xf>
    <xf numFmtId="169" fontId="11" fillId="2" borderId="22" xfId="1" applyNumberFormat="1" applyFont="1" applyFill="1" applyBorder="1" applyAlignment="1">
      <alignment horizontal="center" vertical="center" wrapText="1"/>
    </xf>
    <xf numFmtId="169" fontId="11" fillId="2" borderId="6" xfId="1" applyNumberFormat="1" applyFont="1" applyFill="1" applyBorder="1" applyAlignment="1">
      <alignment horizontal="center" vertical="center" wrapText="1"/>
    </xf>
    <xf numFmtId="4" fontId="11" fillId="0" borderId="22" xfId="0" applyNumberFormat="1" applyFont="1" applyBorder="1" applyAlignment="1">
      <alignment horizontal="center" vertical="center" wrapText="1"/>
    </xf>
    <xf numFmtId="0" fontId="11" fillId="0" borderId="22" xfId="0" applyFont="1" applyBorder="1" applyAlignment="1">
      <alignment horizontal="center" vertical="center" wrapText="1"/>
    </xf>
    <xf numFmtId="49" fontId="28" fillId="4" borderId="31" xfId="1" applyNumberFormat="1" applyFont="1" applyFill="1" applyBorder="1" applyAlignment="1">
      <alignment horizontal="center" vertical="center" wrapText="1"/>
    </xf>
    <xf numFmtId="49" fontId="28" fillId="4" borderId="54" xfId="1" applyNumberFormat="1" applyFont="1" applyFill="1" applyBorder="1" applyAlignment="1">
      <alignment horizontal="center" vertical="center" wrapText="1"/>
    </xf>
    <xf numFmtId="49" fontId="28" fillId="2" borderId="15" xfId="1" applyNumberFormat="1" applyFont="1" applyFill="1" applyBorder="1" applyAlignment="1">
      <alignment horizontal="center" vertical="center" wrapText="1"/>
    </xf>
    <xf numFmtId="49" fontId="28" fillId="2" borderId="16" xfId="1" applyNumberFormat="1" applyFont="1" applyFill="1" applyBorder="1" applyAlignment="1">
      <alignment horizontal="center" vertical="center" wrapText="1"/>
    </xf>
    <xf numFmtId="49" fontId="28" fillId="2" borderId="56" xfId="1" applyNumberFormat="1" applyFont="1" applyFill="1" applyBorder="1" applyAlignment="1">
      <alignment horizontal="center" vertical="center" wrapText="1"/>
    </xf>
    <xf numFmtId="0" fontId="7" fillId="0" borderId="0" xfId="0" applyFont="1" applyAlignment="1">
      <alignment horizontal="left" vertical="center"/>
    </xf>
    <xf numFmtId="49" fontId="27" fillId="2" borderId="24" xfId="1" applyNumberFormat="1" applyFont="1" applyFill="1" applyBorder="1" applyAlignment="1">
      <alignment horizontal="center" vertical="center" wrapText="1"/>
    </xf>
    <xf numFmtId="49" fontId="27" fillId="2" borderId="14" xfId="1" applyNumberFormat="1" applyFont="1" applyFill="1" applyBorder="1" applyAlignment="1">
      <alignment horizontal="center" vertical="center" wrapText="1"/>
    </xf>
    <xf numFmtId="49" fontId="27" fillId="2" borderId="52" xfId="1" applyNumberFormat="1" applyFont="1" applyFill="1" applyBorder="1" applyAlignment="1">
      <alignment horizontal="center" vertical="center" wrapText="1"/>
    </xf>
    <xf numFmtId="49" fontId="27" fillId="7" borderId="15" xfId="1" applyNumberFormat="1" applyFont="1" applyFill="1" applyBorder="1" applyAlignment="1">
      <alignment horizontal="center" vertical="center" wrapText="1"/>
    </xf>
    <xf numFmtId="49" fontId="27" fillId="7" borderId="16" xfId="1" applyNumberFormat="1" applyFont="1" applyFill="1" applyBorder="1" applyAlignment="1">
      <alignment horizontal="center" vertical="center" wrapText="1"/>
    </xf>
    <xf numFmtId="49" fontId="27" fillId="7" borderId="17" xfId="1" applyNumberFormat="1" applyFont="1" applyFill="1" applyBorder="1" applyAlignment="1">
      <alignment horizontal="center" vertical="center" wrapText="1"/>
    </xf>
    <xf numFmtId="49" fontId="27" fillId="2" borderId="15" xfId="1" applyNumberFormat="1" applyFont="1" applyFill="1" applyBorder="1" applyAlignment="1">
      <alignment horizontal="center" vertical="center" wrapText="1"/>
    </xf>
    <xf numFmtId="49" fontId="27" fillId="2" borderId="16" xfId="1" applyNumberFormat="1" applyFont="1" applyFill="1" applyBorder="1" applyAlignment="1">
      <alignment horizontal="center" vertical="center" wrapText="1"/>
    </xf>
    <xf numFmtId="49" fontId="27" fillId="2" borderId="17" xfId="1" applyNumberFormat="1" applyFont="1" applyFill="1" applyBorder="1" applyAlignment="1">
      <alignment horizontal="center" vertical="center" wrapText="1"/>
    </xf>
    <xf numFmtId="49" fontId="27" fillId="6" borderId="39" xfId="1" applyNumberFormat="1" applyFont="1" applyFill="1" applyBorder="1" applyAlignment="1">
      <alignment horizontal="center" vertical="center" wrapText="1"/>
    </xf>
    <xf numFmtId="49" fontId="27" fillId="6" borderId="40" xfId="1" applyNumberFormat="1" applyFont="1" applyFill="1" applyBorder="1" applyAlignment="1">
      <alignment horizontal="center" vertical="center" wrapText="1"/>
    </xf>
    <xf numFmtId="49" fontId="27" fillId="6" borderId="41" xfId="1" applyNumberFormat="1" applyFont="1" applyFill="1" applyBorder="1" applyAlignment="1">
      <alignment horizontal="center" vertical="center" wrapText="1"/>
    </xf>
    <xf numFmtId="49" fontId="26" fillId="2" borderId="31" xfId="1" applyNumberFormat="1" applyFont="1" applyFill="1" applyBorder="1" applyAlignment="1">
      <alignment horizontal="center" vertical="center" wrapText="1"/>
    </xf>
    <xf numFmtId="49" fontId="26" fillId="2" borderId="54" xfId="1" applyNumberFormat="1" applyFont="1" applyFill="1" applyBorder="1" applyAlignment="1">
      <alignment horizontal="center" vertical="center" wrapText="1"/>
    </xf>
    <xf numFmtId="49" fontId="26" fillId="2" borderId="57" xfId="1" applyNumberFormat="1" applyFont="1" applyFill="1" applyBorder="1" applyAlignment="1">
      <alignment horizontal="center" vertical="center" wrapText="1"/>
    </xf>
    <xf numFmtId="164" fontId="3" fillId="2" borderId="31" xfId="0" applyNumberFormat="1" applyFont="1" applyFill="1" applyBorder="1" applyAlignment="1">
      <alignment horizontal="center" vertical="top" textRotation="90" wrapText="1"/>
    </xf>
    <xf numFmtId="164" fontId="3" fillId="2" borderId="54" xfId="0" applyNumberFormat="1" applyFont="1" applyFill="1" applyBorder="1" applyAlignment="1">
      <alignment horizontal="center" vertical="top" textRotation="90" wrapText="1"/>
    </xf>
    <xf numFmtId="164" fontId="3" fillId="2" borderId="57" xfId="0" applyNumberFormat="1" applyFont="1" applyFill="1" applyBorder="1" applyAlignment="1">
      <alignment horizontal="center" vertical="top" textRotation="90" wrapText="1"/>
    </xf>
    <xf numFmtId="4" fontId="11" fillId="0" borderId="22" xfId="1" applyNumberFormat="1" applyFont="1" applyBorder="1" applyAlignment="1">
      <alignment horizontal="center" vertical="center" wrapText="1"/>
    </xf>
    <xf numFmtId="166" fontId="11" fillId="0" borderId="22" xfId="1" applyNumberFormat="1" applyFont="1" applyBorder="1" applyAlignment="1">
      <alignment horizontal="center" vertical="center" wrapText="1"/>
    </xf>
    <xf numFmtId="0" fontId="11" fillId="0" borderId="19" xfId="0" applyFont="1" applyBorder="1" applyAlignment="1">
      <alignment horizontal="center" vertical="center" wrapText="1"/>
    </xf>
    <xf numFmtId="0" fontId="11" fillId="0" borderId="37" xfId="0" applyFont="1" applyBorder="1" applyAlignment="1">
      <alignment horizontal="center" vertical="center" wrapText="1"/>
    </xf>
    <xf numFmtId="0" fontId="11" fillId="2" borderId="26" xfId="0" applyFont="1" applyFill="1" applyBorder="1" applyAlignment="1">
      <alignment horizontal="center" vertical="center" wrapText="1"/>
    </xf>
    <xf numFmtId="4" fontId="9" fillId="2" borderId="5" xfId="0" applyNumberFormat="1" applyFont="1" applyFill="1" applyBorder="1" applyAlignment="1">
      <alignment horizontal="center" vertical="center" wrapText="1"/>
    </xf>
    <xf numFmtId="4" fontId="9" fillId="2" borderId="6"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0" fillId="0" borderId="27" xfId="0" applyFont="1" applyBorder="1" applyAlignment="1">
      <alignment horizontal="center" vertical="top"/>
    </xf>
    <xf numFmtId="4" fontId="11" fillId="0" borderId="5" xfId="1" applyNumberFormat="1" applyFont="1" applyBorder="1" applyAlignment="1">
      <alignment horizontal="center" vertical="center" wrapText="1"/>
    </xf>
    <xf numFmtId="4" fontId="11" fillId="0" borderId="6" xfId="1" applyNumberFormat="1" applyFont="1" applyBorder="1" applyAlignment="1">
      <alignment horizontal="center" vertical="center" wrapText="1"/>
    </xf>
    <xf numFmtId="0" fontId="11" fillId="2" borderId="5" xfId="0" applyFont="1" applyFill="1" applyBorder="1" applyAlignment="1">
      <alignment horizontal="center" vertical="center" wrapText="1"/>
    </xf>
    <xf numFmtId="4" fontId="11" fillId="0" borderId="1" xfId="1" applyNumberFormat="1" applyFont="1" applyBorder="1" applyAlignment="1">
      <alignment horizontal="center" vertical="center" wrapText="1"/>
    </xf>
    <xf numFmtId="0" fontId="11" fillId="0" borderId="1" xfId="0" applyFont="1" applyBorder="1" applyAlignment="1">
      <alignment horizontal="center" vertical="center" wrapText="1"/>
    </xf>
    <xf numFmtId="49" fontId="11" fillId="0" borderId="1" xfId="1" applyNumberFormat="1" applyFont="1" applyBorder="1" applyAlignment="1">
      <alignment horizontal="center" vertical="center" wrapText="1"/>
    </xf>
    <xf numFmtId="169" fontId="11" fillId="2" borderId="26" xfId="1" applyNumberFormat="1" applyFont="1" applyFill="1" applyBorder="1" applyAlignment="1">
      <alignment horizontal="center" vertical="center" wrapText="1"/>
    </xf>
    <xf numFmtId="0" fontId="11" fillId="0" borderId="1" xfId="0" applyFont="1" applyBorder="1"/>
    <xf numFmtId="0" fontId="11" fillId="2" borderId="1" xfId="0" applyFont="1" applyFill="1" applyBorder="1" applyAlignment="1">
      <alignment horizontal="center"/>
    </xf>
    <xf numFmtId="49" fontId="11" fillId="0" borderId="6" xfId="1" applyNumberFormat="1" applyFont="1" applyBorder="1" applyAlignment="1">
      <alignment horizontal="center" vertical="center" wrapText="1"/>
    </xf>
    <xf numFmtId="0" fontId="11" fillId="0" borderId="1" xfId="0" applyFont="1" applyBorder="1" applyAlignment="1">
      <alignment horizontal="center" vertical="center"/>
    </xf>
    <xf numFmtId="4" fontId="11" fillId="0" borderId="1" xfId="0" applyNumberFormat="1" applyFont="1" applyBorder="1" applyAlignment="1">
      <alignment horizontal="center" vertical="center" wrapText="1"/>
    </xf>
    <xf numFmtId="4" fontId="11" fillId="2" borderId="5" xfId="1" applyNumberFormat="1" applyFont="1" applyFill="1" applyBorder="1" applyAlignment="1">
      <alignment horizontal="center" vertical="center" wrapText="1"/>
    </xf>
    <xf numFmtId="4" fontId="11" fillId="2" borderId="6" xfId="1" applyNumberFormat="1" applyFont="1" applyFill="1" applyBorder="1" applyAlignment="1">
      <alignment horizontal="center" vertical="center" wrapText="1"/>
    </xf>
    <xf numFmtId="2" fontId="11" fillId="0" borderId="45" xfId="1" applyNumberFormat="1" applyFont="1" applyBorder="1" applyAlignment="1">
      <alignment horizontal="center" vertical="center" wrapText="1"/>
    </xf>
    <xf numFmtId="2" fontId="11" fillId="0" borderId="36" xfId="1" applyNumberFormat="1" applyFont="1" applyBorder="1" applyAlignment="1">
      <alignment horizontal="center" vertical="center" wrapText="1"/>
    </xf>
    <xf numFmtId="4" fontId="11" fillId="2" borderId="1" xfId="1" applyNumberFormat="1" applyFont="1" applyFill="1" applyBorder="1" applyAlignment="1">
      <alignment horizontal="center" vertical="center" wrapText="1"/>
    </xf>
    <xf numFmtId="0" fontId="9" fillId="0" borderId="1" xfId="0" applyFont="1" applyBorder="1" applyAlignment="1">
      <alignment horizontal="center" vertical="center" wrapText="1"/>
    </xf>
    <xf numFmtId="49" fontId="11" fillId="0" borderId="5" xfId="1" applyNumberFormat="1" applyFont="1" applyBorder="1" applyAlignment="1">
      <alignment horizontal="center" vertical="center" wrapText="1"/>
    </xf>
    <xf numFmtId="49" fontId="11" fillId="0" borderId="22" xfId="1" applyNumberFormat="1" applyFont="1" applyBorder="1" applyAlignment="1">
      <alignment horizontal="center" vertical="center" wrapText="1"/>
    </xf>
    <xf numFmtId="2" fontId="11" fillId="0" borderId="5" xfId="1" applyNumberFormat="1" applyFont="1" applyBorder="1" applyAlignment="1">
      <alignment horizontal="center" vertical="center" wrapText="1"/>
    </xf>
    <xf numFmtId="2" fontId="11" fillId="0" borderId="22" xfId="1" applyNumberFormat="1" applyFont="1" applyBorder="1" applyAlignment="1">
      <alignment horizontal="center" vertical="center" wrapText="1"/>
    </xf>
    <xf numFmtId="2" fontId="11" fillId="0" borderId="6" xfId="1" applyNumberFormat="1" applyFont="1" applyBorder="1" applyAlignment="1">
      <alignment horizontal="center" vertical="center" wrapText="1"/>
    </xf>
    <xf numFmtId="4" fontId="11" fillId="0" borderId="5" xfId="0" applyNumberFormat="1" applyFont="1" applyBorder="1" applyAlignment="1">
      <alignment horizontal="center" vertical="center" wrapText="1"/>
    </xf>
    <xf numFmtId="166" fontId="11" fillId="0" borderId="1" xfId="1" applyNumberFormat="1"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1" fillId="0" borderId="45" xfId="0" applyFont="1" applyBorder="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0" borderId="0" xfId="0" applyFont="1" applyAlignment="1">
      <alignment horizontal="right"/>
    </xf>
    <xf numFmtId="0" fontId="1" fillId="2" borderId="7"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8" xfId="0" applyFont="1" applyBorder="1" applyAlignment="1">
      <alignment horizontal="center" vertical="center" textRotation="90"/>
    </xf>
    <xf numFmtId="0" fontId="1" fillId="0" borderId="10" xfId="0" applyFont="1" applyBorder="1" applyAlignment="1">
      <alignment horizontal="center" vertical="center" textRotation="90"/>
    </xf>
    <xf numFmtId="0" fontId="1" fillId="0" borderId="30" xfId="0" applyFont="1" applyBorder="1" applyAlignment="1">
      <alignment horizontal="center" vertical="center" wrapText="1"/>
    </xf>
    <xf numFmtId="0" fontId="1" fillId="0" borderId="12" xfId="0" applyFont="1" applyBorder="1" applyAlignment="1">
      <alignment horizontal="center" vertical="center" wrapText="1"/>
    </xf>
  </cellXfs>
  <cellStyles count="6">
    <cellStyle name="Comma 8" xfId="3" xr:uid="{00000000-0005-0000-0000-000000000000}"/>
    <cellStyle name="Normal" xfId="0" builtinId="0"/>
    <cellStyle name="Normal 2" xfId="5" xr:uid="{00000000-0005-0000-0000-000002000000}"/>
    <cellStyle name="Normal 3" xfId="4" xr:uid="{00000000-0005-0000-0000-000003000000}"/>
    <cellStyle name="Normal_Book2" xfId="1" xr:uid="{00000000-0005-0000-0000-000004000000}"/>
    <cellStyle name="SN_24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E122"/>
  <sheetViews>
    <sheetView view="pageBreakPreview" topLeftCell="D109" zoomScale="60" zoomScaleNormal="60" workbookViewId="0">
      <selection activeCell="H9" sqref="H9:H10"/>
    </sheetView>
  </sheetViews>
  <sheetFormatPr defaultRowHeight="18.75" x14ac:dyDescent="0.3"/>
  <cols>
    <col min="1" max="1" width="0.28515625" customWidth="1"/>
    <col min="2" max="2" width="6.28515625" style="4" customWidth="1"/>
    <col min="3" max="3" width="9" style="4" customWidth="1"/>
    <col min="4" max="4" width="11.7109375" style="4" customWidth="1"/>
    <col min="5" max="5" width="32.140625" style="4" customWidth="1"/>
    <col min="6" max="6" width="20.85546875" style="4" customWidth="1"/>
    <col min="7" max="7" width="26.85546875" style="4" customWidth="1"/>
    <col min="8" max="8" width="58" style="4" customWidth="1"/>
    <col min="9" max="9" width="122.5703125" style="4" customWidth="1"/>
    <col min="10" max="10" width="5" style="8" customWidth="1"/>
    <col min="11" max="12" width="4.7109375" style="2" customWidth="1"/>
    <col min="13" max="13" width="4.7109375" style="8" customWidth="1"/>
    <col min="14" max="15" width="4.7109375" style="2" customWidth="1"/>
    <col min="16" max="16" width="4.7109375" style="8" hidden="1" customWidth="1"/>
    <col min="17" max="18" width="4.7109375" style="2" hidden="1" customWidth="1"/>
    <col min="19" max="21" width="4.7109375" style="2" customWidth="1"/>
    <col min="22" max="22" width="4.7109375" style="8" hidden="1" customWidth="1"/>
    <col min="23" max="24" width="4.7109375" style="2" hidden="1" customWidth="1"/>
    <col min="25" max="25" width="4.7109375" style="8" hidden="1" customWidth="1"/>
    <col min="26" max="27" width="4.7109375" style="2" hidden="1" customWidth="1"/>
    <col min="28" max="28" width="4.5703125" style="8" customWidth="1"/>
    <col min="29" max="30" width="4.5703125" style="2" customWidth="1"/>
    <col min="31" max="31" width="84.28515625" style="4" customWidth="1"/>
    <col min="32" max="53" width="5.7109375" customWidth="1"/>
  </cols>
  <sheetData>
    <row r="1" spans="2:31" ht="51" x14ac:dyDescent="0.25">
      <c r="B1" s="367" t="s">
        <v>0</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row>
    <row r="2" spans="2:31" ht="24.75" customHeight="1" x14ac:dyDescent="0.25">
      <c r="B2" s="368" t="s">
        <v>1</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row>
    <row r="3" spans="2:31" ht="24" customHeight="1" x14ac:dyDescent="0.25">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row>
    <row r="4" spans="2:31" ht="29.25" customHeight="1" x14ac:dyDescent="0.25">
      <c r="B4" s="368" t="s">
        <v>311</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row>
    <row r="5" spans="2:31" ht="17.25" thickBot="1" x14ac:dyDescent="0.35">
      <c r="B5" s="369" t="s">
        <v>231</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row>
    <row r="6" spans="2:31" ht="224.25" customHeight="1" x14ac:dyDescent="0.25">
      <c r="B6" s="370" t="s">
        <v>2</v>
      </c>
      <c r="C6" s="372" t="s">
        <v>3</v>
      </c>
      <c r="D6" s="372" t="s">
        <v>4</v>
      </c>
      <c r="E6" s="360" t="s">
        <v>5</v>
      </c>
      <c r="F6" s="360" t="s">
        <v>6</v>
      </c>
      <c r="G6" s="360" t="s">
        <v>7</v>
      </c>
      <c r="H6" s="360" t="s">
        <v>8</v>
      </c>
      <c r="I6" s="362" t="s">
        <v>9</v>
      </c>
      <c r="J6" s="360" t="s">
        <v>128</v>
      </c>
      <c r="K6" s="360"/>
      <c r="L6" s="360"/>
      <c r="M6" s="360" t="s">
        <v>174</v>
      </c>
      <c r="N6" s="360"/>
      <c r="O6" s="360"/>
      <c r="P6" s="360" t="s">
        <v>238</v>
      </c>
      <c r="Q6" s="360"/>
      <c r="R6" s="360"/>
      <c r="S6" s="364" t="s">
        <v>129</v>
      </c>
      <c r="T6" s="360"/>
      <c r="U6" s="365"/>
      <c r="V6" s="374" t="s">
        <v>130</v>
      </c>
      <c r="W6" s="360"/>
      <c r="X6" s="360"/>
      <c r="Y6" s="360" t="s">
        <v>239</v>
      </c>
      <c r="Z6" s="360"/>
      <c r="AA6" s="360"/>
      <c r="AB6" s="360" t="s">
        <v>131</v>
      </c>
      <c r="AC6" s="360"/>
      <c r="AD6" s="360"/>
      <c r="AE6" s="365" t="s">
        <v>10</v>
      </c>
    </row>
    <row r="7" spans="2:31" ht="162" customHeight="1" thickBot="1" x14ac:dyDescent="0.3">
      <c r="B7" s="371"/>
      <c r="C7" s="373"/>
      <c r="D7" s="373"/>
      <c r="E7" s="361"/>
      <c r="F7" s="361"/>
      <c r="G7" s="361"/>
      <c r="H7" s="361"/>
      <c r="I7" s="363"/>
      <c r="J7" s="9" t="s">
        <v>11</v>
      </c>
      <c r="K7" s="9" t="s">
        <v>12</v>
      </c>
      <c r="L7" s="9" t="s">
        <v>13</v>
      </c>
      <c r="M7" s="9" t="s">
        <v>11</v>
      </c>
      <c r="N7" s="9" t="s">
        <v>12</v>
      </c>
      <c r="O7" s="9" t="s">
        <v>13</v>
      </c>
      <c r="P7" s="9" t="s">
        <v>11</v>
      </c>
      <c r="Q7" s="9" t="s">
        <v>12</v>
      </c>
      <c r="R7" s="10" t="s">
        <v>13</v>
      </c>
      <c r="S7" s="11" t="s">
        <v>11</v>
      </c>
      <c r="T7" s="9" t="s">
        <v>12</v>
      </c>
      <c r="U7" s="13" t="s">
        <v>13</v>
      </c>
      <c r="V7" s="12" t="s">
        <v>11</v>
      </c>
      <c r="W7" s="9" t="s">
        <v>12</v>
      </c>
      <c r="X7" s="9" t="s">
        <v>13</v>
      </c>
      <c r="Y7" s="9" t="s">
        <v>11</v>
      </c>
      <c r="Z7" s="9" t="s">
        <v>12</v>
      </c>
      <c r="AA7" s="9" t="s">
        <v>13</v>
      </c>
      <c r="AB7" s="9" t="s">
        <v>11</v>
      </c>
      <c r="AC7" s="9" t="s">
        <v>12</v>
      </c>
      <c r="AD7" s="9" t="s">
        <v>13</v>
      </c>
      <c r="AE7" s="375"/>
    </row>
    <row r="8" spans="2:31" ht="45.75" customHeight="1" thickBot="1" x14ac:dyDescent="0.3">
      <c r="B8" s="357" t="s">
        <v>132</v>
      </c>
      <c r="C8" s="358"/>
      <c r="D8" s="358"/>
      <c r="E8" s="358"/>
      <c r="F8" s="358"/>
      <c r="G8" s="358"/>
      <c r="H8" s="358"/>
      <c r="I8" s="358"/>
      <c r="J8" s="358"/>
      <c r="K8" s="358"/>
      <c r="L8" s="358"/>
      <c r="M8" s="358"/>
      <c r="N8" s="358"/>
      <c r="O8" s="358"/>
      <c r="P8" s="358"/>
      <c r="Q8" s="358"/>
      <c r="R8" s="358"/>
      <c r="S8" s="358"/>
      <c r="T8" s="358"/>
      <c r="U8" s="358"/>
      <c r="V8" s="358"/>
      <c r="W8" s="358"/>
      <c r="X8" s="358"/>
      <c r="Y8" s="358"/>
      <c r="Z8" s="358"/>
      <c r="AA8" s="358"/>
      <c r="AB8" s="358"/>
      <c r="AC8" s="358"/>
      <c r="AD8" s="358"/>
      <c r="AE8" s="359"/>
    </row>
    <row r="9" spans="2:31" ht="213.75" customHeight="1" x14ac:dyDescent="0.25">
      <c r="B9" s="38">
        <v>1</v>
      </c>
      <c r="C9" s="287">
        <v>1019</v>
      </c>
      <c r="D9" s="196">
        <v>11003</v>
      </c>
      <c r="E9" s="105" t="s">
        <v>142</v>
      </c>
      <c r="F9" s="292" t="s">
        <v>50</v>
      </c>
      <c r="G9" s="293" t="s">
        <v>121</v>
      </c>
      <c r="H9" s="293" t="s">
        <v>218</v>
      </c>
      <c r="I9" s="366" t="s">
        <v>263</v>
      </c>
      <c r="J9" s="64">
        <f t="shared" ref="J9:J12" si="0">K9+L9</f>
        <v>351436.2</v>
      </c>
      <c r="K9" s="65">
        <v>105430.8</v>
      </c>
      <c r="L9" s="65">
        <v>246005.4</v>
      </c>
      <c r="M9" s="62">
        <f t="shared" ref="M9:M12" si="1">N9+O9</f>
        <v>341987.7</v>
      </c>
      <c r="N9" s="15">
        <v>105430.8</v>
      </c>
      <c r="O9" s="15">
        <f>246005.4-7908.5-1540</f>
        <v>236556.9</v>
      </c>
      <c r="P9" s="64">
        <f t="shared" ref="P9:P12" si="2">Q9+R9</f>
        <v>264615.40000000002</v>
      </c>
      <c r="Q9" s="65">
        <v>79384.800000000003</v>
      </c>
      <c r="R9" s="202">
        <v>185230.6</v>
      </c>
      <c r="S9" s="213">
        <f t="shared" ref="S9:S12" si="3">T9+U9</f>
        <v>302231.90000000002</v>
      </c>
      <c r="T9" s="214">
        <v>91305</v>
      </c>
      <c r="U9" s="215">
        <v>210926.9</v>
      </c>
      <c r="V9" s="106">
        <f t="shared" ref="V9:V12" si="4">W9+X9</f>
        <v>302231.90000000002</v>
      </c>
      <c r="W9" s="65">
        <v>91305</v>
      </c>
      <c r="X9" s="65">
        <v>210926.9</v>
      </c>
      <c r="Y9" s="64">
        <f t="shared" ref="Y9:AA72" si="5">S9/P9*100</f>
        <v>114.21553696421296</v>
      </c>
      <c r="Z9" s="65">
        <f t="shared" si="5"/>
        <v>115.01572089367234</v>
      </c>
      <c r="AA9" s="65">
        <f t="shared" si="5"/>
        <v>113.87259988360454</v>
      </c>
      <c r="AB9" s="64">
        <f t="shared" ref="AB9:AD72" si="6">S9/M9*100</f>
        <v>88.375078986758879</v>
      </c>
      <c r="AC9" s="65">
        <f t="shared" si="6"/>
        <v>86.601827928840521</v>
      </c>
      <c r="AD9" s="65">
        <f t="shared" si="6"/>
        <v>89.165397416012809</v>
      </c>
      <c r="AE9" s="191" t="s">
        <v>318</v>
      </c>
    </row>
    <row r="10" spans="2:31" ht="333" customHeight="1" x14ac:dyDescent="0.25">
      <c r="B10" s="26">
        <v>2</v>
      </c>
      <c r="C10" s="287"/>
      <c r="D10" s="28">
        <v>12004</v>
      </c>
      <c r="E10" s="29" t="s">
        <v>178</v>
      </c>
      <c r="F10" s="292"/>
      <c r="G10" s="293"/>
      <c r="H10" s="293"/>
      <c r="I10" s="366"/>
      <c r="J10" s="16">
        <f t="shared" si="0"/>
        <v>3707487</v>
      </c>
      <c r="K10" s="17">
        <v>2546343.6</v>
      </c>
      <c r="L10" s="17">
        <v>1161143.3999999999</v>
      </c>
      <c r="M10" s="20">
        <f t="shared" si="1"/>
        <v>4589397</v>
      </c>
      <c r="N10" s="19">
        <f>2546343.6+910000+78600+44000</f>
        <v>3578943.6</v>
      </c>
      <c r="O10" s="19">
        <f>1161143.4-171190+20500</f>
        <v>1010453.3999999999</v>
      </c>
      <c r="P10" s="22">
        <f t="shared" si="2"/>
        <v>4482830.4000000004</v>
      </c>
      <c r="Q10" s="17">
        <f>2463510.1+910000</f>
        <v>3373510.1</v>
      </c>
      <c r="R10" s="200">
        <v>1109320.3</v>
      </c>
      <c r="S10" s="216">
        <f t="shared" si="3"/>
        <v>4576913.0999999996</v>
      </c>
      <c r="T10" s="217">
        <v>3575088</v>
      </c>
      <c r="U10" s="218">
        <v>1001825.1</v>
      </c>
      <c r="V10" s="116">
        <f t="shared" si="4"/>
        <v>4576913.0999999996</v>
      </c>
      <c r="W10" s="68">
        <v>3575088</v>
      </c>
      <c r="X10" s="68">
        <v>1001825.1</v>
      </c>
      <c r="Y10" s="16">
        <f t="shared" si="5"/>
        <v>102.09873431749725</v>
      </c>
      <c r="Z10" s="17">
        <f t="shared" si="5"/>
        <v>105.97531633297912</v>
      </c>
      <c r="AA10" s="17">
        <f t="shared" si="5"/>
        <v>90.309814036577166</v>
      </c>
      <c r="AB10" s="16">
        <f t="shared" si="6"/>
        <v>99.727983872391064</v>
      </c>
      <c r="AC10" s="17">
        <f t="shared" si="6"/>
        <v>99.892269886566524</v>
      </c>
      <c r="AD10" s="17">
        <f t="shared" si="6"/>
        <v>99.146096198003804</v>
      </c>
      <c r="AE10" s="191" t="s">
        <v>319</v>
      </c>
    </row>
    <row r="11" spans="2:31" ht="268.5" customHeight="1" x14ac:dyDescent="0.25">
      <c r="B11" s="31">
        <v>3</v>
      </c>
      <c r="C11" s="27"/>
      <c r="D11" s="32">
        <v>11004</v>
      </c>
      <c r="E11" s="33" t="s">
        <v>179</v>
      </c>
      <c r="F11" s="355" t="s">
        <v>111</v>
      </c>
      <c r="G11" s="325" t="s">
        <v>117</v>
      </c>
      <c r="H11" s="325" t="s">
        <v>112</v>
      </c>
      <c r="I11" s="325" t="s">
        <v>267</v>
      </c>
      <c r="J11" s="22">
        <f t="shared" si="0"/>
        <v>254341</v>
      </c>
      <c r="K11" s="23">
        <v>254341</v>
      </c>
      <c r="L11" s="23">
        <v>0</v>
      </c>
      <c r="M11" s="20">
        <f t="shared" si="1"/>
        <v>196341</v>
      </c>
      <c r="N11" s="19">
        <f>254341-58000</f>
        <v>196341</v>
      </c>
      <c r="O11" s="19">
        <v>0</v>
      </c>
      <c r="P11" s="22">
        <f t="shared" si="2"/>
        <v>184852</v>
      </c>
      <c r="Q11" s="23">
        <v>184852</v>
      </c>
      <c r="R11" s="199">
        <v>0</v>
      </c>
      <c r="S11" s="253">
        <f t="shared" si="3"/>
        <v>176358.1</v>
      </c>
      <c r="T11" s="254">
        <v>176358.1</v>
      </c>
      <c r="U11" s="255">
        <v>0</v>
      </c>
      <c r="V11" s="24">
        <f t="shared" si="4"/>
        <v>176358.1</v>
      </c>
      <c r="W11" s="23">
        <v>176358.1</v>
      </c>
      <c r="X11" s="23">
        <v>0</v>
      </c>
      <c r="Y11" s="22">
        <f t="shared" si="5"/>
        <v>95.405026724081978</v>
      </c>
      <c r="Z11" s="23">
        <f t="shared" si="5"/>
        <v>95.405026724081978</v>
      </c>
      <c r="AA11" s="23" t="e">
        <f t="shared" si="5"/>
        <v>#DIV/0!</v>
      </c>
      <c r="AB11" s="22">
        <f t="shared" si="6"/>
        <v>89.822349891260615</v>
      </c>
      <c r="AC11" s="23">
        <f t="shared" si="6"/>
        <v>89.822349891260615</v>
      </c>
      <c r="AD11" s="23">
        <v>0</v>
      </c>
      <c r="AE11" s="191" t="s">
        <v>320</v>
      </c>
    </row>
    <row r="12" spans="2:31" ht="409.5" customHeight="1" thickBot="1" x14ac:dyDescent="0.3">
      <c r="B12" s="35">
        <v>4</v>
      </c>
      <c r="C12" s="27"/>
      <c r="D12" s="36">
        <v>12005</v>
      </c>
      <c r="E12" s="37" t="s">
        <v>180</v>
      </c>
      <c r="F12" s="292"/>
      <c r="G12" s="293"/>
      <c r="H12" s="293"/>
      <c r="I12" s="293"/>
      <c r="J12" s="16">
        <f t="shared" si="0"/>
        <v>173329.5</v>
      </c>
      <c r="K12" s="17">
        <v>173329.5</v>
      </c>
      <c r="L12" s="17">
        <v>0</v>
      </c>
      <c r="M12" s="18">
        <f t="shared" si="1"/>
        <v>59529.5</v>
      </c>
      <c r="N12" s="68">
        <f>173329.5-66000-47800</f>
        <v>59529.5</v>
      </c>
      <c r="O12" s="68">
        <v>0</v>
      </c>
      <c r="P12" s="16">
        <f t="shared" si="2"/>
        <v>135800</v>
      </c>
      <c r="Q12" s="17">
        <v>135800</v>
      </c>
      <c r="R12" s="200">
        <v>0</v>
      </c>
      <c r="S12" s="216">
        <f t="shared" si="3"/>
        <v>57623.6</v>
      </c>
      <c r="T12" s="217">
        <v>57623.6</v>
      </c>
      <c r="U12" s="218">
        <v>0</v>
      </c>
      <c r="V12" s="116">
        <f t="shared" si="4"/>
        <v>57623.6</v>
      </c>
      <c r="W12" s="68">
        <v>57623.6</v>
      </c>
      <c r="X12" s="17">
        <v>0</v>
      </c>
      <c r="Y12" s="16">
        <f t="shared" si="5"/>
        <v>42.432695139911637</v>
      </c>
      <c r="Z12" s="17">
        <f t="shared" si="5"/>
        <v>42.432695139911637</v>
      </c>
      <c r="AA12" s="17" t="e">
        <f t="shared" si="5"/>
        <v>#DIV/0!</v>
      </c>
      <c r="AB12" s="16">
        <f t="shared" si="6"/>
        <v>96.798394073526566</v>
      </c>
      <c r="AC12" s="17">
        <f t="shared" si="6"/>
        <v>96.798394073526566</v>
      </c>
      <c r="AD12" s="17">
        <v>0</v>
      </c>
      <c r="AE12" s="191" t="s">
        <v>331</v>
      </c>
    </row>
    <row r="13" spans="2:31" ht="163.5" customHeight="1" x14ac:dyDescent="0.4">
      <c r="B13" s="278" t="s">
        <v>14</v>
      </c>
      <c r="C13" s="279"/>
      <c r="D13" s="279"/>
      <c r="E13" s="279"/>
      <c r="F13" s="279"/>
      <c r="G13" s="279"/>
      <c r="H13" s="279"/>
      <c r="I13" s="279"/>
      <c r="J13" s="80">
        <f t="shared" ref="J13:X13" si="7">SUM(J9:J12)</f>
        <v>4486593.7</v>
      </c>
      <c r="K13" s="81">
        <f t="shared" si="7"/>
        <v>3079444.9</v>
      </c>
      <c r="L13" s="81">
        <f t="shared" si="7"/>
        <v>1407148.7999999998</v>
      </c>
      <c r="M13" s="80">
        <f t="shared" si="7"/>
        <v>5187255.2</v>
      </c>
      <c r="N13" s="81">
        <f t="shared" si="7"/>
        <v>3940244.9</v>
      </c>
      <c r="O13" s="81">
        <f t="shared" si="7"/>
        <v>1247010.2999999998</v>
      </c>
      <c r="P13" s="80">
        <f t="shared" si="7"/>
        <v>5068097.8000000007</v>
      </c>
      <c r="Q13" s="81">
        <f t="shared" si="7"/>
        <v>3773546.9</v>
      </c>
      <c r="R13" s="90">
        <f t="shared" si="7"/>
        <v>1294550.9000000001</v>
      </c>
      <c r="S13" s="133">
        <f t="shared" si="7"/>
        <v>5113126.6999999993</v>
      </c>
      <c r="T13" s="134">
        <f t="shared" si="7"/>
        <v>3900374.7</v>
      </c>
      <c r="U13" s="135">
        <f t="shared" si="7"/>
        <v>1212752</v>
      </c>
      <c r="V13" s="94">
        <f t="shared" si="7"/>
        <v>5113126.6999999993</v>
      </c>
      <c r="W13" s="81">
        <f t="shared" si="7"/>
        <v>3900374.7</v>
      </c>
      <c r="X13" s="81">
        <f t="shared" si="7"/>
        <v>1212752</v>
      </c>
      <c r="Y13" s="80">
        <f t="shared" si="5"/>
        <v>100.88847732969948</v>
      </c>
      <c r="Z13" s="81">
        <f t="shared" si="5"/>
        <v>103.3609705500149</v>
      </c>
      <c r="AA13" s="81">
        <f t="shared" si="5"/>
        <v>93.681291326590539</v>
      </c>
      <c r="AB13" s="80">
        <f t="shared" si="6"/>
        <v>98.570949430056942</v>
      </c>
      <c r="AC13" s="81">
        <f t="shared" si="6"/>
        <v>98.988128885085302</v>
      </c>
      <c r="AD13" s="81">
        <f t="shared" si="6"/>
        <v>97.252765273871447</v>
      </c>
      <c r="AE13" s="231"/>
    </row>
    <row r="14" spans="2:31" ht="156.75" customHeight="1" x14ac:dyDescent="0.4">
      <c r="B14" s="280" t="s">
        <v>15</v>
      </c>
      <c r="C14" s="281"/>
      <c r="D14" s="281"/>
      <c r="E14" s="281"/>
      <c r="F14" s="281"/>
      <c r="G14" s="281"/>
      <c r="H14" s="281"/>
      <c r="I14" s="281"/>
      <c r="J14" s="82">
        <f t="shared" ref="J14:X14" si="8">J9+J11</f>
        <v>605777.19999999995</v>
      </c>
      <c r="K14" s="83">
        <f t="shared" si="8"/>
        <v>359771.8</v>
      </c>
      <c r="L14" s="83">
        <f t="shared" si="8"/>
        <v>246005.4</v>
      </c>
      <c r="M14" s="82">
        <f t="shared" si="8"/>
        <v>538328.69999999995</v>
      </c>
      <c r="N14" s="83">
        <f t="shared" si="8"/>
        <v>301771.8</v>
      </c>
      <c r="O14" s="83">
        <f t="shared" si="8"/>
        <v>236556.9</v>
      </c>
      <c r="P14" s="82">
        <f t="shared" si="8"/>
        <v>449467.4</v>
      </c>
      <c r="Q14" s="83">
        <f t="shared" si="8"/>
        <v>264236.79999999999</v>
      </c>
      <c r="R14" s="85">
        <f t="shared" si="8"/>
        <v>185230.6</v>
      </c>
      <c r="S14" s="138">
        <f t="shared" si="8"/>
        <v>478590</v>
      </c>
      <c r="T14" s="139">
        <f t="shared" si="8"/>
        <v>267663.09999999998</v>
      </c>
      <c r="U14" s="140">
        <f t="shared" si="8"/>
        <v>210926.9</v>
      </c>
      <c r="V14" s="84">
        <f t="shared" si="8"/>
        <v>478590</v>
      </c>
      <c r="W14" s="83">
        <f t="shared" si="8"/>
        <v>267663.09999999998</v>
      </c>
      <c r="X14" s="83">
        <f t="shared" si="8"/>
        <v>210926.9</v>
      </c>
      <c r="Y14" s="82">
        <f t="shared" si="5"/>
        <v>106.47935756853555</v>
      </c>
      <c r="Z14" s="83">
        <f t="shared" si="5"/>
        <v>101.29667782837213</v>
      </c>
      <c r="AA14" s="83">
        <f t="shared" si="5"/>
        <v>113.87259988360454</v>
      </c>
      <c r="AB14" s="82">
        <f t="shared" si="6"/>
        <v>88.902932353411586</v>
      </c>
      <c r="AC14" s="83">
        <f t="shared" si="6"/>
        <v>88.697187742525969</v>
      </c>
      <c r="AD14" s="83">
        <f t="shared" si="6"/>
        <v>89.165397416012809</v>
      </c>
      <c r="AE14" s="230"/>
    </row>
    <row r="15" spans="2:31" ht="156" customHeight="1" thickBot="1" x14ac:dyDescent="0.45">
      <c r="B15" s="282" t="s">
        <v>16</v>
      </c>
      <c r="C15" s="283"/>
      <c r="D15" s="283"/>
      <c r="E15" s="283"/>
      <c r="F15" s="283"/>
      <c r="G15" s="283"/>
      <c r="H15" s="283"/>
      <c r="I15" s="283"/>
      <c r="J15" s="98">
        <f>J13-J14</f>
        <v>3880816.5</v>
      </c>
      <c r="K15" s="99">
        <f t="shared" ref="K15:X15" si="9">K13-K14</f>
        <v>2719673.1</v>
      </c>
      <c r="L15" s="99">
        <f t="shared" si="9"/>
        <v>1161143.3999999999</v>
      </c>
      <c r="M15" s="98">
        <f t="shared" si="9"/>
        <v>4648926.5</v>
      </c>
      <c r="N15" s="99">
        <f t="shared" si="9"/>
        <v>3638473.1</v>
      </c>
      <c r="O15" s="99">
        <f t="shared" si="9"/>
        <v>1010453.3999999998</v>
      </c>
      <c r="P15" s="98">
        <f t="shared" si="9"/>
        <v>4618630.4000000004</v>
      </c>
      <c r="Q15" s="99">
        <f t="shared" si="9"/>
        <v>3509310.1</v>
      </c>
      <c r="R15" s="100">
        <f t="shared" si="9"/>
        <v>1109320.3</v>
      </c>
      <c r="S15" s="145">
        <f t="shared" si="9"/>
        <v>4634536.6999999993</v>
      </c>
      <c r="T15" s="146">
        <f t="shared" si="9"/>
        <v>3632711.6</v>
      </c>
      <c r="U15" s="141">
        <f t="shared" si="9"/>
        <v>1001825.1</v>
      </c>
      <c r="V15" s="147">
        <f t="shared" si="9"/>
        <v>4634536.6999999993</v>
      </c>
      <c r="W15" s="100">
        <f t="shared" si="9"/>
        <v>3632711.6</v>
      </c>
      <c r="X15" s="100">
        <f t="shared" si="9"/>
        <v>1001825.1</v>
      </c>
      <c r="Y15" s="98">
        <f t="shared" si="5"/>
        <v>100.34439430355802</v>
      </c>
      <c r="Z15" s="99">
        <f t="shared" si="5"/>
        <v>103.51640340931969</v>
      </c>
      <c r="AA15" s="99">
        <f t="shared" si="5"/>
        <v>90.309814036577166</v>
      </c>
      <c r="AB15" s="98">
        <f t="shared" si="6"/>
        <v>99.690470477431717</v>
      </c>
      <c r="AC15" s="99">
        <f t="shared" si="6"/>
        <v>99.841650608877657</v>
      </c>
      <c r="AD15" s="99">
        <f t="shared" si="6"/>
        <v>99.146096198003804</v>
      </c>
      <c r="AE15" s="232"/>
    </row>
    <row r="16" spans="2:31" ht="57.75" customHeight="1" thickBot="1" x14ac:dyDescent="0.3">
      <c r="B16" s="284" t="s">
        <v>139</v>
      </c>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6"/>
    </row>
    <row r="17" spans="2:31" ht="265.5" customHeight="1" x14ac:dyDescent="0.25">
      <c r="B17" s="38">
        <v>5</v>
      </c>
      <c r="C17" s="287">
        <v>1004</v>
      </c>
      <c r="D17" s="39">
        <v>11005</v>
      </c>
      <c r="E17" s="40" t="s">
        <v>133</v>
      </c>
      <c r="F17" s="333" t="s">
        <v>51</v>
      </c>
      <c r="G17" s="326" t="s">
        <v>185</v>
      </c>
      <c r="H17" s="333" t="s">
        <v>106</v>
      </c>
      <c r="I17" s="346" t="s">
        <v>184</v>
      </c>
      <c r="J17" s="243">
        <f>K17+L17</f>
        <v>329707.10000000003</v>
      </c>
      <c r="K17" s="61">
        <v>265603.20000000001</v>
      </c>
      <c r="L17" s="15">
        <v>64103.9</v>
      </c>
      <c r="M17" s="62">
        <f>N17+O17</f>
        <v>219907.1</v>
      </c>
      <c r="N17" s="15">
        <f>265603.2-80000-8000-4000</f>
        <v>173603.20000000001</v>
      </c>
      <c r="O17" s="15">
        <f>64103.9-17000-800</f>
        <v>46303.9</v>
      </c>
      <c r="P17" s="246">
        <f>Q17+R17</f>
        <v>199757</v>
      </c>
      <c r="Q17" s="61">
        <v>160706.6</v>
      </c>
      <c r="R17" s="247">
        <v>39050.400000000001</v>
      </c>
      <c r="S17" s="256">
        <f>T17+U17</f>
        <v>206970.59999999998</v>
      </c>
      <c r="T17" s="257">
        <v>163514.4</v>
      </c>
      <c r="U17" s="258">
        <v>43456.2</v>
      </c>
      <c r="V17" s="233">
        <f>W17+X17</f>
        <v>206970.59999999998</v>
      </c>
      <c r="W17" s="61">
        <v>163514.4</v>
      </c>
      <c r="X17" s="61">
        <v>43456.2</v>
      </c>
      <c r="Y17" s="64">
        <f t="shared" si="5"/>
        <v>103.6111875929254</v>
      </c>
      <c r="Z17" s="65">
        <f t="shared" si="5"/>
        <v>101.74715910858669</v>
      </c>
      <c r="AA17" s="65">
        <f t="shared" si="5"/>
        <v>111.28234281851147</v>
      </c>
      <c r="AB17" s="64">
        <f t="shared" si="6"/>
        <v>94.117288618693976</v>
      </c>
      <c r="AC17" s="65">
        <f t="shared" si="6"/>
        <v>94.188586385504408</v>
      </c>
      <c r="AD17" s="65">
        <f t="shared" si="6"/>
        <v>93.849978079600191</v>
      </c>
      <c r="AE17" s="235" t="s">
        <v>321</v>
      </c>
    </row>
    <row r="18" spans="2:31" ht="233.25" customHeight="1" x14ac:dyDescent="0.25">
      <c r="B18" s="43">
        <v>6</v>
      </c>
      <c r="C18" s="287"/>
      <c r="D18" s="44">
        <v>31005</v>
      </c>
      <c r="E18" s="45" t="s">
        <v>134</v>
      </c>
      <c r="F18" s="335"/>
      <c r="G18" s="336"/>
      <c r="H18" s="335"/>
      <c r="I18" s="347"/>
      <c r="J18" s="22">
        <f t="shared" ref="J18:J74" si="10">K18+L18</f>
        <v>1178220.8999999999</v>
      </c>
      <c r="K18" s="19">
        <v>893687.3</v>
      </c>
      <c r="L18" s="19">
        <v>284533.59999999998</v>
      </c>
      <c r="M18" s="20">
        <f t="shared" ref="M18:M74" si="11">N18+O18</f>
        <v>1221745.8999999999</v>
      </c>
      <c r="N18" s="19">
        <f>893687.3+160000-52200</f>
        <v>1001487.3</v>
      </c>
      <c r="O18" s="19">
        <f>284533.6-54105-10170</f>
        <v>220258.59999999998</v>
      </c>
      <c r="P18" s="205">
        <f t="shared" ref="P18:P22" si="12">Q18+R18</f>
        <v>1130630.3</v>
      </c>
      <c r="Q18" s="19">
        <v>893687.3</v>
      </c>
      <c r="R18" s="201">
        <v>236943</v>
      </c>
      <c r="S18" s="222">
        <f t="shared" ref="S18:S74" si="13">T18+U18</f>
        <v>1208862.5</v>
      </c>
      <c r="T18" s="223">
        <v>988687.6</v>
      </c>
      <c r="U18" s="224">
        <v>220174.9</v>
      </c>
      <c r="V18" s="67">
        <f t="shared" ref="V18:V73" si="14">W18+X18</f>
        <v>1208862.5</v>
      </c>
      <c r="W18" s="19">
        <v>988687.6</v>
      </c>
      <c r="X18" s="19">
        <v>220174.9</v>
      </c>
      <c r="Y18" s="20">
        <f t="shared" si="5"/>
        <v>106.91934401545757</v>
      </c>
      <c r="Z18" s="19">
        <f t="shared" si="5"/>
        <v>110.63014994170778</v>
      </c>
      <c r="AA18" s="19">
        <f t="shared" si="5"/>
        <v>92.923150293530512</v>
      </c>
      <c r="AB18" s="20">
        <f t="shared" si="6"/>
        <v>98.945492675686495</v>
      </c>
      <c r="AC18" s="23">
        <f t="shared" si="6"/>
        <v>98.721930872213747</v>
      </c>
      <c r="AD18" s="23">
        <f t="shared" si="6"/>
        <v>99.961999213651595</v>
      </c>
      <c r="AE18" s="235" t="s">
        <v>322</v>
      </c>
    </row>
    <row r="19" spans="2:31" ht="225.75" customHeight="1" x14ac:dyDescent="0.25">
      <c r="B19" s="31">
        <v>7</v>
      </c>
      <c r="C19" s="287"/>
      <c r="D19" s="44">
        <v>11006</v>
      </c>
      <c r="E19" s="45" t="s">
        <v>135</v>
      </c>
      <c r="F19" s="335" t="s">
        <v>52</v>
      </c>
      <c r="G19" s="336" t="s">
        <v>120</v>
      </c>
      <c r="H19" s="337" t="s">
        <v>53</v>
      </c>
      <c r="I19" s="346" t="s">
        <v>186</v>
      </c>
      <c r="J19" s="22">
        <f t="shared" si="10"/>
        <v>72426</v>
      </c>
      <c r="K19" s="19">
        <v>54758.400000000001</v>
      </c>
      <c r="L19" s="19">
        <v>17667.599999999999</v>
      </c>
      <c r="M19" s="20">
        <f t="shared" si="11"/>
        <v>89147</v>
      </c>
      <c r="N19" s="19">
        <f>54758.4+10200+4000</f>
        <v>68958.399999999994</v>
      </c>
      <c r="O19" s="19">
        <f>17667.6+1721+800</f>
        <v>20188.599999999999</v>
      </c>
      <c r="P19" s="205">
        <f t="shared" si="12"/>
        <v>55568.7</v>
      </c>
      <c r="Q19" s="19">
        <v>42261.1</v>
      </c>
      <c r="R19" s="201">
        <v>13307.6</v>
      </c>
      <c r="S19" s="222">
        <f t="shared" si="13"/>
        <v>80521.8</v>
      </c>
      <c r="T19" s="223">
        <v>62078.9</v>
      </c>
      <c r="U19" s="224">
        <v>18442.900000000001</v>
      </c>
      <c r="V19" s="67">
        <f t="shared" si="14"/>
        <v>80521.8</v>
      </c>
      <c r="W19" s="19">
        <v>62078.9</v>
      </c>
      <c r="X19" s="19">
        <v>18442.900000000001</v>
      </c>
      <c r="Y19" s="20">
        <f t="shared" si="5"/>
        <v>144.90495548753165</v>
      </c>
      <c r="Z19" s="19">
        <f t="shared" si="5"/>
        <v>146.89371549723032</v>
      </c>
      <c r="AA19" s="19">
        <f t="shared" si="5"/>
        <v>138.58922720851243</v>
      </c>
      <c r="AB19" s="20">
        <f t="shared" si="6"/>
        <v>90.324744523091084</v>
      </c>
      <c r="AC19" s="23">
        <f t="shared" si="6"/>
        <v>90.023695445369967</v>
      </c>
      <c r="AD19" s="23">
        <f t="shared" si="6"/>
        <v>91.353040825020074</v>
      </c>
      <c r="AE19" s="235" t="s">
        <v>321</v>
      </c>
    </row>
    <row r="20" spans="2:31" ht="219.75" customHeight="1" x14ac:dyDescent="0.25">
      <c r="B20" s="43">
        <v>8</v>
      </c>
      <c r="C20" s="287"/>
      <c r="D20" s="44">
        <v>31001</v>
      </c>
      <c r="E20" s="45" t="s">
        <v>30</v>
      </c>
      <c r="F20" s="335"/>
      <c r="G20" s="336"/>
      <c r="H20" s="337"/>
      <c r="I20" s="347"/>
      <c r="J20" s="22">
        <f t="shared" si="10"/>
        <v>2599133.9</v>
      </c>
      <c r="K20" s="23">
        <v>2127708.2999999998</v>
      </c>
      <c r="L20" s="23">
        <v>471425.6</v>
      </c>
      <c r="M20" s="20">
        <f t="shared" si="11"/>
        <v>2015933.9</v>
      </c>
      <c r="N20" s="19">
        <f>2127708.3-405000-200000</f>
        <v>1522708.2999999998</v>
      </c>
      <c r="O20" s="19">
        <f>471425.6+101800-80000</f>
        <v>493225.6</v>
      </c>
      <c r="P20" s="126">
        <f t="shared" si="12"/>
        <v>1984505.4</v>
      </c>
      <c r="Q20" s="23">
        <v>1513079.8</v>
      </c>
      <c r="R20" s="199">
        <v>471425.6</v>
      </c>
      <c r="S20" s="253">
        <f t="shared" si="13"/>
        <v>1983326.2000000002</v>
      </c>
      <c r="T20" s="254">
        <v>1510514.1</v>
      </c>
      <c r="U20" s="255">
        <v>472812.1</v>
      </c>
      <c r="V20" s="67">
        <f t="shared" si="14"/>
        <v>1983326.2000000002</v>
      </c>
      <c r="W20" s="19">
        <v>1510514.1</v>
      </c>
      <c r="X20" s="19">
        <v>472812.1</v>
      </c>
      <c r="Y20" s="22">
        <f t="shared" si="5"/>
        <v>99.940579652743708</v>
      </c>
      <c r="Z20" s="23">
        <f t="shared" si="5"/>
        <v>99.830431944171096</v>
      </c>
      <c r="AA20" s="23">
        <f t="shared" si="5"/>
        <v>100.29410791437716</v>
      </c>
      <c r="AB20" s="22">
        <f t="shared" si="6"/>
        <v>98.382501529440034</v>
      </c>
      <c r="AC20" s="23">
        <f t="shared" si="6"/>
        <v>99.19917688765473</v>
      </c>
      <c r="AD20" s="23">
        <f t="shared" si="6"/>
        <v>95.861224559309164</v>
      </c>
      <c r="AE20" s="235" t="s">
        <v>360</v>
      </c>
    </row>
    <row r="21" spans="2:31" ht="261.75" customHeight="1" x14ac:dyDescent="0.25">
      <c r="B21" s="31">
        <v>9</v>
      </c>
      <c r="C21" s="287"/>
      <c r="D21" s="44">
        <v>11007</v>
      </c>
      <c r="E21" s="45" t="s">
        <v>136</v>
      </c>
      <c r="F21" s="345" t="s">
        <v>54</v>
      </c>
      <c r="G21" s="328" t="s">
        <v>323</v>
      </c>
      <c r="H21" s="350" t="s">
        <v>55</v>
      </c>
      <c r="I21" s="352" t="s">
        <v>224</v>
      </c>
      <c r="J21" s="22">
        <f t="shared" si="10"/>
        <v>150385.4</v>
      </c>
      <c r="K21" s="23">
        <v>51715.199999999997</v>
      </c>
      <c r="L21" s="23">
        <v>98670.2</v>
      </c>
      <c r="M21" s="20">
        <f t="shared" si="11"/>
        <v>81862.399999999994</v>
      </c>
      <c r="N21" s="19">
        <f>51715.2-41000-6900</f>
        <v>3815.1999999999971</v>
      </c>
      <c r="O21" s="19">
        <f>98670.2-20623</f>
        <v>78047.199999999997</v>
      </c>
      <c r="P21" s="126">
        <f t="shared" si="12"/>
        <v>105336.8</v>
      </c>
      <c r="Q21" s="23">
        <v>33400</v>
      </c>
      <c r="R21" s="199">
        <v>71936.800000000003</v>
      </c>
      <c r="S21" s="253">
        <f t="shared" si="13"/>
        <v>73740</v>
      </c>
      <c r="T21" s="254">
        <v>3695.9</v>
      </c>
      <c r="U21" s="255">
        <v>70044.100000000006</v>
      </c>
      <c r="V21" s="67">
        <f t="shared" si="14"/>
        <v>73740</v>
      </c>
      <c r="W21" s="19">
        <v>3695.9</v>
      </c>
      <c r="X21" s="19">
        <v>70044.100000000006</v>
      </c>
      <c r="Y21" s="22">
        <f t="shared" si="5"/>
        <v>70.004025183981284</v>
      </c>
      <c r="Z21" s="23">
        <f t="shared" si="5"/>
        <v>11.065568862275448</v>
      </c>
      <c r="AA21" s="23">
        <f t="shared" si="5"/>
        <v>97.36894051445158</v>
      </c>
      <c r="AB21" s="22">
        <f t="shared" si="6"/>
        <v>90.077984520365888</v>
      </c>
      <c r="AC21" s="23">
        <f t="shared" si="6"/>
        <v>96.873034179073258</v>
      </c>
      <c r="AD21" s="23">
        <f t="shared" si="6"/>
        <v>89.745820477864697</v>
      </c>
      <c r="AE21" s="235" t="s">
        <v>318</v>
      </c>
    </row>
    <row r="22" spans="2:31" ht="281.25" customHeight="1" x14ac:dyDescent="0.25">
      <c r="B22" s="43">
        <v>10</v>
      </c>
      <c r="C22" s="287"/>
      <c r="D22" s="44">
        <v>31004</v>
      </c>
      <c r="E22" s="45" t="s">
        <v>31</v>
      </c>
      <c r="F22" s="348"/>
      <c r="G22" s="349"/>
      <c r="H22" s="351"/>
      <c r="I22" s="353"/>
      <c r="J22" s="22">
        <f t="shared" si="10"/>
        <v>6657754.9000000004</v>
      </c>
      <c r="K22" s="23">
        <v>4353968.7</v>
      </c>
      <c r="L22" s="19">
        <v>2303786.2000000002</v>
      </c>
      <c r="M22" s="20">
        <f t="shared" si="11"/>
        <v>683768.70000000019</v>
      </c>
      <c r="N22" s="19">
        <f>4353968.7-39510.5-910000-2842458.2</f>
        <v>562000</v>
      </c>
      <c r="O22" s="19">
        <f>2303786.2-26242.4-1131584.1-1024191</f>
        <v>121768.70000000019</v>
      </c>
      <c r="P22" s="126">
        <f t="shared" si="12"/>
        <v>3110662.5</v>
      </c>
      <c r="Q22" s="23">
        <f>3408944.1-39510.5-910000</f>
        <v>2459433.6</v>
      </c>
      <c r="R22" s="199">
        <f>1157471.3-26242.4-480000</f>
        <v>651228.90000000014</v>
      </c>
      <c r="S22" s="253">
        <f t="shared" si="13"/>
        <v>671679.9</v>
      </c>
      <c r="T22" s="254">
        <v>549911.80000000005</v>
      </c>
      <c r="U22" s="255">
        <v>121768.1</v>
      </c>
      <c r="V22" s="67">
        <f t="shared" si="14"/>
        <v>671679.9</v>
      </c>
      <c r="W22" s="19">
        <v>549911.80000000005</v>
      </c>
      <c r="X22" s="19">
        <v>121768.1</v>
      </c>
      <c r="Y22" s="22">
        <f t="shared" si="5"/>
        <v>21.592824679630144</v>
      </c>
      <c r="Z22" s="23">
        <f t="shared" si="5"/>
        <v>22.359286300715745</v>
      </c>
      <c r="AA22" s="23">
        <f t="shared" si="5"/>
        <v>18.698202736395757</v>
      </c>
      <c r="AB22" s="22">
        <f t="shared" si="6"/>
        <v>98.232033727194562</v>
      </c>
      <c r="AC22" s="23">
        <f t="shared" si="6"/>
        <v>97.849074733096103</v>
      </c>
      <c r="AD22" s="23">
        <f t="shared" si="6"/>
        <v>99.999507262539396</v>
      </c>
      <c r="AE22" s="235" t="s">
        <v>332</v>
      </c>
    </row>
    <row r="23" spans="2:31" ht="319.5" customHeight="1" x14ac:dyDescent="0.25">
      <c r="B23" s="51">
        <v>11</v>
      </c>
      <c r="C23" s="287"/>
      <c r="D23" s="52">
        <v>31006</v>
      </c>
      <c r="E23" s="45" t="s">
        <v>138</v>
      </c>
      <c r="F23" s="53" t="s">
        <v>188</v>
      </c>
      <c r="G23" s="54" t="s">
        <v>255</v>
      </c>
      <c r="H23" s="341"/>
      <c r="I23" s="354"/>
      <c r="J23" s="22">
        <f>K23+L23</f>
        <v>3199619.1</v>
      </c>
      <c r="K23" s="23">
        <v>2836098.6</v>
      </c>
      <c r="L23" s="23">
        <v>363520.5</v>
      </c>
      <c r="M23" s="22">
        <f>N23+O23</f>
        <v>747739.10000000009</v>
      </c>
      <c r="N23" s="23">
        <f>2836098.6-1850000-225000-145700</f>
        <v>615398.60000000009</v>
      </c>
      <c r="O23" s="23">
        <f>363520.5-140000-57000-34180</f>
        <v>132340.5</v>
      </c>
      <c r="P23" s="126">
        <f>Q23+R23</f>
        <v>0</v>
      </c>
      <c r="Q23" s="23">
        <v>0</v>
      </c>
      <c r="R23" s="245">
        <v>0</v>
      </c>
      <c r="S23" s="253">
        <f>T23+U23</f>
        <v>731410.3</v>
      </c>
      <c r="T23" s="254">
        <v>599077.1</v>
      </c>
      <c r="U23" s="224">
        <v>132333.20000000001</v>
      </c>
      <c r="V23" s="67">
        <f>W23+X23</f>
        <v>731410.3</v>
      </c>
      <c r="W23" s="19">
        <v>599077.1</v>
      </c>
      <c r="X23" s="19">
        <v>132333.20000000001</v>
      </c>
      <c r="Y23" s="22" t="e">
        <f>S23/P23*100</f>
        <v>#DIV/0!</v>
      </c>
      <c r="Z23" s="23" t="e">
        <f t="shared" si="5"/>
        <v>#DIV/0!</v>
      </c>
      <c r="AA23" s="23" t="e">
        <f t="shared" si="5"/>
        <v>#DIV/0!</v>
      </c>
      <c r="AB23" s="22">
        <f>S23/M23*100</f>
        <v>97.81624366038902</v>
      </c>
      <c r="AC23" s="23">
        <f t="shared" si="6"/>
        <v>97.347816520869543</v>
      </c>
      <c r="AD23" s="23">
        <f t="shared" si="6"/>
        <v>99.99448392593348</v>
      </c>
      <c r="AE23" s="235" t="s">
        <v>361</v>
      </c>
    </row>
    <row r="24" spans="2:31" ht="300.75" customHeight="1" x14ac:dyDescent="0.25">
      <c r="B24" s="31">
        <v>12</v>
      </c>
      <c r="C24" s="287"/>
      <c r="D24" s="44">
        <v>11010</v>
      </c>
      <c r="E24" s="45" t="s">
        <v>32</v>
      </c>
      <c r="F24" s="53" t="s">
        <v>56</v>
      </c>
      <c r="G24" s="356" t="s">
        <v>210</v>
      </c>
      <c r="H24" s="356" t="s">
        <v>102</v>
      </c>
      <c r="I24" s="350" t="s">
        <v>245</v>
      </c>
      <c r="J24" s="20">
        <f t="shared" si="10"/>
        <v>424085</v>
      </c>
      <c r="K24" s="19">
        <v>0</v>
      </c>
      <c r="L24" s="19">
        <v>424085</v>
      </c>
      <c r="M24" s="20">
        <f t="shared" si="11"/>
        <v>114476.30000000002</v>
      </c>
      <c r="N24" s="19">
        <v>0</v>
      </c>
      <c r="O24" s="19">
        <f>424085-18741.2-45848.1-118258.8-48860.6-77900</f>
        <v>114476.30000000002</v>
      </c>
      <c r="P24" s="205">
        <f t="shared" ref="P24:P66" si="15">Q24+R24</f>
        <v>255092.9</v>
      </c>
      <c r="Q24" s="19">
        <v>0</v>
      </c>
      <c r="R24" s="201">
        <v>255092.9</v>
      </c>
      <c r="S24" s="222">
        <f t="shared" si="13"/>
        <v>74727.899999999994</v>
      </c>
      <c r="T24" s="223">
        <v>0</v>
      </c>
      <c r="U24" s="224">
        <v>74727.899999999994</v>
      </c>
      <c r="V24" s="67">
        <f t="shared" si="14"/>
        <v>74727.899999999994</v>
      </c>
      <c r="W24" s="19">
        <v>0</v>
      </c>
      <c r="X24" s="19">
        <v>74727.899999999994</v>
      </c>
      <c r="Y24" s="22">
        <f t="shared" si="5"/>
        <v>29.294386476456225</v>
      </c>
      <c r="Z24" s="23" t="e">
        <f t="shared" si="5"/>
        <v>#DIV/0!</v>
      </c>
      <c r="AA24" s="23">
        <f t="shared" si="5"/>
        <v>29.294386476456225</v>
      </c>
      <c r="AB24" s="22">
        <f t="shared" si="6"/>
        <v>65.278053186554757</v>
      </c>
      <c r="AC24" s="23">
        <v>0</v>
      </c>
      <c r="AD24" s="23">
        <f t="shared" si="6"/>
        <v>65.278053186554757</v>
      </c>
      <c r="AE24" s="235" t="s">
        <v>324</v>
      </c>
    </row>
    <row r="25" spans="2:31" ht="337.5" customHeight="1" x14ac:dyDescent="0.25">
      <c r="B25" s="43">
        <v>13</v>
      </c>
      <c r="C25" s="287"/>
      <c r="D25" s="44">
        <v>12002</v>
      </c>
      <c r="E25" s="45" t="s">
        <v>33</v>
      </c>
      <c r="F25" s="55" t="s">
        <v>57</v>
      </c>
      <c r="G25" s="356"/>
      <c r="H25" s="356"/>
      <c r="I25" s="341"/>
      <c r="J25" s="20">
        <f t="shared" si="10"/>
        <v>1486847</v>
      </c>
      <c r="K25" s="19">
        <v>0</v>
      </c>
      <c r="L25" s="19">
        <v>1486847</v>
      </c>
      <c r="M25" s="20">
        <f t="shared" si="11"/>
        <v>-9.1858964879065752E-11</v>
      </c>
      <c r="N25" s="19">
        <v>0</v>
      </c>
      <c r="O25" s="19">
        <f>1486847-90903.6-1200000-20630-120836-31101.6-20100-3275.8</f>
        <v>-9.1858964879065752E-11</v>
      </c>
      <c r="P25" s="205">
        <f t="shared" si="15"/>
        <v>1395943.4</v>
      </c>
      <c r="Q25" s="19">
        <v>0</v>
      </c>
      <c r="R25" s="201">
        <f>1486847-90903.6</f>
        <v>1395943.4</v>
      </c>
      <c r="S25" s="222">
        <f t="shared" si="13"/>
        <v>0</v>
      </c>
      <c r="T25" s="223">
        <v>0</v>
      </c>
      <c r="U25" s="224">
        <v>0</v>
      </c>
      <c r="V25" s="67">
        <f t="shared" si="14"/>
        <v>0</v>
      </c>
      <c r="W25" s="19">
        <v>0</v>
      </c>
      <c r="X25" s="19">
        <v>0</v>
      </c>
      <c r="Y25" s="22">
        <f t="shared" si="5"/>
        <v>0</v>
      </c>
      <c r="Z25" s="23" t="e">
        <f t="shared" si="5"/>
        <v>#DIV/0!</v>
      </c>
      <c r="AA25" s="23">
        <f t="shared" si="5"/>
        <v>0</v>
      </c>
      <c r="AB25" s="22">
        <f t="shared" si="6"/>
        <v>0</v>
      </c>
      <c r="AC25" s="23">
        <v>0</v>
      </c>
      <c r="AD25" s="23">
        <f t="shared" si="6"/>
        <v>0</v>
      </c>
      <c r="AE25" s="248" t="s">
        <v>325</v>
      </c>
    </row>
    <row r="26" spans="2:31" ht="258.75" customHeight="1" x14ac:dyDescent="0.25">
      <c r="B26" s="31">
        <v>14</v>
      </c>
      <c r="C26" s="287"/>
      <c r="D26" s="32">
        <v>11009</v>
      </c>
      <c r="E26" s="45" t="s">
        <v>34</v>
      </c>
      <c r="F26" s="53" t="s">
        <v>58</v>
      </c>
      <c r="G26" s="53" t="s">
        <v>59</v>
      </c>
      <c r="H26" s="56" t="s">
        <v>107</v>
      </c>
      <c r="I26" s="57" t="s">
        <v>187</v>
      </c>
      <c r="J26" s="22">
        <f t="shared" si="10"/>
        <v>25150.799999999999</v>
      </c>
      <c r="K26" s="23">
        <v>20030.3</v>
      </c>
      <c r="L26" s="23">
        <v>5120.5</v>
      </c>
      <c r="M26" s="20">
        <f t="shared" si="11"/>
        <v>15596</v>
      </c>
      <c r="N26" s="19">
        <f>20030.3-7030.3-455</f>
        <v>12545</v>
      </c>
      <c r="O26" s="19">
        <f>5120.5-2069.5</f>
        <v>3051</v>
      </c>
      <c r="P26" s="205">
        <f t="shared" si="15"/>
        <v>16800</v>
      </c>
      <c r="Q26" s="19">
        <f>0+13000</f>
        <v>13000</v>
      </c>
      <c r="R26" s="201">
        <v>3800</v>
      </c>
      <c r="S26" s="222">
        <f t="shared" si="13"/>
        <v>15594.8</v>
      </c>
      <c r="T26" s="254">
        <v>12544.5</v>
      </c>
      <c r="U26" s="255">
        <v>3050.3</v>
      </c>
      <c r="V26" s="67">
        <f t="shared" si="14"/>
        <v>15594.8</v>
      </c>
      <c r="W26" s="19">
        <v>12544.5</v>
      </c>
      <c r="X26" s="19">
        <v>3050.3</v>
      </c>
      <c r="Y26" s="22">
        <f t="shared" si="5"/>
        <v>92.826190476190476</v>
      </c>
      <c r="Z26" s="23">
        <f t="shared" si="5"/>
        <v>96.496153846153845</v>
      </c>
      <c r="AA26" s="23">
        <f t="shared" si="5"/>
        <v>80.271052631578954</v>
      </c>
      <c r="AB26" s="22">
        <f t="shared" si="6"/>
        <v>99.992305719415228</v>
      </c>
      <c r="AC26" s="23">
        <f t="shared" si="6"/>
        <v>99.996014348345952</v>
      </c>
      <c r="AD26" s="23">
        <f t="shared" si="6"/>
        <v>99.977056702720418</v>
      </c>
      <c r="AE26" s="235" t="s">
        <v>116</v>
      </c>
    </row>
    <row r="27" spans="2:31" ht="336.75" customHeight="1" x14ac:dyDescent="0.25">
      <c r="B27" s="31">
        <v>15</v>
      </c>
      <c r="C27" s="287"/>
      <c r="D27" s="32">
        <v>11011</v>
      </c>
      <c r="E27" s="45" t="s">
        <v>137</v>
      </c>
      <c r="F27" s="53" t="s">
        <v>103</v>
      </c>
      <c r="G27" s="53" t="s">
        <v>124</v>
      </c>
      <c r="H27" s="53" t="s">
        <v>60</v>
      </c>
      <c r="I27" s="219" t="s">
        <v>246</v>
      </c>
      <c r="J27" s="22">
        <f t="shared" si="10"/>
        <v>309870.40000000002</v>
      </c>
      <c r="K27" s="23">
        <v>254688</v>
      </c>
      <c r="L27" s="19">
        <v>55182.400000000001</v>
      </c>
      <c r="M27" s="20">
        <f t="shared" si="11"/>
        <v>0</v>
      </c>
      <c r="N27" s="19">
        <f>254688-254688</f>
        <v>0</v>
      </c>
      <c r="O27" s="19">
        <f>55182.4-29087.9-26094.5</f>
        <v>0</v>
      </c>
      <c r="P27" s="205">
        <f t="shared" si="15"/>
        <v>117000</v>
      </c>
      <c r="Q27" s="19">
        <f>130000-13000</f>
        <v>117000</v>
      </c>
      <c r="R27" s="201">
        <v>0</v>
      </c>
      <c r="S27" s="222">
        <f t="shared" si="13"/>
        <v>0</v>
      </c>
      <c r="T27" s="223">
        <v>0</v>
      </c>
      <c r="U27" s="224">
        <v>0</v>
      </c>
      <c r="V27" s="67">
        <f t="shared" si="14"/>
        <v>0</v>
      </c>
      <c r="W27" s="19">
        <v>0</v>
      </c>
      <c r="X27" s="19">
        <v>0</v>
      </c>
      <c r="Y27" s="22">
        <f t="shared" si="5"/>
        <v>0</v>
      </c>
      <c r="Z27" s="23">
        <f t="shared" si="5"/>
        <v>0</v>
      </c>
      <c r="AA27" s="23" t="e">
        <f t="shared" si="5"/>
        <v>#DIV/0!</v>
      </c>
      <c r="AB27" s="22">
        <v>0</v>
      </c>
      <c r="AC27" s="23">
        <v>0</v>
      </c>
      <c r="AD27" s="23">
        <v>0</v>
      </c>
      <c r="AE27" s="248" t="s">
        <v>287</v>
      </c>
    </row>
    <row r="28" spans="2:31" ht="249.75" customHeight="1" thickBot="1" x14ac:dyDescent="0.3">
      <c r="B28" s="51">
        <v>16</v>
      </c>
      <c r="C28" s="287"/>
      <c r="D28" s="206">
        <v>31022</v>
      </c>
      <c r="E28" s="29" t="s">
        <v>181</v>
      </c>
      <c r="F28" s="123"/>
      <c r="G28" s="123" t="s">
        <v>189</v>
      </c>
      <c r="H28" s="123"/>
      <c r="I28" s="198" t="s">
        <v>268</v>
      </c>
      <c r="J28" s="18">
        <f t="shared" si="10"/>
        <v>2000000</v>
      </c>
      <c r="K28" s="68">
        <v>1600000</v>
      </c>
      <c r="L28" s="68">
        <v>400000</v>
      </c>
      <c r="M28" s="18">
        <f t="shared" si="11"/>
        <v>0</v>
      </c>
      <c r="N28" s="68">
        <f>1600000-1600000</f>
        <v>0</v>
      </c>
      <c r="O28" s="68">
        <f>400000-400000</f>
        <v>0</v>
      </c>
      <c r="P28" s="207">
        <f t="shared" si="15"/>
        <v>0</v>
      </c>
      <c r="Q28" s="68">
        <v>0</v>
      </c>
      <c r="R28" s="68">
        <v>0</v>
      </c>
      <c r="S28" s="225">
        <f t="shared" si="13"/>
        <v>0</v>
      </c>
      <c r="T28" s="226">
        <v>0</v>
      </c>
      <c r="U28" s="227">
        <v>0</v>
      </c>
      <c r="V28" s="21">
        <f t="shared" si="14"/>
        <v>0</v>
      </c>
      <c r="W28" s="17">
        <v>0</v>
      </c>
      <c r="X28" s="17">
        <v>0</v>
      </c>
      <c r="Y28" s="16" t="e">
        <f t="shared" si="5"/>
        <v>#DIV/0!</v>
      </c>
      <c r="Z28" s="17" t="e">
        <f t="shared" si="5"/>
        <v>#DIV/0!</v>
      </c>
      <c r="AA28" s="17" t="e">
        <f t="shared" si="5"/>
        <v>#DIV/0!</v>
      </c>
      <c r="AB28" s="16">
        <v>0</v>
      </c>
      <c r="AC28" s="17">
        <v>0</v>
      </c>
      <c r="AD28" s="17">
        <v>0</v>
      </c>
      <c r="AE28" s="248" t="s">
        <v>286</v>
      </c>
    </row>
    <row r="29" spans="2:31" ht="168.75" customHeight="1" x14ac:dyDescent="0.3">
      <c r="B29" s="278" t="s">
        <v>17</v>
      </c>
      <c r="C29" s="279"/>
      <c r="D29" s="279"/>
      <c r="E29" s="279"/>
      <c r="F29" s="279"/>
      <c r="G29" s="279"/>
      <c r="H29" s="279"/>
      <c r="I29" s="279"/>
      <c r="J29" s="80">
        <f t="shared" ref="J29:X29" si="16">SUM(J17:J28)</f>
        <v>18433200.5</v>
      </c>
      <c r="K29" s="81">
        <f t="shared" si="16"/>
        <v>12458258</v>
      </c>
      <c r="L29" s="81">
        <f t="shared" si="16"/>
        <v>5974942.5</v>
      </c>
      <c r="M29" s="80">
        <f t="shared" si="16"/>
        <v>5190176.3999999994</v>
      </c>
      <c r="N29" s="81">
        <f t="shared" si="16"/>
        <v>3960516</v>
      </c>
      <c r="O29" s="81">
        <f t="shared" si="16"/>
        <v>1229660.4000000001</v>
      </c>
      <c r="P29" s="80">
        <f t="shared" si="16"/>
        <v>8371297</v>
      </c>
      <c r="Q29" s="81">
        <f t="shared" si="16"/>
        <v>5232568.4000000004</v>
      </c>
      <c r="R29" s="90">
        <f t="shared" si="16"/>
        <v>3138728.6</v>
      </c>
      <c r="S29" s="133">
        <f t="shared" si="16"/>
        <v>5046834.0000000009</v>
      </c>
      <c r="T29" s="134">
        <f t="shared" si="16"/>
        <v>3890024.3000000003</v>
      </c>
      <c r="U29" s="135">
        <f t="shared" si="16"/>
        <v>1156809.7</v>
      </c>
      <c r="V29" s="94">
        <f t="shared" si="16"/>
        <v>5046834.0000000009</v>
      </c>
      <c r="W29" s="81">
        <f t="shared" si="16"/>
        <v>3890024.3000000003</v>
      </c>
      <c r="X29" s="81">
        <f t="shared" si="16"/>
        <v>1156809.7</v>
      </c>
      <c r="Y29" s="80">
        <f t="shared" si="5"/>
        <v>60.287360489061626</v>
      </c>
      <c r="Z29" s="81">
        <f t="shared" si="5"/>
        <v>74.34254084475991</v>
      </c>
      <c r="AA29" s="81">
        <f t="shared" si="5"/>
        <v>36.855996405678397</v>
      </c>
      <c r="AB29" s="80">
        <f t="shared" si="6"/>
        <v>97.238197915585317</v>
      </c>
      <c r="AC29" s="81">
        <f t="shared" si="6"/>
        <v>98.220138487005244</v>
      </c>
      <c r="AD29" s="81">
        <f t="shared" si="6"/>
        <v>94.075543133697721</v>
      </c>
      <c r="AE29" s="204"/>
    </row>
    <row r="30" spans="2:31" ht="156.75" customHeight="1" x14ac:dyDescent="0.3">
      <c r="B30" s="280" t="s">
        <v>15</v>
      </c>
      <c r="C30" s="281"/>
      <c r="D30" s="281"/>
      <c r="E30" s="281"/>
      <c r="F30" s="281"/>
      <c r="G30" s="281"/>
      <c r="H30" s="281"/>
      <c r="I30" s="281"/>
      <c r="J30" s="82">
        <f>J17+J19+J21+J24+J26+J27</f>
        <v>1311624.7000000002</v>
      </c>
      <c r="K30" s="83">
        <f t="shared" ref="K30:X30" si="17">K17+K19+K21+K24+K26+K27</f>
        <v>646795.10000000009</v>
      </c>
      <c r="L30" s="83">
        <f t="shared" si="17"/>
        <v>664829.6</v>
      </c>
      <c r="M30" s="82">
        <f t="shared" si="17"/>
        <v>520988.80000000005</v>
      </c>
      <c r="N30" s="83">
        <f t="shared" si="17"/>
        <v>258921.8</v>
      </c>
      <c r="O30" s="83">
        <f t="shared" si="17"/>
        <v>262067.00000000003</v>
      </c>
      <c r="P30" s="82">
        <f t="shared" si="17"/>
        <v>749555.4</v>
      </c>
      <c r="Q30" s="83">
        <f t="shared" si="17"/>
        <v>366367.7</v>
      </c>
      <c r="R30" s="85">
        <f t="shared" si="17"/>
        <v>383187.7</v>
      </c>
      <c r="S30" s="138">
        <f t="shared" si="17"/>
        <v>451555.09999999992</v>
      </c>
      <c r="T30" s="139">
        <f t="shared" si="17"/>
        <v>241833.69999999998</v>
      </c>
      <c r="U30" s="140">
        <f t="shared" si="17"/>
        <v>209721.4</v>
      </c>
      <c r="V30" s="84">
        <f t="shared" si="17"/>
        <v>451555.09999999992</v>
      </c>
      <c r="W30" s="83">
        <f t="shared" si="17"/>
        <v>241833.69999999998</v>
      </c>
      <c r="X30" s="83">
        <f t="shared" si="17"/>
        <v>209721.4</v>
      </c>
      <c r="Y30" s="82">
        <f t="shared" si="5"/>
        <v>60.243058751894772</v>
      </c>
      <c r="Z30" s="83">
        <f t="shared" si="5"/>
        <v>66.008466357705657</v>
      </c>
      <c r="AA30" s="83">
        <f t="shared" si="5"/>
        <v>54.730723350462455</v>
      </c>
      <c r="AB30" s="82">
        <f t="shared" si="6"/>
        <v>86.672707743429385</v>
      </c>
      <c r="AC30" s="83">
        <f t="shared" si="6"/>
        <v>93.400285337117225</v>
      </c>
      <c r="AD30" s="83">
        <f t="shared" si="6"/>
        <v>80.025871246665915</v>
      </c>
      <c r="AE30" s="208"/>
    </row>
    <row r="31" spans="2:31" ht="166.5" customHeight="1" thickBot="1" x14ac:dyDescent="0.35">
      <c r="B31" s="282" t="s">
        <v>16</v>
      </c>
      <c r="C31" s="283"/>
      <c r="D31" s="283"/>
      <c r="E31" s="283"/>
      <c r="F31" s="283"/>
      <c r="G31" s="283"/>
      <c r="H31" s="283"/>
      <c r="I31" s="283"/>
      <c r="J31" s="98">
        <f>J29-J30</f>
        <v>17121575.800000001</v>
      </c>
      <c r="K31" s="99">
        <f t="shared" ref="K31:X31" si="18">K29-K30</f>
        <v>11811462.9</v>
      </c>
      <c r="L31" s="99">
        <f t="shared" si="18"/>
        <v>5310112.9000000004</v>
      </c>
      <c r="M31" s="98">
        <f t="shared" si="18"/>
        <v>4669187.5999999996</v>
      </c>
      <c r="N31" s="99">
        <f t="shared" si="18"/>
        <v>3701594.2</v>
      </c>
      <c r="O31" s="99">
        <f t="shared" si="18"/>
        <v>967593.40000000014</v>
      </c>
      <c r="P31" s="98">
        <f t="shared" si="18"/>
        <v>7621741.5999999996</v>
      </c>
      <c r="Q31" s="99">
        <f t="shared" si="18"/>
        <v>4866200.7</v>
      </c>
      <c r="R31" s="100">
        <f t="shared" si="18"/>
        <v>2755540.9</v>
      </c>
      <c r="S31" s="142">
        <f t="shared" si="18"/>
        <v>4595278.9000000013</v>
      </c>
      <c r="T31" s="143">
        <f t="shared" si="18"/>
        <v>3648190.6</v>
      </c>
      <c r="U31" s="144">
        <f t="shared" si="18"/>
        <v>947088.29999999993</v>
      </c>
      <c r="V31" s="104">
        <f t="shared" si="18"/>
        <v>4595278.9000000013</v>
      </c>
      <c r="W31" s="99">
        <f t="shared" si="18"/>
        <v>3648190.6</v>
      </c>
      <c r="X31" s="99">
        <f t="shared" si="18"/>
        <v>947088.29999999993</v>
      </c>
      <c r="Y31" s="98">
        <f t="shared" si="5"/>
        <v>60.291717315632972</v>
      </c>
      <c r="Z31" s="99">
        <f t="shared" si="5"/>
        <v>74.969998668571151</v>
      </c>
      <c r="AA31" s="99">
        <f t="shared" si="5"/>
        <v>34.370322719579299</v>
      </c>
      <c r="AB31" s="98">
        <f t="shared" si="6"/>
        <v>98.417097226935198</v>
      </c>
      <c r="AC31" s="99">
        <f t="shared" si="6"/>
        <v>98.557281076353533</v>
      </c>
      <c r="AD31" s="99">
        <f t="shared" si="6"/>
        <v>97.880814399932845</v>
      </c>
      <c r="AE31" s="209"/>
    </row>
    <row r="32" spans="2:31" ht="60" customHeight="1" thickBot="1" x14ac:dyDescent="0.3">
      <c r="B32" s="284" t="s">
        <v>222</v>
      </c>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6"/>
    </row>
    <row r="33" spans="1:31" ht="210.75" customHeight="1" x14ac:dyDescent="0.25">
      <c r="A33" s="5"/>
      <c r="B33" s="38">
        <v>17</v>
      </c>
      <c r="C33" s="287">
        <v>1072</v>
      </c>
      <c r="D33" s="39">
        <v>11005</v>
      </c>
      <c r="E33" s="40" t="s">
        <v>143</v>
      </c>
      <c r="F33" s="333" t="s">
        <v>62</v>
      </c>
      <c r="G33" s="289" t="s">
        <v>205</v>
      </c>
      <c r="H33" s="341" t="s">
        <v>61</v>
      </c>
      <c r="I33" s="293" t="s">
        <v>206</v>
      </c>
      <c r="J33" s="64">
        <f t="shared" si="10"/>
        <v>169564.3</v>
      </c>
      <c r="K33" s="65">
        <v>0</v>
      </c>
      <c r="L33" s="65">
        <v>169564.3</v>
      </c>
      <c r="M33" s="62">
        <f t="shared" si="11"/>
        <v>169564.3</v>
      </c>
      <c r="N33" s="15">
        <v>0</v>
      </c>
      <c r="O33" s="15">
        <v>169564.3</v>
      </c>
      <c r="P33" s="62">
        <f t="shared" ref="P33:P41" si="19">Q33+R33</f>
        <v>127173.3</v>
      </c>
      <c r="Q33" s="15">
        <v>0</v>
      </c>
      <c r="R33" s="203">
        <v>127173.3</v>
      </c>
      <c r="S33" s="213">
        <f t="shared" si="13"/>
        <v>162348.1</v>
      </c>
      <c r="T33" s="214">
        <v>0</v>
      </c>
      <c r="U33" s="215">
        <v>162348.1</v>
      </c>
      <c r="V33" s="106">
        <f t="shared" si="14"/>
        <v>162348.1</v>
      </c>
      <c r="W33" s="65">
        <v>0</v>
      </c>
      <c r="X33" s="65">
        <v>162348.1</v>
      </c>
      <c r="Y33" s="64">
        <f t="shared" si="5"/>
        <v>127.65895042434221</v>
      </c>
      <c r="Z33" s="65" t="e">
        <f t="shared" si="5"/>
        <v>#DIV/0!</v>
      </c>
      <c r="AA33" s="65">
        <f t="shared" si="5"/>
        <v>127.65895042434221</v>
      </c>
      <c r="AB33" s="64">
        <f t="shared" si="6"/>
        <v>95.744269283097921</v>
      </c>
      <c r="AC33" s="65">
        <v>0</v>
      </c>
      <c r="AD33" s="65">
        <f t="shared" si="6"/>
        <v>95.744269283097921</v>
      </c>
      <c r="AE33" s="235" t="s">
        <v>326</v>
      </c>
    </row>
    <row r="34" spans="1:31" ht="264" customHeight="1" x14ac:dyDescent="0.25">
      <c r="A34" s="6"/>
      <c r="B34" s="43">
        <v>18</v>
      </c>
      <c r="C34" s="287"/>
      <c r="D34" s="44">
        <v>31003</v>
      </c>
      <c r="E34" s="29" t="s">
        <v>144</v>
      </c>
      <c r="F34" s="339"/>
      <c r="G34" s="340"/>
      <c r="H34" s="342"/>
      <c r="I34" s="293"/>
      <c r="J34" s="22">
        <f t="shared" si="10"/>
        <v>1471083.4</v>
      </c>
      <c r="K34" s="65">
        <v>804780</v>
      </c>
      <c r="L34" s="65">
        <v>666303.4</v>
      </c>
      <c r="M34" s="20">
        <f t="shared" si="11"/>
        <v>1471083.4</v>
      </c>
      <c r="N34" s="19">
        <v>804780</v>
      </c>
      <c r="O34" s="19">
        <v>666303.4</v>
      </c>
      <c r="P34" s="20">
        <f t="shared" si="19"/>
        <v>1471083.4</v>
      </c>
      <c r="Q34" s="15">
        <v>804780</v>
      </c>
      <c r="R34" s="203">
        <v>666303.4</v>
      </c>
      <c r="S34" s="222">
        <f t="shared" si="13"/>
        <v>1399243.3</v>
      </c>
      <c r="T34" s="214">
        <v>755922.5</v>
      </c>
      <c r="U34" s="215">
        <v>643320.80000000005</v>
      </c>
      <c r="V34" s="67">
        <f t="shared" si="14"/>
        <v>1399243.3</v>
      </c>
      <c r="W34" s="15">
        <v>755922.5</v>
      </c>
      <c r="X34" s="15">
        <v>643320.80000000005</v>
      </c>
      <c r="Y34" s="22">
        <f t="shared" si="5"/>
        <v>95.116517527150407</v>
      </c>
      <c r="Z34" s="23">
        <f t="shared" si="5"/>
        <v>93.929086209895871</v>
      </c>
      <c r="AA34" s="23">
        <f t="shared" si="5"/>
        <v>96.550730493045663</v>
      </c>
      <c r="AB34" s="22">
        <f t="shared" si="6"/>
        <v>95.116517527150407</v>
      </c>
      <c r="AC34" s="23">
        <f t="shared" si="6"/>
        <v>93.929086209895871</v>
      </c>
      <c r="AD34" s="23">
        <f t="shared" si="6"/>
        <v>96.550730493045663</v>
      </c>
      <c r="AE34" s="235" t="s">
        <v>327</v>
      </c>
    </row>
    <row r="35" spans="1:31" ht="265.5" customHeight="1" x14ac:dyDescent="0.25">
      <c r="A35" s="6"/>
      <c r="B35" s="31">
        <v>19</v>
      </c>
      <c r="C35" s="287"/>
      <c r="D35" s="32">
        <v>11004</v>
      </c>
      <c r="E35" s="29" t="s">
        <v>145</v>
      </c>
      <c r="F35" s="343" t="s">
        <v>115</v>
      </c>
      <c r="G35" s="343" t="s">
        <v>125</v>
      </c>
      <c r="H35" s="337" t="s">
        <v>61</v>
      </c>
      <c r="I35" s="293"/>
      <c r="J35" s="22">
        <f t="shared" si="10"/>
        <v>4828.7</v>
      </c>
      <c r="K35" s="23">
        <v>4023.9</v>
      </c>
      <c r="L35" s="23">
        <v>804.8</v>
      </c>
      <c r="M35" s="20">
        <f t="shared" si="11"/>
        <v>0</v>
      </c>
      <c r="N35" s="19">
        <f>4023.9-4023.9</f>
        <v>0</v>
      </c>
      <c r="O35" s="19">
        <f>804.8-804.8</f>
        <v>0</v>
      </c>
      <c r="P35" s="20">
        <f t="shared" si="19"/>
        <v>0</v>
      </c>
      <c r="Q35" s="19">
        <v>0</v>
      </c>
      <c r="R35" s="201">
        <v>0</v>
      </c>
      <c r="S35" s="253">
        <f t="shared" si="13"/>
        <v>0</v>
      </c>
      <c r="T35" s="254">
        <v>0</v>
      </c>
      <c r="U35" s="255">
        <v>0</v>
      </c>
      <c r="V35" s="67">
        <f t="shared" si="14"/>
        <v>0</v>
      </c>
      <c r="W35" s="19">
        <v>0</v>
      </c>
      <c r="X35" s="19">
        <v>0</v>
      </c>
      <c r="Y35" s="22" t="e">
        <f t="shared" si="5"/>
        <v>#DIV/0!</v>
      </c>
      <c r="Z35" s="23" t="e">
        <f t="shared" si="5"/>
        <v>#DIV/0!</v>
      </c>
      <c r="AA35" s="23" t="e">
        <f t="shared" si="5"/>
        <v>#DIV/0!</v>
      </c>
      <c r="AB35" s="22">
        <v>0</v>
      </c>
      <c r="AC35" s="23">
        <v>0</v>
      </c>
      <c r="AD35" s="23">
        <v>0</v>
      </c>
      <c r="AE35" s="248" t="s">
        <v>285</v>
      </c>
    </row>
    <row r="36" spans="1:31" ht="297" customHeight="1" x14ac:dyDescent="0.25">
      <c r="A36" s="6"/>
      <c r="B36" s="43">
        <v>20</v>
      </c>
      <c r="C36" s="287"/>
      <c r="D36" s="32">
        <v>31004</v>
      </c>
      <c r="E36" s="29" t="s">
        <v>146</v>
      </c>
      <c r="F36" s="343"/>
      <c r="G36" s="343"/>
      <c r="H36" s="337"/>
      <c r="I36" s="326"/>
      <c r="J36" s="22">
        <f t="shared" si="10"/>
        <v>1038166.2</v>
      </c>
      <c r="K36" s="23">
        <v>804780</v>
      </c>
      <c r="L36" s="23">
        <v>233386.2</v>
      </c>
      <c r="M36" s="20">
        <f t="shared" si="11"/>
        <v>1032835.8999999999</v>
      </c>
      <c r="N36" s="19">
        <f>804780-5330.3</f>
        <v>799449.7</v>
      </c>
      <c r="O36" s="19">
        <v>233386.2</v>
      </c>
      <c r="P36" s="20">
        <f t="shared" si="19"/>
        <v>813469.7</v>
      </c>
      <c r="Q36" s="19">
        <f>634125-5330.3</f>
        <v>628794.69999999995</v>
      </c>
      <c r="R36" s="201">
        <v>184675</v>
      </c>
      <c r="S36" s="253">
        <f t="shared" si="13"/>
        <v>1032233.5</v>
      </c>
      <c r="T36" s="254">
        <v>799487.1</v>
      </c>
      <c r="U36" s="255">
        <v>232746.4</v>
      </c>
      <c r="V36" s="24">
        <f t="shared" si="14"/>
        <v>1032233.5</v>
      </c>
      <c r="W36" s="23">
        <v>799487.1</v>
      </c>
      <c r="X36" s="23">
        <v>232746.4</v>
      </c>
      <c r="Y36" s="22">
        <f t="shared" si="5"/>
        <v>126.89267959212249</v>
      </c>
      <c r="Z36" s="23">
        <f t="shared" si="5"/>
        <v>127.14596672013934</v>
      </c>
      <c r="AA36" s="23">
        <f t="shared" si="5"/>
        <v>126.03026939217543</v>
      </c>
      <c r="AB36" s="22">
        <f t="shared" si="6"/>
        <v>99.941675148975762</v>
      </c>
      <c r="AC36" s="23">
        <f t="shared" si="6"/>
        <v>100.00467821802923</v>
      </c>
      <c r="AD36" s="23">
        <f t="shared" si="6"/>
        <v>99.725862111812944</v>
      </c>
      <c r="AE36" s="235" t="s">
        <v>328</v>
      </c>
    </row>
    <row r="37" spans="1:31" ht="296.25" customHeight="1" x14ac:dyDescent="0.25">
      <c r="A37" s="6"/>
      <c r="B37" s="43">
        <v>21</v>
      </c>
      <c r="C37" s="287"/>
      <c r="D37" s="32">
        <v>12001</v>
      </c>
      <c r="E37" s="29" t="s">
        <v>147</v>
      </c>
      <c r="F37" s="70" t="s">
        <v>63</v>
      </c>
      <c r="G37" s="71" t="s">
        <v>214</v>
      </c>
      <c r="H37" s="72" t="s">
        <v>64</v>
      </c>
      <c r="I37" s="73" t="s">
        <v>276</v>
      </c>
      <c r="J37" s="22">
        <f t="shared" si="10"/>
        <v>1500000</v>
      </c>
      <c r="K37" s="19">
        <v>1200000</v>
      </c>
      <c r="L37" s="19">
        <v>300000</v>
      </c>
      <c r="M37" s="20">
        <f t="shared" si="11"/>
        <v>167491.49999999991</v>
      </c>
      <c r="N37" s="19">
        <f>1200000-29569.6-1031303.4+14.6</f>
        <v>139141.59999999989</v>
      </c>
      <c r="O37" s="19">
        <f>300000-271650.1</f>
        <v>28349.900000000023</v>
      </c>
      <c r="P37" s="20">
        <f t="shared" si="19"/>
        <v>187476.9</v>
      </c>
      <c r="Q37" s="19">
        <f>175696.6-29569.6</f>
        <v>146127</v>
      </c>
      <c r="R37" s="201">
        <v>41349.9</v>
      </c>
      <c r="S37" s="222">
        <f t="shared" si="13"/>
        <v>137396.4</v>
      </c>
      <c r="T37" s="223">
        <v>114349.7</v>
      </c>
      <c r="U37" s="224">
        <v>23046.7</v>
      </c>
      <c r="V37" s="67">
        <f t="shared" si="14"/>
        <v>137396.4</v>
      </c>
      <c r="W37" s="19">
        <v>114349.7</v>
      </c>
      <c r="X37" s="19">
        <v>23046.7</v>
      </c>
      <c r="Y37" s="20">
        <f t="shared" si="5"/>
        <v>73.287108971825333</v>
      </c>
      <c r="Z37" s="19">
        <f t="shared" si="5"/>
        <v>78.253642379573932</v>
      </c>
      <c r="AA37" s="19">
        <f t="shared" si="5"/>
        <v>55.735805890703482</v>
      </c>
      <c r="AB37" s="20">
        <f t="shared" si="6"/>
        <v>82.031864303561704</v>
      </c>
      <c r="AC37" s="23">
        <f t="shared" si="6"/>
        <v>82.18225174929718</v>
      </c>
      <c r="AD37" s="23">
        <f t="shared" si="6"/>
        <v>81.293761177288033</v>
      </c>
      <c r="AE37" s="235" t="s">
        <v>351</v>
      </c>
    </row>
    <row r="38" spans="1:31" ht="261.75" customHeight="1" x14ac:dyDescent="0.25">
      <c r="A38" s="6"/>
      <c r="B38" s="31">
        <v>22</v>
      </c>
      <c r="C38" s="287"/>
      <c r="D38" s="44">
        <v>11007</v>
      </c>
      <c r="E38" s="29" t="s">
        <v>140</v>
      </c>
      <c r="F38" s="344" t="s">
        <v>104</v>
      </c>
      <c r="G38" s="54" t="s">
        <v>123</v>
      </c>
      <c r="H38" s="48" t="s">
        <v>65</v>
      </c>
      <c r="I38" s="74" t="s">
        <v>312</v>
      </c>
      <c r="J38" s="22">
        <f t="shared" si="10"/>
        <v>44825.200000000004</v>
      </c>
      <c r="K38" s="19">
        <v>37354.300000000003</v>
      </c>
      <c r="L38" s="19">
        <v>7470.9</v>
      </c>
      <c r="M38" s="20">
        <f t="shared" si="11"/>
        <v>104495.5</v>
      </c>
      <c r="N38" s="19">
        <f>37354.3+39510.5+42.5</f>
        <v>76907.3</v>
      </c>
      <c r="O38" s="19">
        <f>7470.9+14328+5789.3</f>
        <v>27588.2</v>
      </c>
      <c r="P38" s="20">
        <f t="shared" si="19"/>
        <v>98663.700000000012</v>
      </c>
      <c r="Q38" s="19">
        <f>37354.3+39510.5</f>
        <v>76864.800000000003</v>
      </c>
      <c r="R38" s="201">
        <f>7470.9+14328</f>
        <v>21798.9</v>
      </c>
      <c r="S38" s="222">
        <f>T38+U38</f>
        <v>102064.70000000001</v>
      </c>
      <c r="T38" s="223">
        <v>74581.3</v>
      </c>
      <c r="U38" s="224">
        <v>27483.4</v>
      </c>
      <c r="V38" s="67">
        <f t="shared" si="14"/>
        <v>102064.70000000001</v>
      </c>
      <c r="W38" s="19">
        <v>74581.3</v>
      </c>
      <c r="X38" s="19">
        <v>27483.4</v>
      </c>
      <c r="Y38" s="22">
        <f t="shared" si="5"/>
        <v>103.44706310426226</v>
      </c>
      <c r="Z38" s="23">
        <f t="shared" si="5"/>
        <v>97.029199321405898</v>
      </c>
      <c r="AA38" s="23">
        <f t="shared" si="5"/>
        <v>126.07700388551714</v>
      </c>
      <c r="AB38" s="22">
        <f t="shared" si="6"/>
        <v>97.673775425736039</v>
      </c>
      <c r="AC38" s="23">
        <f t="shared" si="6"/>
        <v>96.975579691394714</v>
      </c>
      <c r="AD38" s="23">
        <f t="shared" si="6"/>
        <v>99.620127445792036</v>
      </c>
      <c r="AE38" s="248" t="s">
        <v>329</v>
      </c>
    </row>
    <row r="39" spans="1:31" ht="303" customHeight="1" x14ac:dyDescent="0.25">
      <c r="A39" s="6"/>
      <c r="B39" s="43">
        <v>23</v>
      </c>
      <c r="C39" s="287"/>
      <c r="D39" s="44">
        <v>31001</v>
      </c>
      <c r="E39" s="29" t="s">
        <v>148</v>
      </c>
      <c r="F39" s="345"/>
      <c r="G39" s="75" t="s">
        <v>242</v>
      </c>
      <c r="H39" s="325" t="s">
        <v>66</v>
      </c>
      <c r="I39" s="334" t="s">
        <v>269</v>
      </c>
      <c r="J39" s="22">
        <f t="shared" si="10"/>
        <v>3671091.3000000003</v>
      </c>
      <c r="K39" s="23">
        <v>3079485.7</v>
      </c>
      <c r="L39" s="19">
        <v>591605.6</v>
      </c>
      <c r="M39" s="20">
        <f t="shared" si="11"/>
        <v>2779478</v>
      </c>
      <c r="N39" s="19">
        <f>3079485.7-726975-172000</f>
        <v>2180510.7000000002</v>
      </c>
      <c r="O39" s="19">
        <f>591605.6+230000-168600-54038.3</f>
        <v>598967.29999999993</v>
      </c>
      <c r="P39" s="20">
        <f t="shared" si="19"/>
        <v>1715430</v>
      </c>
      <c r="Q39" s="19">
        <v>1203654</v>
      </c>
      <c r="R39" s="201">
        <v>511776</v>
      </c>
      <c r="S39" s="222">
        <f>T39+U39</f>
        <v>2751693</v>
      </c>
      <c r="T39" s="223">
        <v>2177096.7000000002</v>
      </c>
      <c r="U39" s="255">
        <v>574596.30000000005</v>
      </c>
      <c r="V39" s="67">
        <f t="shared" si="14"/>
        <v>2751693</v>
      </c>
      <c r="W39" s="19">
        <v>2177096.7000000002</v>
      </c>
      <c r="X39" s="19">
        <v>574596.30000000005</v>
      </c>
      <c r="Y39" s="22">
        <f t="shared" si="5"/>
        <v>160.40835242475649</v>
      </c>
      <c r="Z39" s="23">
        <f t="shared" si="5"/>
        <v>180.87396378028905</v>
      </c>
      <c r="AA39" s="23">
        <f t="shared" si="5"/>
        <v>112.27496013881073</v>
      </c>
      <c r="AB39" s="22">
        <f t="shared" si="6"/>
        <v>99.000351864630701</v>
      </c>
      <c r="AC39" s="23">
        <f t="shared" si="6"/>
        <v>99.843431174174015</v>
      </c>
      <c r="AD39" s="23">
        <f t="shared" si="6"/>
        <v>95.931163520946825</v>
      </c>
      <c r="AE39" s="338" t="s">
        <v>352</v>
      </c>
    </row>
    <row r="40" spans="1:31" ht="304.5" customHeight="1" x14ac:dyDescent="0.25">
      <c r="A40" s="6"/>
      <c r="B40" s="43">
        <v>24</v>
      </c>
      <c r="C40" s="287"/>
      <c r="D40" s="44">
        <v>31002</v>
      </c>
      <c r="E40" s="29" t="s">
        <v>141</v>
      </c>
      <c r="F40" s="46" t="s">
        <v>67</v>
      </c>
      <c r="G40" s="75" t="s">
        <v>127</v>
      </c>
      <c r="H40" s="293"/>
      <c r="I40" s="288"/>
      <c r="J40" s="22">
        <f t="shared" si="10"/>
        <v>1930871.2000000002</v>
      </c>
      <c r="K40" s="23">
        <v>1551559.3</v>
      </c>
      <c r="L40" s="19">
        <v>379311.9</v>
      </c>
      <c r="M40" s="20">
        <f t="shared" si="11"/>
        <v>2194871.2000000002</v>
      </c>
      <c r="N40" s="19">
        <f>1551559.3+317000-98000</f>
        <v>1770559.3</v>
      </c>
      <c r="O40" s="19">
        <f>379311.9+53000-8000</f>
        <v>424311.9</v>
      </c>
      <c r="P40" s="20">
        <f t="shared" si="19"/>
        <v>1874128.8</v>
      </c>
      <c r="Q40" s="19">
        <v>1510538.3</v>
      </c>
      <c r="R40" s="201">
        <v>363590.5</v>
      </c>
      <c r="S40" s="222">
        <f t="shared" si="13"/>
        <v>2177729.1</v>
      </c>
      <c r="T40" s="223">
        <v>1756937.8</v>
      </c>
      <c r="U40" s="255">
        <v>420791.3</v>
      </c>
      <c r="V40" s="67">
        <f t="shared" si="14"/>
        <v>2177729.1</v>
      </c>
      <c r="W40" s="19">
        <v>1756937.8</v>
      </c>
      <c r="X40" s="19">
        <v>420791.3</v>
      </c>
      <c r="Y40" s="22">
        <f t="shared" si="5"/>
        <v>116.1995429556389</v>
      </c>
      <c r="Z40" s="23">
        <f t="shared" si="5"/>
        <v>116.31203260453576</v>
      </c>
      <c r="AA40" s="23">
        <f t="shared" si="5"/>
        <v>115.73220422425779</v>
      </c>
      <c r="AB40" s="22">
        <f t="shared" si="6"/>
        <v>99.218992895801804</v>
      </c>
      <c r="AC40" s="23">
        <f t="shared" si="6"/>
        <v>99.230666829402438</v>
      </c>
      <c r="AD40" s="23">
        <f t="shared" si="6"/>
        <v>99.17028016419053</v>
      </c>
      <c r="AE40" s="338"/>
    </row>
    <row r="41" spans="1:31" ht="261.75" customHeight="1" x14ac:dyDescent="0.25">
      <c r="A41" s="6"/>
      <c r="B41" s="26">
        <v>25</v>
      </c>
      <c r="C41" s="287"/>
      <c r="D41" s="28">
        <v>31005</v>
      </c>
      <c r="E41" s="29" t="s">
        <v>35</v>
      </c>
      <c r="F41" s="77" t="s">
        <v>68</v>
      </c>
      <c r="G41" s="76" t="s">
        <v>216</v>
      </c>
      <c r="H41" s="293"/>
      <c r="I41" s="288"/>
      <c r="J41" s="16">
        <f t="shared" si="10"/>
        <v>39579.1</v>
      </c>
      <c r="K41" s="17">
        <v>0</v>
      </c>
      <c r="L41" s="17">
        <v>39579.1</v>
      </c>
      <c r="M41" s="20">
        <f t="shared" si="11"/>
        <v>38120.1</v>
      </c>
      <c r="N41" s="19">
        <v>0</v>
      </c>
      <c r="O41" s="19">
        <f>39579.1-1459</f>
        <v>38120.1</v>
      </c>
      <c r="P41" s="20">
        <f t="shared" si="19"/>
        <v>39579.1</v>
      </c>
      <c r="Q41" s="19">
        <v>0</v>
      </c>
      <c r="R41" s="201">
        <v>39579.1</v>
      </c>
      <c r="S41" s="225">
        <f t="shared" si="13"/>
        <v>38119.300000000003</v>
      </c>
      <c r="T41" s="217">
        <v>0</v>
      </c>
      <c r="U41" s="218">
        <v>38119.300000000003</v>
      </c>
      <c r="V41" s="116">
        <f t="shared" si="14"/>
        <v>38119.300000000003</v>
      </c>
      <c r="W41" s="68">
        <v>0</v>
      </c>
      <c r="X41" s="68">
        <v>38119.300000000003</v>
      </c>
      <c r="Y41" s="16">
        <f t="shared" si="5"/>
        <v>96.311689755451752</v>
      </c>
      <c r="Z41" s="17" t="e">
        <f t="shared" si="5"/>
        <v>#DIV/0!</v>
      </c>
      <c r="AA41" s="17">
        <f t="shared" si="5"/>
        <v>96.311689755451752</v>
      </c>
      <c r="AB41" s="16">
        <f t="shared" si="6"/>
        <v>99.997901369618674</v>
      </c>
      <c r="AC41" s="17">
        <v>0</v>
      </c>
      <c r="AD41" s="17">
        <f t="shared" si="6"/>
        <v>99.997901369618674</v>
      </c>
      <c r="AE41" s="338"/>
    </row>
    <row r="42" spans="1:31" ht="406.5" customHeight="1" x14ac:dyDescent="0.25">
      <c r="B42" s="31">
        <v>26</v>
      </c>
      <c r="C42" s="287"/>
      <c r="D42" s="36">
        <v>11009</v>
      </c>
      <c r="E42" s="29" t="s">
        <v>219</v>
      </c>
      <c r="F42" s="46" t="s">
        <v>226</v>
      </c>
      <c r="G42" s="79" t="s">
        <v>220</v>
      </c>
      <c r="H42" s="234" t="s">
        <v>221</v>
      </c>
      <c r="I42" s="45" t="s">
        <v>248</v>
      </c>
      <c r="J42" s="16">
        <f t="shared" si="10"/>
        <v>0</v>
      </c>
      <c r="K42" s="23">
        <v>0</v>
      </c>
      <c r="L42" s="23">
        <v>0</v>
      </c>
      <c r="M42" s="20">
        <f t="shared" si="11"/>
        <v>41484</v>
      </c>
      <c r="N42" s="19">
        <v>29569.599999999999</v>
      </c>
      <c r="O42" s="19">
        <v>11914.4</v>
      </c>
      <c r="P42" s="20">
        <f t="shared" si="15"/>
        <v>41484</v>
      </c>
      <c r="Q42" s="19">
        <v>29569.599999999999</v>
      </c>
      <c r="R42" s="66">
        <v>11914.4</v>
      </c>
      <c r="S42" s="225">
        <f t="shared" si="13"/>
        <v>39160.65</v>
      </c>
      <c r="T42" s="254">
        <v>27892.65</v>
      </c>
      <c r="U42" s="255">
        <v>11268</v>
      </c>
      <c r="V42" s="21">
        <f t="shared" si="14"/>
        <v>39160.699999999997</v>
      </c>
      <c r="W42" s="19">
        <v>27892.7</v>
      </c>
      <c r="X42" s="23">
        <v>11268</v>
      </c>
      <c r="Y42" s="16">
        <f t="shared" si="5"/>
        <v>94.399407000289273</v>
      </c>
      <c r="Z42" s="17">
        <f t="shared" si="5"/>
        <v>94.328803906715024</v>
      </c>
      <c r="AA42" s="17">
        <f t="shared" si="5"/>
        <v>94.574632377627083</v>
      </c>
      <c r="AB42" s="16">
        <f t="shared" si="6"/>
        <v>94.399407000289273</v>
      </c>
      <c r="AC42" s="23">
        <f t="shared" si="6"/>
        <v>94.328803906715024</v>
      </c>
      <c r="AD42" s="17">
        <f t="shared" si="6"/>
        <v>94.574632377627083</v>
      </c>
      <c r="AE42" s="235" t="s">
        <v>330</v>
      </c>
    </row>
    <row r="43" spans="1:31" ht="327" customHeight="1" thickBot="1" x14ac:dyDescent="0.3">
      <c r="B43" s="78">
        <v>27</v>
      </c>
      <c r="C43" s="287"/>
      <c r="D43" s="36">
        <v>11011</v>
      </c>
      <c r="E43" s="29" t="s">
        <v>227</v>
      </c>
      <c r="F43" s="193" t="s">
        <v>225</v>
      </c>
      <c r="G43" s="79" t="s">
        <v>241</v>
      </c>
      <c r="H43" s="234" t="s">
        <v>243</v>
      </c>
      <c r="I43" s="79" t="s">
        <v>244</v>
      </c>
      <c r="J43" s="16">
        <f t="shared" si="10"/>
        <v>0</v>
      </c>
      <c r="K43" s="17">
        <v>0</v>
      </c>
      <c r="L43" s="17">
        <v>0</v>
      </c>
      <c r="M43" s="18">
        <f t="shared" si="11"/>
        <v>5330.3</v>
      </c>
      <c r="N43" s="68">
        <v>5330.3</v>
      </c>
      <c r="O43" s="68">
        <v>0</v>
      </c>
      <c r="P43" s="18">
        <f t="shared" si="15"/>
        <v>5330.3</v>
      </c>
      <c r="Q43" s="68">
        <v>5330.3</v>
      </c>
      <c r="R43" s="69">
        <v>0</v>
      </c>
      <c r="S43" s="225">
        <f t="shared" si="13"/>
        <v>5027.97</v>
      </c>
      <c r="T43" s="217">
        <v>5027.97</v>
      </c>
      <c r="U43" s="218">
        <v>0</v>
      </c>
      <c r="V43" s="21">
        <f t="shared" si="14"/>
        <v>5027.97</v>
      </c>
      <c r="W43" s="17">
        <v>5027.97</v>
      </c>
      <c r="X43" s="17">
        <v>0</v>
      </c>
      <c r="Y43" s="16">
        <f t="shared" si="5"/>
        <v>94.328086599253325</v>
      </c>
      <c r="Z43" s="17">
        <f t="shared" si="5"/>
        <v>94.328086599253325</v>
      </c>
      <c r="AA43" s="17" t="e">
        <f t="shared" si="5"/>
        <v>#DIV/0!</v>
      </c>
      <c r="AB43" s="16">
        <f t="shared" si="6"/>
        <v>94.328086599253325</v>
      </c>
      <c r="AC43" s="17">
        <f t="shared" si="6"/>
        <v>94.328086599253325</v>
      </c>
      <c r="AD43" s="17">
        <v>0</v>
      </c>
      <c r="AE43" s="235" t="s">
        <v>264</v>
      </c>
    </row>
    <row r="44" spans="1:31" ht="163.5" customHeight="1" x14ac:dyDescent="0.3">
      <c r="B44" s="278" t="s">
        <v>18</v>
      </c>
      <c r="C44" s="279"/>
      <c r="D44" s="279"/>
      <c r="E44" s="279"/>
      <c r="F44" s="279"/>
      <c r="G44" s="279"/>
      <c r="H44" s="279"/>
      <c r="I44" s="279"/>
      <c r="J44" s="80">
        <f>SUM(J33:J43)</f>
        <v>9870009.4000000004</v>
      </c>
      <c r="K44" s="81">
        <f t="shared" ref="K44:X44" si="20">SUM(K33:K43)</f>
        <v>7481983.2000000002</v>
      </c>
      <c r="L44" s="81">
        <f t="shared" si="20"/>
        <v>2388026.1999999997</v>
      </c>
      <c r="M44" s="80">
        <f t="shared" si="20"/>
        <v>8004754.1999999993</v>
      </c>
      <c r="N44" s="81">
        <f t="shared" si="20"/>
        <v>5806248.4999999991</v>
      </c>
      <c r="O44" s="81">
        <f t="shared" si="20"/>
        <v>2198505.6999999997</v>
      </c>
      <c r="P44" s="80">
        <f t="shared" si="20"/>
        <v>6373819.1999999993</v>
      </c>
      <c r="Q44" s="81">
        <f t="shared" si="20"/>
        <v>4405658.6999999993</v>
      </c>
      <c r="R44" s="90">
        <f t="shared" si="20"/>
        <v>1968160.5</v>
      </c>
      <c r="S44" s="133">
        <f t="shared" si="20"/>
        <v>7845016.0199999996</v>
      </c>
      <c r="T44" s="134">
        <f t="shared" si="20"/>
        <v>5711295.7200000007</v>
      </c>
      <c r="U44" s="135">
        <f t="shared" si="20"/>
        <v>2133720.2999999998</v>
      </c>
      <c r="V44" s="94">
        <f t="shared" si="20"/>
        <v>7845016.0699999994</v>
      </c>
      <c r="W44" s="81">
        <f t="shared" si="20"/>
        <v>5711295.7700000005</v>
      </c>
      <c r="X44" s="81">
        <f t="shared" si="20"/>
        <v>2133720.2999999998</v>
      </c>
      <c r="Y44" s="80">
        <f t="shared" si="5"/>
        <v>123.0818724823572</v>
      </c>
      <c r="Z44" s="81">
        <f t="shared" si="5"/>
        <v>129.63545542009422</v>
      </c>
      <c r="AA44" s="81">
        <f t="shared" si="5"/>
        <v>108.411905431493</v>
      </c>
      <c r="AB44" s="80">
        <f t="shared" si="6"/>
        <v>98.004458650335579</v>
      </c>
      <c r="AC44" s="81">
        <f t="shared" si="6"/>
        <v>98.364644916592908</v>
      </c>
      <c r="AD44" s="14">
        <f t="shared" si="6"/>
        <v>97.053207549109388</v>
      </c>
      <c r="AE44" s="204"/>
    </row>
    <row r="45" spans="1:31" ht="171" customHeight="1" x14ac:dyDescent="0.3">
      <c r="B45" s="280" t="s">
        <v>15</v>
      </c>
      <c r="C45" s="281"/>
      <c r="D45" s="281"/>
      <c r="E45" s="281"/>
      <c r="F45" s="281"/>
      <c r="G45" s="281"/>
      <c r="H45" s="281"/>
      <c r="I45" s="281"/>
      <c r="J45" s="82">
        <f>J33+J35+J38+J42+J43</f>
        <v>219218.2</v>
      </c>
      <c r="K45" s="83">
        <f t="shared" ref="K45:X45" si="21">K33+K35+K38+K42+K43</f>
        <v>41378.200000000004</v>
      </c>
      <c r="L45" s="83">
        <f t="shared" si="21"/>
        <v>177839.99999999997</v>
      </c>
      <c r="M45" s="82">
        <f t="shared" si="21"/>
        <v>320874.09999999998</v>
      </c>
      <c r="N45" s="83">
        <f t="shared" si="21"/>
        <v>111807.2</v>
      </c>
      <c r="O45" s="83">
        <f t="shared" si="21"/>
        <v>209066.9</v>
      </c>
      <c r="P45" s="82">
        <f t="shared" si="21"/>
        <v>272651.3</v>
      </c>
      <c r="Q45" s="83">
        <f t="shared" si="21"/>
        <v>111764.7</v>
      </c>
      <c r="R45" s="85">
        <f t="shared" si="21"/>
        <v>160886.6</v>
      </c>
      <c r="S45" s="138">
        <f t="shared" si="21"/>
        <v>308601.42000000004</v>
      </c>
      <c r="T45" s="139">
        <f t="shared" si="21"/>
        <v>107501.92000000001</v>
      </c>
      <c r="U45" s="140">
        <f t="shared" si="21"/>
        <v>201099.5</v>
      </c>
      <c r="V45" s="84">
        <f t="shared" si="21"/>
        <v>308601.47000000003</v>
      </c>
      <c r="W45" s="83">
        <f t="shared" si="21"/>
        <v>107501.97</v>
      </c>
      <c r="X45" s="83">
        <f t="shared" si="21"/>
        <v>201099.5</v>
      </c>
      <c r="Y45" s="82">
        <f t="shared" si="5"/>
        <v>113.18538367504576</v>
      </c>
      <c r="Z45" s="83">
        <f t="shared" si="5"/>
        <v>96.185933483470194</v>
      </c>
      <c r="AA45" s="83">
        <f t="shared" si="5"/>
        <v>124.99456138671586</v>
      </c>
      <c r="AB45" s="82">
        <f t="shared" si="6"/>
        <v>96.175235084414751</v>
      </c>
      <c r="AC45" s="83">
        <f t="shared" si="6"/>
        <v>96.149371417940898</v>
      </c>
      <c r="AD45" s="23">
        <f t="shared" si="6"/>
        <v>96.189066753273707</v>
      </c>
      <c r="AE45" s="208"/>
    </row>
    <row r="46" spans="1:31" ht="165.75" customHeight="1" thickBot="1" x14ac:dyDescent="0.35">
      <c r="B46" s="282" t="s">
        <v>16</v>
      </c>
      <c r="C46" s="283"/>
      <c r="D46" s="283"/>
      <c r="E46" s="283"/>
      <c r="F46" s="283"/>
      <c r="G46" s="283"/>
      <c r="H46" s="283"/>
      <c r="I46" s="283"/>
      <c r="J46" s="98">
        <f>J44-J45</f>
        <v>9650791.2000000011</v>
      </c>
      <c r="K46" s="99">
        <f t="shared" ref="K46:X46" si="22">K44-K45</f>
        <v>7440605</v>
      </c>
      <c r="L46" s="99">
        <f t="shared" si="22"/>
        <v>2210186.1999999997</v>
      </c>
      <c r="M46" s="98">
        <f t="shared" si="22"/>
        <v>7683880.0999999996</v>
      </c>
      <c r="N46" s="99">
        <f t="shared" si="22"/>
        <v>5694441.2999999989</v>
      </c>
      <c r="O46" s="99">
        <f t="shared" si="22"/>
        <v>1989438.7999999998</v>
      </c>
      <c r="P46" s="98">
        <f t="shared" si="22"/>
        <v>6101167.8999999994</v>
      </c>
      <c r="Q46" s="99">
        <f t="shared" si="22"/>
        <v>4293893.9999999991</v>
      </c>
      <c r="R46" s="100">
        <f t="shared" si="22"/>
        <v>1807273.9</v>
      </c>
      <c r="S46" s="142">
        <f t="shared" si="22"/>
        <v>7536414.5999999996</v>
      </c>
      <c r="T46" s="143">
        <f t="shared" si="22"/>
        <v>5603793.8000000007</v>
      </c>
      <c r="U46" s="144">
        <f t="shared" si="22"/>
        <v>1932620.7999999998</v>
      </c>
      <c r="V46" s="104">
        <f t="shared" si="22"/>
        <v>7536414.5999999996</v>
      </c>
      <c r="W46" s="99">
        <f t="shared" si="22"/>
        <v>5603793.8000000007</v>
      </c>
      <c r="X46" s="99">
        <f t="shared" si="22"/>
        <v>1932620.7999999998</v>
      </c>
      <c r="Y46" s="98">
        <f t="shared" si="5"/>
        <v>123.52413051933877</v>
      </c>
      <c r="Z46" s="99">
        <f t="shared" si="5"/>
        <v>130.50610471520727</v>
      </c>
      <c r="AA46" s="99">
        <f t="shared" si="5"/>
        <v>106.93568916144918</v>
      </c>
      <c r="AB46" s="98">
        <f t="shared" si="6"/>
        <v>98.080845899716735</v>
      </c>
      <c r="AC46" s="99">
        <f t="shared" si="6"/>
        <v>98.408140584397657</v>
      </c>
      <c r="AD46" s="25">
        <f t="shared" si="6"/>
        <v>97.144018705174545</v>
      </c>
      <c r="AE46" s="209"/>
    </row>
    <row r="47" spans="1:31" ht="63" customHeight="1" thickBot="1" x14ac:dyDescent="0.3">
      <c r="B47" s="284" t="s">
        <v>228</v>
      </c>
      <c r="C47" s="285"/>
      <c r="D47" s="285"/>
      <c r="E47" s="285"/>
      <c r="F47" s="285"/>
      <c r="G47" s="285"/>
      <c r="H47" s="285"/>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6"/>
    </row>
    <row r="48" spans="1:31" ht="276.75" customHeight="1" x14ac:dyDescent="0.25">
      <c r="B48" s="38">
        <v>28</v>
      </c>
      <c r="C48" s="287">
        <v>1049</v>
      </c>
      <c r="D48" s="39">
        <v>11007</v>
      </c>
      <c r="E48" s="40" t="s">
        <v>36</v>
      </c>
      <c r="F48" s="333" t="s">
        <v>69</v>
      </c>
      <c r="G48" s="288" t="s">
        <v>296</v>
      </c>
      <c r="H48" s="326" t="s">
        <v>256</v>
      </c>
      <c r="I48" s="105" t="s">
        <v>336</v>
      </c>
      <c r="J48" s="64">
        <f t="shared" si="10"/>
        <v>124860.2</v>
      </c>
      <c r="K48" s="65">
        <v>121680.2</v>
      </c>
      <c r="L48" s="15">
        <v>3180</v>
      </c>
      <c r="M48" s="62">
        <f t="shared" si="11"/>
        <v>134505.20000000001</v>
      </c>
      <c r="N48" s="15">
        <f>121680.2+10415</f>
        <v>132095.20000000001</v>
      </c>
      <c r="O48" s="15">
        <f>3180-770</f>
        <v>2410</v>
      </c>
      <c r="P48" s="62">
        <f t="shared" ref="P48:P65" si="23">Q48+R48</f>
        <v>124090.2</v>
      </c>
      <c r="Q48" s="15">
        <f>121680.2</f>
        <v>121680.2</v>
      </c>
      <c r="R48" s="203">
        <f>3180-770</f>
        <v>2410</v>
      </c>
      <c r="S48" s="259">
        <f t="shared" si="13"/>
        <v>130085.8</v>
      </c>
      <c r="T48" s="260">
        <v>128487.3</v>
      </c>
      <c r="U48" s="261">
        <v>1598.5</v>
      </c>
      <c r="V48" s="131">
        <f t="shared" si="14"/>
        <v>130085.8</v>
      </c>
      <c r="W48" s="15">
        <v>128487.3</v>
      </c>
      <c r="X48" s="15">
        <v>1598.5</v>
      </c>
      <c r="Y48" s="64">
        <f t="shared" si="5"/>
        <v>104.83164665702853</v>
      </c>
      <c r="Z48" s="65">
        <f t="shared" si="5"/>
        <v>105.59425444731355</v>
      </c>
      <c r="AA48" s="65">
        <f t="shared" si="5"/>
        <v>66.327800829875514</v>
      </c>
      <c r="AB48" s="64">
        <f t="shared" si="6"/>
        <v>96.714327773201319</v>
      </c>
      <c r="AC48" s="65">
        <f t="shared" si="6"/>
        <v>97.268712262065534</v>
      </c>
      <c r="AD48" s="65">
        <f t="shared" si="6"/>
        <v>66.327800829875514</v>
      </c>
      <c r="AE48" s="191" t="s">
        <v>313</v>
      </c>
    </row>
    <row r="49" spans="2:31" ht="297.75" customHeight="1" x14ac:dyDescent="0.25">
      <c r="B49" s="43">
        <v>29</v>
      </c>
      <c r="C49" s="287"/>
      <c r="D49" s="44">
        <v>21004</v>
      </c>
      <c r="E49" s="29" t="s">
        <v>149</v>
      </c>
      <c r="F49" s="335"/>
      <c r="G49" s="289"/>
      <c r="H49" s="336"/>
      <c r="I49" s="192" t="s">
        <v>257</v>
      </c>
      <c r="J49" s="22">
        <f t="shared" si="10"/>
        <v>512330.4</v>
      </c>
      <c r="K49" s="19">
        <v>426853.7</v>
      </c>
      <c r="L49" s="19">
        <v>85476.7</v>
      </c>
      <c r="M49" s="20">
        <f t="shared" si="11"/>
        <v>477330.39999999997</v>
      </c>
      <c r="N49" s="19">
        <f>426853.7+120000-130000</f>
        <v>416853.69999999995</v>
      </c>
      <c r="O49" s="19">
        <f>85476.7-10000-15000</f>
        <v>60476.7</v>
      </c>
      <c r="P49" s="20">
        <f t="shared" si="23"/>
        <v>622330.39999999991</v>
      </c>
      <c r="Q49" s="19">
        <f>426853.7+120000</f>
        <v>546853.69999999995</v>
      </c>
      <c r="R49" s="201">
        <f>85476.7-10000</f>
        <v>75476.7</v>
      </c>
      <c r="S49" s="222">
        <f t="shared" si="13"/>
        <v>463903.5</v>
      </c>
      <c r="T49" s="254">
        <v>405935.3</v>
      </c>
      <c r="U49" s="255">
        <v>57968.2</v>
      </c>
      <c r="V49" s="24">
        <f t="shared" si="14"/>
        <v>463903.5</v>
      </c>
      <c r="W49" s="23">
        <v>405935.3</v>
      </c>
      <c r="X49" s="23">
        <v>57968.2</v>
      </c>
      <c r="Y49" s="22">
        <f t="shared" si="5"/>
        <v>74.542959816843279</v>
      </c>
      <c r="Z49" s="23">
        <f t="shared" si="5"/>
        <v>74.231060336612884</v>
      </c>
      <c r="AA49" s="23">
        <f t="shared" si="5"/>
        <v>76.802774896093766</v>
      </c>
      <c r="AB49" s="22">
        <f t="shared" si="6"/>
        <v>97.187084669235404</v>
      </c>
      <c r="AC49" s="23">
        <f t="shared" si="6"/>
        <v>97.380759724574844</v>
      </c>
      <c r="AD49" s="23">
        <f t="shared" si="6"/>
        <v>95.852121560865584</v>
      </c>
      <c r="AE49" s="191" t="s">
        <v>313</v>
      </c>
    </row>
    <row r="50" spans="2:31" ht="234" customHeight="1" x14ac:dyDescent="0.25">
      <c r="B50" s="31">
        <v>30</v>
      </c>
      <c r="C50" s="287"/>
      <c r="D50" s="44">
        <v>11009</v>
      </c>
      <c r="E50" s="79" t="s">
        <v>150</v>
      </c>
      <c r="F50" s="335" t="s">
        <v>70</v>
      </c>
      <c r="G50" s="334" t="s">
        <v>297</v>
      </c>
      <c r="H50" s="48" t="s">
        <v>71</v>
      </c>
      <c r="I50" s="48" t="s">
        <v>304</v>
      </c>
      <c r="J50" s="20">
        <f t="shared" si="10"/>
        <v>12000</v>
      </c>
      <c r="K50" s="19">
        <v>8000</v>
      </c>
      <c r="L50" s="19">
        <v>4000</v>
      </c>
      <c r="M50" s="20">
        <f t="shared" si="11"/>
        <v>521150</v>
      </c>
      <c r="N50" s="19">
        <f>8000-5300</f>
        <v>2700</v>
      </c>
      <c r="O50" s="19">
        <f>4000+1950+407500+105000</f>
        <v>518450</v>
      </c>
      <c r="P50" s="20">
        <f t="shared" si="23"/>
        <v>425350</v>
      </c>
      <c r="Q50" s="19">
        <v>8000</v>
      </c>
      <c r="R50" s="201">
        <f>4000+850+407500+5000</f>
        <v>417350</v>
      </c>
      <c r="S50" s="222">
        <f t="shared" si="13"/>
        <v>521089.4</v>
      </c>
      <c r="T50" s="223">
        <v>2699.5</v>
      </c>
      <c r="U50" s="224">
        <v>518389.9</v>
      </c>
      <c r="V50" s="67">
        <f t="shared" si="14"/>
        <v>521089.4</v>
      </c>
      <c r="W50" s="23">
        <v>2699.5</v>
      </c>
      <c r="X50" s="23">
        <v>518389.9</v>
      </c>
      <c r="Y50" s="22">
        <f t="shared" si="5"/>
        <v>122.50838133301987</v>
      </c>
      <c r="Z50" s="23">
        <f t="shared" si="5"/>
        <v>33.743749999999999</v>
      </c>
      <c r="AA50" s="23">
        <f t="shared" si="5"/>
        <v>124.20987181023122</v>
      </c>
      <c r="AB50" s="22">
        <f t="shared" si="6"/>
        <v>99.988371869903105</v>
      </c>
      <c r="AC50" s="23">
        <f t="shared" si="6"/>
        <v>99.981481481481481</v>
      </c>
      <c r="AD50" s="23">
        <f t="shared" si="6"/>
        <v>99.988407753881773</v>
      </c>
      <c r="AE50" s="191" t="s">
        <v>116</v>
      </c>
    </row>
    <row r="51" spans="2:31" ht="228.75" customHeight="1" x14ac:dyDescent="0.25">
      <c r="B51" s="43">
        <v>31</v>
      </c>
      <c r="C51" s="287"/>
      <c r="D51" s="44">
        <v>21006</v>
      </c>
      <c r="E51" s="29" t="s">
        <v>151</v>
      </c>
      <c r="F51" s="335"/>
      <c r="G51" s="289"/>
      <c r="H51" s="48" t="s">
        <v>72</v>
      </c>
      <c r="I51" s="45" t="s">
        <v>217</v>
      </c>
      <c r="J51" s="22">
        <f t="shared" si="10"/>
        <v>11071590.899999999</v>
      </c>
      <c r="K51" s="19">
        <v>6563442.5999999996</v>
      </c>
      <c r="L51" s="19">
        <v>4508148.3</v>
      </c>
      <c r="M51" s="20">
        <f t="shared" si="11"/>
        <v>12216590.899999999</v>
      </c>
      <c r="N51" s="19">
        <f>6563442.6+3300000+245000</f>
        <v>10108442.6</v>
      </c>
      <c r="O51" s="19">
        <f>4508148.3-160000-2240000</f>
        <v>2108148.2999999998</v>
      </c>
      <c r="P51" s="20">
        <f t="shared" si="23"/>
        <v>11114402.600000001</v>
      </c>
      <c r="Q51" s="19">
        <f>6165475.9+2700000</f>
        <v>8865475.9000000004</v>
      </c>
      <c r="R51" s="201">
        <f>2408926.7-160000</f>
        <v>2248926.7000000002</v>
      </c>
      <c r="S51" s="222">
        <f t="shared" si="13"/>
        <v>12042377.699999999</v>
      </c>
      <c r="T51" s="223">
        <v>9961859.0999999996</v>
      </c>
      <c r="U51" s="224">
        <v>2080518.6</v>
      </c>
      <c r="V51" s="24">
        <f t="shared" si="14"/>
        <v>12042377.699999999</v>
      </c>
      <c r="W51" s="23">
        <v>9961859.0999999996</v>
      </c>
      <c r="X51" s="23">
        <v>2080518.6</v>
      </c>
      <c r="Y51" s="22">
        <f t="shared" si="5"/>
        <v>108.34930255270758</v>
      </c>
      <c r="Z51" s="23">
        <f t="shared" si="5"/>
        <v>112.3668848955982</v>
      </c>
      <c r="AA51" s="19">
        <f t="shared" si="5"/>
        <v>92.511623433524974</v>
      </c>
      <c r="AB51" s="22">
        <f t="shared" si="6"/>
        <v>98.573962233604789</v>
      </c>
      <c r="AC51" s="23">
        <f t="shared" si="6"/>
        <v>98.54989036590068</v>
      </c>
      <c r="AD51" s="23">
        <f t="shared" si="6"/>
        <v>98.689385371987356</v>
      </c>
      <c r="AE51" s="191" t="s">
        <v>313</v>
      </c>
    </row>
    <row r="52" spans="2:31" ht="342" customHeight="1" x14ac:dyDescent="0.25">
      <c r="B52" s="43">
        <v>32</v>
      </c>
      <c r="C52" s="287"/>
      <c r="D52" s="32">
        <v>21007</v>
      </c>
      <c r="E52" s="29" t="s">
        <v>152</v>
      </c>
      <c r="F52" s="70" t="s">
        <v>190</v>
      </c>
      <c r="G52" s="47" t="s">
        <v>305</v>
      </c>
      <c r="H52" s="47" t="s">
        <v>191</v>
      </c>
      <c r="I52" s="75" t="s">
        <v>295</v>
      </c>
      <c r="J52" s="22">
        <f t="shared" si="10"/>
        <v>631959.60000000009</v>
      </c>
      <c r="K52" s="23">
        <v>564641.30000000005</v>
      </c>
      <c r="L52" s="19">
        <v>67318.3</v>
      </c>
      <c r="M52" s="20">
        <f t="shared" si="11"/>
        <v>645060.60000000009</v>
      </c>
      <c r="N52" s="19">
        <f>564641.3-100000+113101</f>
        <v>577742.30000000005</v>
      </c>
      <c r="O52" s="19">
        <v>67318.3</v>
      </c>
      <c r="P52" s="20">
        <f t="shared" si="23"/>
        <v>531959.60000000009</v>
      </c>
      <c r="Q52" s="19">
        <f>564641.3-100000</f>
        <v>464641.30000000005</v>
      </c>
      <c r="R52" s="201">
        <v>67318.3</v>
      </c>
      <c r="S52" s="222">
        <f t="shared" si="13"/>
        <v>644578</v>
      </c>
      <c r="T52" s="223">
        <v>577742.69999999995</v>
      </c>
      <c r="U52" s="224">
        <v>66835.3</v>
      </c>
      <c r="V52" s="67">
        <f t="shared" si="14"/>
        <v>644578</v>
      </c>
      <c r="W52" s="19">
        <v>577742.69999999995</v>
      </c>
      <c r="X52" s="19">
        <v>66835.3</v>
      </c>
      <c r="Y52" s="20">
        <f t="shared" si="5"/>
        <v>121.17047986350842</v>
      </c>
      <c r="Z52" s="19">
        <f t="shared" si="5"/>
        <v>124.34165882369903</v>
      </c>
      <c r="AA52" s="19">
        <f t="shared" si="5"/>
        <v>99.282513075939221</v>
      </c>
      <c r="AB52" s="20">
        <f t="shared" si="6"/>
        <v>99.925185323673446</v>
      </c>
      <c r="AC52" s="19">
        <f t="shared" si="6"/>
        <v>100.00006923502052</v>
      </c>
      <c r="AD52" s="19">
        <f t="shared" si="6"/>
        <v>99.282513075939221</v>
      </c>
      <c r="AE52" s="191" t="s">
        <v>116</v>
      </c>
    </row>
    <row r="53" spans="2:31" ht="237.75" customHeight="1" x14ac:dyDescent="0.25">
      <c r="B53" s="43">
        <v>33</v>
      </c>
      <c r="C53" s="287"/>
      <c r="D53" s="44">
        <v>21008</v>
      </c>
      <c r="E53" s="29" t="s">
        <v>153</v>
      </c>
      <c r="F53" s="46" t="s">
        <v>196</v>
      </c>
      <c r="G53" s="75" t="s">
        <v>333</v>
      </c>
      <c r="H53" s="48" t="s">
        <v>197</v>
      </c>
      <c r="I53" s="110" t="s">
        <v>254</v>
      </c>
      <c r="J53" s="22">
        <f t="shared" si="10"/>
        <v>142084.9</v>
      </c>
      <c r="K53" s="19">
        <v>106563.7</v>
      </c>
      <c r="L53" s="19">
        <v>35521.199999999997</v>
      </c>
      <c r="M53" s="20">
        <f t="shared" si="11"/>
        <v>142084.9</v>
      </c>
      <c r="N53" s="19">
        <v>106563.7</v>
      </c>
      <c r="O53" s="19">
        <v>35521.199999999997</v>
      </c>
      <c r="P53" s="20">
        <f t="shared" si="23"/>
        <v>142084.9</v>
      </c>
      <c r="Q53" s="19">
        <v>106563.7</v>
      </c>
      <c r="R53" s="201">
        <v>35521.199999999997</v>
      </c>
      <c r="S53" s="222">
        <f t="shared" si="13"/>
        <v>80975.299999999988</v>
      </c>
      <c r="T53" s="223">
        <v>68111.899999999994</v>
      </c>
      <c r="U53" s="224">
        <v>12863.4</v>
      </c>
      <c r="V53" s="67">
        <f t="shared" si="14"/>
        <v>80975.299999999988</v>
      </c>
      <c r="W53" s="19">
        <v>68111.899999999994</v>
      </c>
      <c r="X53" s="19">
        <v>12863.4</v>
      </c>
      <c r="Y53" s="20">
        <f t="shared" si="5"/>
        <v>56.990785086944499</v>
      </c>
      <c r="Z53" s="19">
        <f t="shared" si="5"/>
        <v>63.916605748486575</v>
      </c>
      <c r="AA53" s="19">
        <f t="shared" si="5"/>
        <v>36.213303604607958</v>
      </c>
      <c r="AB53" s="20">
        <f t="shared" si="6"/>
        <v>56.990785086944499</v>
      </c>
      <c r="AC53" s="19">
        <f t="shared" si="6"/>
        <v>63.916605748486575</v>
      </c>
      <c r="AD53" s="19">
        <f t="shared" si="6"/>
        <v>36.213303604607958</v>
      </c>
      <c r="AE53" s="248" t="s">
        <v>334</v>
      </c>
    </row>
    <row r="54" spans="2:31" ht="259.5" customHeight="1" x14ac:dyDescent="0.25">
      <c r="B54" s="31">
        <v>34</v>
      </c>
      <c r="C54" s="287"/>
      <c r="D54" s="44">
        <v>11011</v>
      </c>
      <c r="E54" s="79" t="s">
        <v>154</v>
      </c>
      <c r="F54" s="335" t="s">
        <v>73</v>
      </c>
      <c r="G54" s="334" t="s">
        <v>298</v>
      </c>
      <c r="H54" s="48" t="s">
        <v>74</v>
      </c>
      <c r="I54" s="42" t="s">
        <v>337</v>
      </c>
      <c r="J54" s="20">
        <f t="shared" si="10"/>
        <v>296141.2</v>
      </c>
      <c r="K54" s="19">
        <v>284092.79999999999</v>
      </c>
      <c r="L54" s="19">
        <v>12048.4</v>
      </c>
      <c r="M54" s="20">
        <f t="shared" si="11"/>
        <v>276245.89999999997</v>
      </c>
      <c r="N54" s="19">
        <f>284092.8-15000</f>
        <v>269092.8</v>
      </c>
      <c r="O54" s="19">
        <f>12048.4-1950-2000-945.3</f>
        <v>7153.0999999999995</v>
      </c>
      <c r="P54" s="20">
        <f t="shared" si="23"/>
        <v>278280.39999999997</v>
      </c>
      <c r="Q54" s="19">
        <v>271963.09999999998</v>
      </c>
      <c r="R54" s="201">
        <f>9167.3-850-2000</f>
        <v>6317.2999999999993</v>
      </c>
      <c r="S54" s="222">
        <f t="shared" si="13"/>
        <v>245691.4</v>
      </c>
      <c r="T54" s="223">
        <v>240852.3</v>
      </c>
      <c r="U54" s="224">
        <v>4839.1000000000004</v>
      </c>
      <c r="V54" s="67">
        <f t="shared" si="14"/>
        <v>245691.4</v>
      </c>
      <c r="W54" s="19">
        <v>240852.3</v>
      </c>
      <c r="X54" s="19">
        <v>4839.1000000000004</v>
      </c>
      <c r="Y54" s="20">
        <f t="shared" si="5"/>
        <v>88.289150080278745</v>
      </c>
      <c r="Z54" s="19">
        <f t="shared" si="5"/>
        <v>88.560654000487574</v>
      </c>
      <c r="AA54" s="19">
        <f t="shared" si="5"/>
        <v>76.600762984186304</v>
      </c>
      <c r="AB54" s="20">
        <f t="shared" si="6"/>
        <v>88.939383353743906</v>
      </c>
      <c r="AC54" s="23">
        <f t="shared" si="6"/>
        <v>89.505293341181925</v>
      </c>
      <c r="AD54" s="23">
        <f t="shared" si="6"/>
        <v>67.650389341684033</v>
      </c>
      <c r="AE54" s="191" t="s">
        <v>335</v>
      </c>
    </row>
    <row r="55" spans="2:31" ht="264.75" customHeight="1" x14ac:dyDescent="0.25">
      <c r="B55" s="43">
        <v>35</v>
      </c>
      <c r="C55" s="287"/>
      <c r="D55" s="44">
        <v>21011</v>
      </c>
      <c r="E55" s="29" t="s">
        <v>37</v>
      </c>
      <c r="F55" s="335"/>
      <c r="G55" s="289"/>
      <c r="H55" s="48" t="s">
        <v>113</v>
      </c>
      <c r="I55" s="42" t="s">
        <v>299</v>
      </c>
      <c r="J55" s="20">
        <f t="shared" si="10"/>
        <v>7570160.3999999994</v>
      </c>
      <c r="K55" s="19">
        <v>6035850.0999999996</v>
      </c>
      <c r="L55" s="19">
        <v>1534310.3</v>
      </c>
      <c r="M55" s="20">
        <f t="shared" si="11"/>
        <v>7590160.3999999994</v>
      </c>
      <c r="N55" s="19">
        <f>6035850.1+455000-233000</f>
        <v>6257850.0999999996</v>
      </c>
      <c r="O55" s="19">
        <f>1534310.3-202000</f>
        <v>1332310.3</v>
      </c>
      <c r="P55" s="20">
        <f t="shared" si="23"/>
        <v>5469143.5999999996</v>
      </c>
      <c r="Q55" s="19">
        <v>4335001</v>
      </c>
      <c r="R55" s="201">
        <v>1134142.6000000001</v>
      </c>
      <c r="S55" s="222">
        <f t="shared" si="13"/>
        <v>7396871.7000000002</v>
      </c>
      <c r="T55" s="223">
        <v>6103587.5</v>
      </c>
      <c r="U55" s="224">
        <v>1293284.2</v>
      </c>
      <c r="V55" s="67">
        <f t="shared" si="14"/>
        <v>7396871.7000000002</v>
      </c>
      <c r="W55" s="19">
        <v>6103587.5</v>
      </c>
      <c r="X55" s="19">
        <v>1293284.2</v>
      </c>
      <c r="Y55" s="20">
        <f t="shared" si="5"/>
        <v>135.24734841484141</v>
      </c>
      <c r="Z55" s="23">
        <f t="shared" si="5"/>
        <v>140.7978337259899</v>
      </c>
      <c r="AA55" s="23">
        <f t="shared" si="5"/>
        <v>114.0318862901367</v>
      </c>
      <c r="AB55" s="22">
        <f t="shared" si="6"/>
        <v>97.453430628422566</v>
      </c>
      <c r="AC55" s="23">
        <f t="shared" si="6"/>
        <v>97.534894611809264</v>
      </c>
      <c r="AD55" s="23">
        <f t="shared" si="6"/>
        <v>97.070794994229189</v>
      </c>
      <c r="AE55" s="191" t="s">
        <v>362</v>
      </c>
    </row>
    <row r="56" spans="2:31" ht="243.75" customHeight="1" x14ac:dyDescent="0.25">
      <c r="B56" s="31">
        <v>36</v>
      </c>
      <c r="C56" s="287"/>
      <c r="D56" s="44">
        <v>11012</v>
      </c>
      <c r="E56" s="29" t="s">
        <v>155</v>
      </c>
      <c r="F56" s="335" t="s">
        <v>75</v>
      </c>
      <c r="G56" s="325" t="s">
        <v>118</v>
      </c>
      <c r="H56" s="337" t="s">
        <v>76</v>
      </c>
      <c r="I56" s="29" t="s">
        <v>338</v>
      </c>
      <c r="J56" s="22">
        <f t="shared" si="10"/>
        <v>1066280</v>
      </c>
      <c r="K56" s="19">
        <v>196031</v>
      </c>
      <c r="L56" s="19">
        <v>870249</v>
      </c>
      <c r="M56" s="20">
        <f t="shared" si="11"/>
        <v>4298080.3</v>
      </c>
      <c r="N56" s="19">
        <f>196031-25000</f>
        <v>171031</v>
      </c>
      <c r="O56" s="19">
        <f>870249+320000+2931000+2770+3030.3</f>
        <v>4127049.3</v>
      </c>
      <c r="P56" s="20">
        <f t="shared" si="23"/>
        <v>4251080.3</v>
      </c>
      <c r="Q56" s="19">
        <v>147285.70000000001</v>
      </c>
      <c r="R56" s="201">
        <f>850024.6+320000+2931000+2770</f>
        <v>4103794.6</v>
      </c>
      <c r="S56" s="222">
        <f t="shared" si="13"/>
        <v>4267472.8</v>
      </c>
      <c r="T56" s="223">
        <v>155409.9</v>
      </c>
      <c r="U56" s="224">
        <v>4112062.9</v>
      </c>
      <c r="V56" s="67">
        <f t="shared" si="14"/>
        <v>4267472.8</v>
      </c>
      <c r="W56" s="19">
        <v>155409.9</v>
      </c>
      <c r="X56" s="23">
        <v>4112062.9</v>
      </c>
      <c r="Y56" s="22">
        <f t="shared" si="5"/>
        <v>100.38560786537012</v>
      </c>
      <c r="Z56" s="23">
        <f t="shared" si="5"/>
        <v>105.51594621881146</v>
      </c>
      <c r="AA56" s="23">
        <f t="shared" si="5"/>
        <v>100.20147938203338</v>
      </c>
      <c r="AB56" s="22">
        <f t="shared" si="6"/>
        <v>99.287879754131154</v>
      </c>
      <c r="AC56" s="23">
        <f t="shared" si="6"/>
        <v>90.86650958013459</v>
      </c>
      <c r="AD56" s="23">
        <f t="shared" si="6"/>
        <v>99.636873734462057</v>
      </c>
      <c r="AE56" s="191" t="s">
        <v>335</v>
      </c>
    </row>
    <row r="57" spans="2:31" ht="244.5" customHeight="1" x14ac:dyDescent="0.25">
      <c r="B57" s="43">
        <v>37</v>
      </c>
      <c r="C57" s="287"/>
      <c r="D57" s="44">
        <v>21012</v>
      </c>
      <c r="E57" s="29" t="s">
        <v>156</v>
      </c>
      <c r="F57" s="335"/>
      <c r="G57" s="326"/>
      <c r="H57" s="337"/>
      <c r="I57" s="29" t="s">
        <v>198</v>
      </c>
      <c r="J57" s="22">
        <f t="shared" si="10"/>
        <v>13830833.4</v>
      </c>
      <c r="K57" s="19">
        <v>11300649.4</v>
      </c>
      <c r="L57" s="19">
        <v>2530184</v>
      </c>
      <c r="M57" s="20">
        <f t="shared" si="11"/>
        <v>6997497.5</v>
      </c>
      <c r="N57" s="19">
        <f>11300649.4-120000-2700000-2725000</f>
        <v>5755649.4000000004</v>
      </c>
      <c r="O57" s="19">
        <f>2530184-172000-400000-505000-49335.9-162000</f>
        <v>1241848.1000000001</v>
      </c>
      <c r="P57" s="20">
        <f t="shared" si="23"/>
        <v>5397380</v>
      </c>
      <c r="Q57" s="19">
        <f>6933488-120000-2700000</f>
        <v>4113488</v>
      </c>
      <c r="R57" s="201">
        <f>1855892-172000-400000</f>
        <v>1283892</v>
      </c>
      <c r="S57" s="222">
        <f t="shared" si="13"/>
        <v>6744476.1999999993</v>
      </c>
      <c r="T57" s="223">
        <v>5516941.7999999998</v>
      </c>
      <c r="U57" s="224">
        <v>1227534.3999999999</v>
      </c>
      <c r="V57" s="67">
        <f t="shared" si="14"/>
        <v>6744476.1999999993</v>
      </c>
      <c r="W57" s="19">
        <v>5516941.7999999998</v>
      </c>
      <c r="X57" s="19">
        <v>1227534.3999999999</v>
      </c>
      <c r="Y57" s="22">
        <f t="shared" si="5"/>
        <v>124.95833534048001</v>
      </c>
      <c r="Z57" s="23">
        <f t="shared" si="5"/>
        <v>134.11833947248661</v>
      </c>
      <c r="AA57" s="23">
        <f t="shared" si="5"/>
        <v>95.610409598315115</v>
      </c>
      <c r="AB57" s="22">
        <f t="shared" si="6"/>
        <v>96.384117321942583</v>
      </c>
      <c r="AC57" s="23">
        <f t="shared" si="6"/>
        <v>95.852638279183566</v>
      </c>
      <c r="AD57" s="23">
        <f t="shared" si="6"/>
        <v>98.847387212655065</v>
      </c>
      <c r="AE57" s="191" t="s">
        <v>362</v>
      </c>
    </row>
    <row r="58" spans="2:31" ht="276.75" customHeight="1" x14ac:dyDescent="0.25">
      <c r="B58" s="31">
        <v>38</v>
      </c>
      <c r="C58" s="287"/>
      <c r="D58" s="44">
        <v>11015</v>
      </c>
      <c r="E58" s="79" t="s">
        <v>157</v>
      </c>
      <c r="F58" s="335" t="s">
        <v>77</v>
      </c>
      <c r="G58" s="334" t="s">
        <v>300</v>
      </c>
      <c r="H58" s="48" t="s">
        <v>79</v>
      </c>
      <c r="I58" s="45" t="s">
        <v>353</v>
      </c>
      <c r="J58" s="20">
        <f t="shared" si="10"/>
        <v>338.5</v>
      </c>
      <c r="K58" s="19">
        <v>0</v>
      </c>
      <c r="L58" s="19">
        <v>338.5</v>
      </c>
      <c r="M58" s="20">
        <f t="shared" si="11"/>
        <v>338.5</v>
      </c>
      <c r="N58" s="19">
        <v>0</v>
      </c>
      <c r="O58" s="19">
        <v>338.5</v>
      </c>
      <c r="P58" s="22">
        <f t="shared" si="23"/>
        <v>338.5</v>
      </c>
      <c r="Q58" s="23">
        <v>0</v>
      </c>
      <c r="R58" s="199">
        <v>338.5</v>
      </c>
      <c r="S58" s="253">
        <f t="shared" si="13"/>
        <v>338.5</v>
      </c>
      <c r="T58" s="254">
        <v>0</v>
      </c>
      <c r="U58" s="255">
        <v>338.5</v>
      </c>
      <c r="V58" s="24">
        <f t="shared" si="14"/>
        <v>338.5</v>
      </c>
      <c r="W58" s="23">
        <v>0</v>
      </c>
      <c r="X58" s="23">
        <v>338.5</v>
      </c>
      <c r="Y58" s="22">
        <f t="shared" si="5"/>
        <v>100</v>
      </c>
      <c r="Z58" s="23" t="e">
        <f t="shared" si="5"/>
        <v>#DIV/0!</v>
      </c>
      <c r="AA58" s="23">
        <f t="shared" si="5"/>
        <v>100</v>
      </c>
      <c r="AB58" s="22">
        <f t="shared" si="6"/>
        <v>100</v>
      </c>
      <c r="AC58" s="23">
        <v>0</v>
      </c>
      <c r="AD58" s="23">
        <f t="shared" si="6"/>
        <v>100</v>
      </c>
      <c r="AE58" s="248" t="s">
        <v>116</v>
      </c>
    </row>
    <row r="59" spans="2:31" ht="272.25" customHeight="1" x14ac:dyDescent="0.25">
      <c r="B59" s="120">
        <v>39</v>
      </c>
      <c r="C59" s="287"/>
      <c r="D59" s="44">
        <v>21009</v>
      </c>
      <c r="E59" s="29" t="s">
        <v>158</v>
      </c>
      <c r="F59" s="335"/>
      <c r="G59" s="289"/>
      <c r="H59" s="48" t="s">
        <v>78</v>
      </c>
      <c r="I59" s="45" t="s">
        <v>247</v>
      </c>
      <c r="J59" s="20">
        <f t="shared" si="10"/>
        <v>3616569.4</v>
      </c>
      <c r="K59" s="19">
        <v>3013808</v>
      </c>
      <c r="L59" s="19">
        <v>602761.4</v>
      </c>
      <c r="M59" s="20">
        <f t="shared" si="11"/>
        <v>1683569.4</v>
      </c>
      <c r="N59" s="19">
        <f>3013808-2213000</f>
        <v>800808</v>
      </c>
      <c r="O59" s="19">
        <f>602761.4+370000-90000</f>
        <v>882761.4</v>
      </c>
      <c r="P59" s="20">
        <f t="shared" si="23"/>
        <v>3344591.0999999996</v>
      </c>
      <c r="Q59" s="19">
        <v>2476025.4</v>
      </c>
      <c r="R59" s="201">
        <f>498565.7+370000</f>
        <v>868565.7</v>
      </c>
      <c r="S59" s="222">
        <f t="shared" si="13"/>
        <v>1615396.9</v>
      </c>
      <c r="T59" s="223">
        <v>735015.7</v>
      </c>
      <c r="U59" s="224">
        <v>880381.2</v>
      </c>
      <c r="V59" s="67">
        <f t="shared" si="14"/>
        <v>1615396.9</v>
      </c>
      <c r="W59" s="19">
        <v>735015.7</v>
      </c>
      <c r="X59" s="19">
        <v>880381.2</v>
      </c>
      <c r="Y59" s="20">
        <f t="shared" si="5"/>
        <v>48.298786060873034</v>
      </c>
      <c r="Z59" s="19">
        <f t="shared" si="5"/>
        <v>29.68530532845099</v>
      </c>
      <c r="AA59" s="19">
        <f t="shared" si="5"/>
        <v>101.36034614307243</v>
      </c>
      <c r="AB59" s="22">
        <f t="shared" si="6"/>
        <v>95.950716376764746</v>
      </c>
      <c r="AC59" s="23">
        <f t="shared" si="6"/>
        <v>91.784260396999031</v>
      </c>
      <c r="AD59" s="23">
        <f t="shared" si="6"/>
        <v>99.730368817666914</v>
      </c>
      <c r="AE59" s="191" t="s">
        <v>362</v>
      </c>
    </row>
    <row r="60" spans="2:31" ht="247.5" customHeight="1" x14ac:dyDescent="0.25">
      <c r="B60" s="31">
        <v>40</v>
      </c>
      <c r="C60" s="287"/>
      <c r="D60" s="44">
        <v>11016</v>
      </c>
      <c r="E60" s="29" t="s">
        <v>38</v>
      </c>
      <c r="F60" s="332" t="s">
        <v>80</v>
      </c>
      <c r="G60" s="325" t="s">
        <v>105</v>
      </c>
      <c r="H60" s="325" t="s">
        <v>81</v>
      </c>
      <c r="I60" s="29" t="s">
        <v>301</v>
      </c>
      <c r="J60" s="20">
        <f t="shared" si="10"/>
        <v>1525000</v>
      </c>
      <c r="K60" s="19">
        <v>10415</v>
      </c>
      <c r="L60" s="19">
        <v>1514585</v>
      </c>
      <c r="M60" s="20">
        <f t="shared" si="11"/>
        <v>628947.9</v>
      </c>
      <c r="N60" s="19">
        <f>10415-10415</f>
        <v>0</v>
      </c>
      <c r="O60" s="19">
        <f>1514585-212500-446407.1-224645-2085</f>
        <v>628947.9</v>
      </c>
      <c r="P60" s="20">
        <f t="shared" si="23"/>
        <v>38488.299999999988</v>
      </c>
      <c r="Q60" s="19">
        <f>10415</f>
        <v>10415</v>
      </c>
      <c r="R60" s="201">
        <f>714585-212500-407812.7-66199</f>
        <v>28073.299999999988</v>
      </c>
      <c r="S60" s="222">
        <f t="shared" si="13"/>
        <v>628947.9</v>
      </c>
      <c r="T60" s="223">
        <v>0</v>
      </c>
      <c r="U60" s="224">
        <v>628947.9</v>
      </c>
      <c r="V60" s="67">
        <f t="shared" si="14"/>
        <v>628947.9</v>
      </c>
      <c r="W60" s="19">
        <v>0</v>
      </c>
      <c r="X60" s="19">
        <v>628947.9</v>
      </c>
      <c r="Y60" s="20">
        <f t="shared" si="5"/>
        <v>1634.1275140757066</v>
      </c>
      <c r="Z60" s="19">
        <f t="shared" si="5"/>
        <v>0</v>
      </c>
      <c r="AA60" s="23">
        <f t="shared" si="5"/>
        <v>2240.3775117282271</v>
      </c>
      <c r="AB60" s="22">
        <f t="shared" si="6"/>
        <v>100</v>
      </c>
      <c r="AC60" s="23">
        <v>0</v>
      </c>
      <c r="AD60" s="23">
        <f t="shared" si="6"/>
        <v>100</v>
      </c>
      <c r="AE60" s="235" t="s">
        <v>116</v>
      </c>
    </row>
    <row r="61" spans="2:31" ht="217.5" customHeight="1" x14ac:dyDescent="0.25">
      <c r="B61" s="120">
        <v>41</v>
      </c>
      <c r="C61" s="287"/>
      <c r="D61" s="44">
        <v>21017</v>
      </c>
      <c r="E61" s="29" t="s">
        <v>159</v>
      </c>
      <c r="F61" s="333"/>
      <c r="G61" s="326"/>
      <c r="H61" s="326"/>
      <c r="I61" s="29" t="s">
        <v>282</v>
      </c>
      <c r="J61" s="22">
        <f t="shared" si="10"/>
        <v>250000</v>
      </c>
      <c r="K61" s="19">
        <v>200000</v>
      </c>
      <c r="L61" s="19">
        <v>50000</v>
      </c>
      <c r="M61" s="20">
        <f t="shared" si="11"/>
        <v>0</v>
      </c>
      <c r="N61" s="19">
        <f>200000-200000</f>
        <v>0</v>
      </c>
      <c r="O61" s="19">
        <f>50000-50000</f>
        <v>0</v>
      </c>
      <c r="P61" s="20">
        <f t="shared" si="23"/>
        <v>0</v>
      </c>
      <c r="Q61" s="23">
        <v>0</v>
      </c>
      <c r="R61" s="199">
        <v>0</v>
      </c>
      <c r="S61" s="253">
        <f t="shared" si="13"/>
        <v>0</v>
      </c>
      <c r="T61" s="254">
        <v>0</v>
      </c>
      <c r="U61" s="255">
        <v>0</v>
      </c>
      <c r="V61" s="24">
        <f t="shared" si="14"/>
        <v>0</v>
      </c>
      <c r="W61" s="23">
        <v>0</v>
      </c>
      <c r="X61" s="23">
        <v>0</v>
      </c>
      <c r="Y61" s="22" t="e">
        <f t="shared" si="5"/>
        <v>#DIV/0!</v>
      </c>
      <c r="Z61" s="23" t="e">
        <f t="shared" si="5"/>
        <v>#DIV/0!</v>
      </c>
      <c r="AA61" s="23" t="e">
        <f t="shared" si="5"/>
        <v>#DIV/0!</v>
      </c>
      <c r="AB61" s="22">
        <v>0</v>
      </c>
      <c r="AC61" s="23">
        <v>0</v>
      </c>
      <c r="AD61" s="23">
        <v>0</v>
      </c>
      <c r="AE61" s="248" t="s">
        <v>283</v>
      </c>
    </row>
    <row r="62" spans="2:31" ht="217.5" customHeight="1" x14ac:dyDescent="0.25">
      <c r="B62" s="51">
        <v>42</v>
      </c>
      <c r="C62" s="287"/>
      <c r="D62" s="28">
        <v>21018</v>
      </c>
      <c r="E62" s="29" t="s">
        <v>160</v>
      </c>
      <c r="F62" s="332" t="s">
        <v>80</v>
      </c>
      <c r="G62" s="334" t="s">
        <v>199</v>
      </c>
      <c r="H62" s="325" t="s">
        <v>81</v>
      </c>
      <c r="I62" s="34" t="s">
        <v>354</v>
      </c>
      <c r="J62" s="22">
        <f t="shared" si="10"/>
        <v>250000</v>
      </c>
      <c r="K62" s="68">
        <v>200000</v>
      </c>
      <c r="L62" s="19">
        <v>50000</v>
      </c>
      <c r="M62" s="20">
        <f t="shared" si="11"/>
        <v>0</v>
      </c>
      <c r="N62" s="19">
        <f>200000-200000</f>
        <v>0</v>
      </c>
      <c r="O62" s="19">
        <f>50000-50000</f>
        <v>0</v>
      </c>
      <c r="P62" s="20">
        <f t="shared" si="23"/>
        <v>0</v>
      </c>
      <c r="Q62" s="23">
        <v>0</v>
      </c>
      <c r="R62" s="200">
        <v>0</v>
      </c>
      <c r="S62" s="253">
        <f t="shared" si="13"/>
        <v>0</v>
      </c>
      <c r="T62" s="217">
        <v>0</v>
      </c>
      <c r="U62" s="218">
        <v>0</v>
      </c>
      <c r="V62" s="24">
        <f t="shared" si="14"/>
        <v>0</v>
      </c>
      <c r="W62" s="17">
        <v>0</v>
      </c>
      <c r="X62" s="17">
        <v>0</v>
      </c>
      <c r="Y62" s="22" t="e">
        <f t="shared" si="5"/>
        <v>#DIV/0!</v>
      </c>
      <c r="Z62" s="17" t="e">
        <f t="shared" si="5"/>
        <v>#DIV/0!</v>
      </c>
      <c r="AA62" s="17" t="e">
        <f t="shared" si="5"/>
        <v>#DIV/0!</v>
      </c>
      <c r="AB62" s="22">
        <v>0</v>
      </c>
      <c r="AC62" s="23">
        <v>0</v>
      </c>
      <c r="AD62" s="23">
        <v>0</v>
      </c>
      <c r="AE62" s="248" t="s">
        <v>283</v>
      </c>
    </row>
    <row r="63" spans="2:31" ht="230.25" customHeight="1" x14ac:dyDescent="0.25">
      <c r="B63" s="78">
        <v>43</v>
      </c>
      <c r="C63" s="287"/>
      <c r="D63" s="28">
        <v>11017</v>
      </c>
      <c r="E63" s="29" t="s">
        <v>161</v>
      </c>
      <c r="F63" s="333"/>
      <c r="G63" s="289"/>
      <c r="H63" s="326"/>
      <c r="I63" s="34" t="s">
        <v>302</v>
      </c>
      <c r="J63" s="16">
        <f t="shared" si="10"/>
        <v>300000</v>
      </c>
      <c r="K63" s="68">
        <v>0</v>
      </c>
      <c r="L63" s="19">
        <v>300000</v>
      </c>
      <c r="M63" s="20">
        <f>N63+O63</f>
        <v>1300584.1000000001</v>
      </c>
      <c r="N63" s="19">
        <f>235456-235456</f>
        <v>0</v>
      </c>
      <c r="O63" s="19">
        <f>300000+1000584.1</f>
        <v>1300584.1000000001</v>
      </c>
      <c r="P63" s="22">
        <f t="shared" si="23"/>
        <v>1300584.1000000001</v>
      </c>
      <c r="Q63" s="23">
        <v>0</v>
      </c>
      <c r="R63" s="200">
        <f>300000+1000584.1</f>
        <v>1300584.1000000001</v>
      </c>
      <c r="S63" s="216">
        <f t="shared" si="13"/>
        <v>1300584.1000000001</v>
      </c>
      <c r="T63" s="217">
        <v>0</v>
      </c>
      <c r="U63" s="218">
        <v>1300584.1000000001</v>
      </c>
      <c r="V63" s="21">
        <f t="shared" si="14"/>
        <v>1300584.1000000001</v>
      </c>
      <c r="W63" s="17">
        <v>0</v>
      </c>
      <c r="X63" s="17">
        <v>1300584.1000000001</v>
      </c>
      <c r="Y63" s="16">
        <f t="shared" si="5"/>
        <v>100</v>
      </c>
      <c r="Z63" s="17" t="e">
        <f t="shared" si="5"/>
        <v>#DIV/0!</v>
      </c>
      <c r="AA63" s="17">
        <f t="shared" si="5"/>
        <v>100</v>
      </c>
      <c r="AB63" s="16">
        <f t="shared" si="6"/>
        <v>100</v>
      </c>
      <c r="AC63" s="17">
        <v>0</v>
      </c>
      <c r="AD63" s="17">
        <f t="shared" si="6"/>
        <v>100</v>
      </c>
      <c r="AE63" s="248" t="s">
        <v>116</v>
      </c>
    </row>
    <row r="64" spans="2:31" ht="221.25" customHeight="1" x14ac:dyDescent="0.25">
      <c r="B64" s="31">
        <v>44</v>
      </c>
      <c r="C64" s="287"/>
      <c r="D64" s="44">
        <v>11020</v>
      </c>
      <c r="E64" s="45" t="s">
        <v>162</v>
      </c>
      <c r="F64" s="335" t="s">
        <v>80</v>
      </c>
      <c r="G64" s="47" t="s">
        <v>200</v>
      </c>
      <c r="H64" s="336" t="s">
        <v>81</v>
      </c>
      <c r="I64" s="45" t="s">
        <v>303</v>
      </c>
      <c r="J64" s="22">
        <f t="shared" si="10"/>
        <v>200000</v>
      </c>
      <c r="K64" s="19">
        <v>0</v>
      </c>
      <c r="L64" s="19">
        <v>200000</v>
      </c>
      <c r="M64" s="20">
        <f>N64+O64</f>
        <v>0</v>
      </c>
      <c r="N64" s="19">
        <v>0</v>
      </c>
      <c r="O64" s="19">
        <f>200000-195000-5000</f>
        <v>0</v>
      </c>
      <c r="P64" s="20">
        <f t="shared" si="23"/>
        <v>0</v>
      </c>
      <c r="Q64" s="19">
        <v>0</v>
      </c>
      <c r="R64" s="19">
        <f>200000-195000-5000</f>
        <v>0</v>
      </c>
      <c r="S64" s="253">
        <f t="shared" si="13"/>
        <v>0</v>
      </c>
      <c r="T64" s="254">
        <v>0</v>
      </c>
      <c r="U64" s="255">
        <v>0</v>
      </c>
      <c r="V64" s="24">
        <f t="shared" si="14"/>
        <v>0</v>
      </c>
      <c r="W64" s="23">
        <v>0</v>
      </c>
      <c r="X64" s="23">
        <v>0</v>
      </c>
      <c r="Y64" s="22" t="e">
        <f t="shared" si="5"/>
        <v>#DIV/0!</v>
      </c>
      <c r="Z64" s="23" t="e">
        <f t="shared" si="5"/>
        <v>#DIV/0!</v>
      </c>
      <c r="AA64" s="23" t="e">
        <f t="shared" si="5"/>
        <v>#DIV/0!</v>
      </c>
      <c r="AB64" s="22">
        <v>0</v>
      </c>
      <c r="AC64" s="23">
        <v>0</v>
      </c>
      <c r="AD64" s="23">
        <v>0</v>
      </c>
      <c r="AE64" s="248" t="s">
        <v>284</v>
      </c>
    </row>
    <row r="65" spans="2:31" ht="241.5" customHeight="1" x14ac:dyDescent="0.25">
      <c r="B65" s="35">
        <v>45</v>
      </c>
      <c r="C65" s="287"/>
      <c r="D65" s="148">
        <v>21021</v>
      </c>
      <c r="E65" s="45" t="s">
        <v>163</v>
      </c>
      <c r="F65" s="335"/>
      <c r="G65" s="47" t="s">
        <v>200</v>
      </c>
      <c r="H65" s="336"/>
      <c r="I65" s="29" t="s">
        <v>270</v>
      </c>
      <c r="J65" s="59">
        <f t="shared" si="10"/>
        <v>200000</v>
      </c>
      <c r="K65" s="61">
        <v>200000</v>
      </c>
      <c r="L65" s="19">
        <v>0</v>
      </c>
      <c r="M65" s="20">
        <f>N65+O65</f>
        <v>0</v>
      </c>
      <c r="N65" s="19">
        <f>200000-200000</f>
        <v>0</v>
      </c>
      <c r="O65" s="19">
        <v>0</v>
      </c>
      <c r="P65" s="20">
        <f t="shared" si="23"/>
        <v>0</v>
      </c>
      <c r="Q65" s="23">
        <v>0</v>
      </c>
      <c r="R65" s="23">
        <v>0</v>
      </c>
      <c r="S65" s="262">
        <f t="shared" si="13"/>
        <v>0</v>
      </c>
      <c r="T65" s="228">
        <v>0</v>
      </c>
      <c r="U65" s="229">
        <v>0</v>
      </c>
      <c r="V65" s="63">
        <f t="shared" si="14"/>
        <v>0</v>
      </c>
      <c r="W65" s="60">
        <v>0</v>
      </c>
      <c r="X65" s="60">
        <v>0</v>
      </c>
      <c r="Y65" s="59" t="e">
        <f t="shared" si="5"/>
        <v>#DIV/0!</v>
      </c>
      <c r="Z65" s="60" t="e">
        <f t="shared" si="5"/>
        <v>#DIV/0!</v>
      </c>
      <c r="AA65" s="60" t="e">
        <f t="shared" si="5"/>
        <v>#DIV/0!</v>
      </c>
      <c r="AB65" s="59">
        <v>0</v>
      </c>
      <c r="AC65" s="17">
        <v>0</v>
      </c>
      <c r="AD65" s="17">
        <v>0</v>
      </c>
      <c r="AE65" s="248" t="s">
        <v>283</v>
      </c>
    </row>
    <row r="66" spans="2:31" ht="294" customHeight="1" thickBot="1" x14ac:dyDescent="0.3">
      <c r="B66" s="26">
        <v>46</v>
      </c>
      <c r="C66" s="287"/>
      <c r="D66" s="32">
        <v>21014</v>
      </c>
      <c r="E66" s="40" t="s">
        <v>211</v>
      </c>
      <c r="F66" s="125" t="s">
        <v>212</v>
      </c>
      <c r="G66" s="197" t="s">
        <v>240</v>
      </c>
      <c r="H66" s="30" t="s">
        <v>213</v>
      </c>
      <c r="I66" s="29" t="s">
        <v>339</v>
      </c>
      <c r="J66" s="16">
        <f t="shared" si="10"/>
        <v>0</v>
      </c>
      <c r="K66" s="68">
        <v>0</v>
      </c>
      <c r="L66" s="68">
        <v>0</v>
      </c>
      <c r="M66" s="18">
        <f>N66+O66</f>
        <v>207955</v>
      </c>
      <c r="N66" s="68">
        <f>100000+55955</f>
        <v>155955</v>
      </c>
      <c r="O66" s="68">
        <f>22000+30000</f>
        <v>52000</v>
      </c>
      <c r="P66" s="18">
        <f t="shared" si="15"/>
        <v>152000</v>
      </c>
      <c r="Q66" s="68">
        <v>100000</v>
      </c>
      <c r="R66" s="69">
        <f>22000+30000</f>
        <v>52000</v>
      </c>
      <c r="S66" s="225">
        <f t="shared" si="13"/>
        <v>292779.5</v>
      </c>
      <c r="T66" s="226">
        <v>241654.6</v>
      </c>
      <c r="U66" s="227">
        <v>51124.9</v>
      </c>
      <c r="V66" s="116">
        <f t="shared" si="14"/>
        <v>292779.5</v>
      </c>
      <c r="W66" s="68">
        <v>241654.6</v>
      </c>
      <c r="X66" s="68">
        <v>51124.9</v>
      </c>
      <c r="Y66" s="16">
        <f t="shared" si="5"/>
        <v>192.61809210526314</v>
      </c>
      <c r="Z66" s="17">
        <f t="shared" si="5"/>
        <v>241.65459999999999</v>
      </c>
      <c r="AA66" s="17">
        <f t="shared" si="5"/>
        <v>98.317115384615377</v>
      </c>
      <c r="AB66" s="16">
        <f t="shared" si="6"/>
        <v>140.78983433915994</v>
      </c>
      <c r="AC66" s="17">
        <f t="shared" si="6"/>
        <v>154.95149241768459</v>
      </c>
      <c r="AD66" s="17">
        <f t="shared" si="6"/>
        <v>98.317115384615377</v>
      </c>
      <c r="AE66" s="248" t="s">
        <v>355</v>
      </c>
    </row>
    <row r="67" spans="2:31" ht="165" customHeight="1" x14ac:dyDescent="0.3">
      <c r="B67" s="278" t="s">
        <v>110</v>
      </c>
      <c r="C67" s="279"/>
      <c r="D67" s="279"/>
      <c r="E67" s="279"/>
      <c r="F67" s="279"/>
      <c r="G67" s="279"/>
      <c r="H67" s="279"/>
      <c r="I67" s="279"/>
      <c r="J67" s="80">
        <f>SUM(J48:J66)</f>
        <v>41600148.899999999</v>
      </c>
      <c r="K67" s="81">
        <f t="shared" ref="K67:X67" si="24">SUM(K48:K66)</f>
        <v>29232027.799999997</v>
      </c>
      <c r="L67" s="81">
        <f t="shared" si="24"/>
        <v>12368121.1</v>
      </c>
      <c r="M67" s="80">
        <f t="shared" si="24"/>
        <v>37120101</v>
      </c>
      <c r="N67" s="81">
        <f t="shared" si="24"/>
        <v>24754783.799999997</v>
      </c>
      <c r="O67" s="81">
        <f t="shared" si="24"/>
        <v>12365317.200000001</v>
      </c>
      <c r="P67" s="80">
        <f t="shared" si="24"/>
        <v>33192104.000000004</v>
      </c>
      <c r="Q67" s="81">
        <f t="shared" si="24"/>
        <v>21567393</v>
      </c>
      <c r="R67" s="90">
        <f t="shared" si="24"/>
        <v>11624711</v>
      </c>
      <c r="S67" s="91">
        <f t="shared" si="24"/>
        <v>36375568.700000003</v>
      </c>
      <c r="T67" s="92">
        <f t="shared" si="24"/>
        <v>24138297.600000001</v>
      </c>
      <c r="U67" s="93">
        <f t="shared" si="24"/>
        <v>12237271.1</v>
      </c>
      <c r="V67" s="94">
        <f t="shared" si="24"/>
        <v>36375568.700000003</v>
      </c>
      <c r="W67" s="81">
        <f t="shared" si="24"/>
        <v>24138297.600000001</v>
      </c>
      <c r="X67" s="81">
        <f t="shared" si="24"/>
        <v>12237271.1</v>
      </c>
      <c r="Y67" s="80">
        <f t="shared" si="5"/>
        <v>109.59103014379563</v>
      </c>
      <c r="Z67" s="81">
        <f t="shared" si="5"/>
        <v>111.92033084388086</v>
      </c>
      <c r="AA67" s="81">
        <f t="shared" si="5"/>
        <v>105.26946519358631</v>
      </c>
      <c r="AB67" s="80">
        <f t="shared" si="6"/>
        <v>97.994261114752902</v>
      </c>
      <c r="AC67" s="81">
        <f t="shared" si="6"/>
        <v>97.509628017837926</v>
      </c>
      <c r="AD67" s="81">
        <f t="shared" si="6"/>
        <v>98.964473794493514</v>
      </c>
      <c r="AE67" s="204"/>
    </row>
    <row r="68" spans="2:31" ht="165" customHeight="1" x14ac:dyDescent="0.3">
      <c r="B68" s="280" t="s">
        <v>15</v>
      </c>
      <c r="C68" s="281"/>
      <c r="D68" s="281"/>
      <c r="E68" s="281"/>
      <c r="F68" s="281"/>
      <c r="G68" s="281"/>
      <c r="H68" s="281"/>
      <c r="I68" s="281"/>
      <c r="J68" s="82">
        <f>J48+J50+J54+J56+J58+J60+J63+J64</f>
        <v>3524619.9</v>
      </c>
      <c r="K68" s="83">
        <f t="shared" ref="K68:X68" si="25">K48+K50+K54+K56+K58+K60+K63+K64</f>
        <v>620219</v>
      </c>
      <c r="L68" s="83">
        <f t="shared" si="25"/>
        <v>2904400.9</v>
      </c>
      <c r="M68" s="82">
        <f t="shared" si="25"/>
        <v>7159851.9000000004</v>
      </c>
      <c r="N68" s="83">
        <f t="shared" si="25"/>
        <v>574919</v>
      </c>
      <c r="O68" s="83">
        <f t="shared" si="25"/>
        <v>6584932.9000000004</v>
      </c>
      <c r="P68" s="82">
        <f t="shared" si="25"/>
        <v>6418211.7999999989</v>
      </c>
      <c r="Q68" s="83">
        <f t="shared" si="25"/>
        <v>559344</v>
      </c>
      <c r="R68" s="85">
        <f t="shared" si="25"/>
        <v>5858867.8000000007</v>
      </c>
      <c r="S68" s="95">
        <f t="shared" si="25"/>
        <v>7094209.9000000004</v>
      </c>
      <c r="T68" s="96">
        <f t="shared" si="25"/>
        <v>527449</v>
      </c>
      <c r="U68" s="97">
        <f t="shared" si="25"/>
        <v>6566760.9000000004</v>
      </c>
      <c r="V68" s="84">
        <f t="shared" si="25"/>
        <v>7094209.9000000004</v>
      </c>
      <c r="W68" s="83">
        <f t="shared" si="25"/>
        <v>527449</v>
      </c>
      <c r="X68" s="83">
        <f t="shared" si="25"/>
        <v>6566760.9000000004</v>
      </c>
      <c r="Y68" s="82">
        <f t="shared" si="5"/>
        <v>110.53249909889233</v>
      </c>
      <c r="Z68" s="83">
        <f t="shared" si="5"/>
        <v>94.29778454761292</v>
      </c>
      <c r="AA68" s="83">
        <f t="shared" si="5"/>
        <v>112.08242145351018</v>
      </c>
      <c r="AB68" s="82">
        <f t="shared" si="6"/>
        <v>99.083193326945775</v>
      </c>
      <c r="AC68" s="83">
        <f t="shared" si="6"/>
        <v>91.74318469210445</v>
      </c>
      <c r="AD68" s="83">
        <f t="shared" si="6"/>
        <v>99.724036671656904</v>
      </c>
      <c r="AE68" s="208"/>
    </row>
    <row r="69" spans="2:31" ht="178.5" customHeight="1" thickBot="1" x14ac:dyDescent="0.35">
      <c r="B69" s="282" t="s">
        <v>16</v>
      </c>
      <c r="C69" s="283"/>
      <c r="D69" s="283"/>
      <c r="E69" s="283"/>
      <c r="F69" s="283"/>
      <c r="G69" s="283"/>
      <c r="H69" s="283"/>
      <c r="I69" s="283"/>
      <c r="J69" s="98">
        <f>J67-J68</f>
        <v>38075529</v>
      </c>
      <c r="K69" s="99">
        <f t="shared" ref="K69:X69" si="26">K67-K68</f>
        <v>28611808.799999997</v>
      </c>
      <c r="L69" s="99">
        <f t="shared" si="26"/>
        <v>9463720.1999999993</v>
      </c>
      <c r="M69" s="98">
        <f t="shared" si="26"/>
        <v>29960249.100000001</v>
      </c>
      <c r="N69" s="99">
        <f t="shared" si="26"/>
        <v>24179864.799999997</v>
      </c>
      <c r="O69" s="99">
        <f t="shared" si="26"/>
        <v>5780384.3000000007</v>
      </c>
      <c r="P69" s="98">
        <f t="shared" si="26"/>
        <v>26773892.200000003</v>
      </c>
      <c r="Q69" s="99">
        <f t="shared" si="26"/>
        <v>21008049</v>
      </c>
      <c r="R69" s="100">
        <f t="shared" si="26"/>
        <v>5765843.1999999993</v>
      </c>
      <c r="S69" s="101">
        <f t="shared" si="26"/>
        <v>29281358.800000004</v>
      </c>
      <c r="T69" s="102">
        <f t="shared" si="26"/>
        <v>23610848.600000001</v>
      </c>
      <c r="U69" s="103">
        <f t="shared" si="26"/>
        <v>5670510.1999999993</v>
      </c>
      <c r="V69" s="104">
        <f t="shared" si="26"/>
        <v>29281358.800000004</v>
      </c>
      <c r="W69" s="99">
        <f t="shared" si="26"/>
        <v>23610848.600000001</v>
      </c>
      <c r="X69" s="99">
        <f t="shared" si="26"/>
        <v>5670510.1999999993</v>
      </c>
      <c r="Y69" s="98">
        <f t="shared" si="5"/>
        <v>109.36534210741313</v>
      </c>
      <c r="Z69" s="99">
        <f t="shared" si="5"/>
        <v>112.38953507772189</v>
      </c>
      <c r="AA69" s="99">
        <f t="shared" si="5"/>
        <v>98.346590486539768</v>
      </c>
      <c r="AB69" s="98">
        <f t="shared" si="6"/>
        <v>97.734029854911995</v>
      </c>
      <c r="AC69" s="99">
        <f t="shared" si="6"/>
        <v>97.646735394484111</v>
      </c>
      <c r="AD69" s="99">
        <f t="shared" si="6"/>
        <v>98.099190394659374</v>
      </c>
      <c r="AE69" s="209"/>
    </row>
    <row r="70" spans="2:31" ht="51" customHeight="1" thickBot="1" x14ac:dyDescent="0.3">
      <c r="B70" s="284" t="s">
        <v>19</v>
      </c>
      <c r="C70" s="285"/>
      <c r="D70" s="285"/>
      <c r="E70" s="285"/>
      <c r="F70" s="285"/>
      <c r="G70" s="285"/>
      <c r="H70" s="285"/>
      <c r="I70" s="285"/>
      <c r="J70" s="285"/>
      <c r="K70" s="285"/>
      <c r="L70" s="285"/>
      <c r="M70" s="285"/>
      <c r="N70" s="285"/>
      <c r="O70" s="285"/>
      <c r="P70" s="285"/>
      <c r="Q70" s="285"/>
      <c r="R70" s="285"/>
      <c r="S70" s="285"/>
      <c r="T70" s="285"/>
      <c r="U70" s="285"/>
      <c r="V70" s="285"/>
      <c r="W70" s="285"/>
      <c r="X70" s="285"/>
      <c r="Y70" s="285"/>
      <c r="Z70" s="285"/>
      <c r="AA70" s="285"/>
      <c r="AB70" s="285"/>
      <c r="AC70" s="285"/>
      <c r="AD70" s="285"/>
      <c r="AE70" s="286"/>
    </row>
    <row r="71" spans="2:31" ht="409.5" customHeight="1" x14ac:dyDescent="0.25">
      <c r="B71" s="107">
        <v>47</v>
      </c>
      <c r="C71" s="287">
        <v>1040</v>
      </c>
      <c r="D71" s="108">
        <v>32004</v>
      </c>
      <c r="E71" s="40" t="s">
        <v>40</v>
      </c>
      <c r="F71" s="109" t="s">
        <v>82</v>
      </c>
      <c r="G71" s="110" t="s">
        <v>293</v>
      </c>
      <c r="H71" s="42" t="s">
        <v>83</v>
      </c>
      <c r="I71" s="110" t="s">
        <v>307</v>
      </c>
      <c r="J71" s="62">
        <f t="shared" si="10"/>
        <v>1981422.2999999998</v>
      </c>
      <c r="K71" s="61">
        <v>701818.9</v>
      </c>
      <c r="L71" s="15">
        <v>1279603.3999999999</v>
      </c>
      <c r="M71" s="62">
        <f t="shared" si="11"/>
        <v>2549254.7000000002</v>
      </c>
      <c r="N71" s="15">
        <f>701818.9+567832.4</f>
        <v>1269651.3</v>
      </c>
      <c r="O71" s="15">
        <v>1279603.3999999999</v>
      </c>
      <c r="P71" s="64">
        <f t="shared" ref="P71:P74" si="27">Q71+R71</f>
        <v>1981422.2999999998</v>
      </c>
      <c r="Q71" s="65">
        <v>701818.9</v>
      </c>
      <c r="R71" s="202">
        <v>1279603.3999999999</v>
      </c>
      <c r="S71" s="213">
        <f t="shared" si="13"/>
        <v>1597580.2</v>
      </c>
      <c r="T71" s="214">
        <v>1002267.1</v>
      </c>
      <c r="U71" s="215">
        <v>595313.1</v>
      </c>
      <c r="V71" s="106">
        <f t="shared" si="14"/>
        <v>1597580.2</v>
      </c>
      <c r="W71" s="60">
        <v>1002267.1</v>
      </c>
      <c r="X71" s="60">
        <v>595313.1</v>
      </c>
      <c r="Y71" s="64">
        <f t="shared" si="5"/>
        <v>80.627950942108612</v>
      </c>
      <c r="Z71" s="65">
        <f t="shared" si="5"/>
        <v>142.8099328758459</v>
      </c>
      <c r="AA71" s="65">
        <f t="shared" si="5"/>
        <v>46.52325087601362</v>
      </c>
      <c r="AB71" s="64">
        <f t="shared" si="6"/>
        <v>62.668520332628972</v>
      </c>
      <c r="AC71" s="65">
        <f t="shared" si="6"/>
        <v>78.940343699092807</v>
      </c>
      <c r="AD71" s="65">
        <f t="shared" si="6"/>
        <v>46.52325087601362</v>
      </c>
      <c r="AE71" s="249" t="s">
        <v>358</v>
      </c>
    </row>
    <row r="72" spans="2:31" ht="409.5" customHeight="1" x14ac:dyDescent="0.25">
      <c r="B72" s="31">
        <v>48</v>
      </c>
      <c r="C72" s="287"/>
      <c r="D72" s="32">
        <v>12002</v>
      </c>
      <c r="E72" s="29" t="s">
        <v>39</v>
      </c>
      <c r="F72" s="70" t="s">
        <v>119</v>
      </c>
      <c r="G72" s="71" t="s">
        <v>261</v>
      </c>
      <c r="H72" s="46" t="s">
        <v>84</v>
      </c>
      <c r="I72" s="111" t="s">
        <v>357</v>
      </c>
      <c r="J72" s="22">
        <f t="shared" si="10"/>
        <v>137651.69999999998</v>
      </c>
      <c r="K72" s="17">
        <v>114709.9</v>
      </c>
      <c r="L72" s="19">
        <v>22941.8</v>
      </c>
      <c r="M72" s="20">
        <f t="shared" si="11"/>
        <v>68479.999999999985</v>
      </c>
      <c r="N72" s="19">
        <f>114709.9-57643.3</f>
        <v>57066.599999999991</v>
      </c>
      <c r="O72" s="19">
        <f>22941.8-11528.4</f>
        <v>11413.4</v>
      </c>
      <c r="P72" s="20">
        <f t="shared" si="27"/>
        <v>56938.9</v>
      </c>
      <c r="Q72" s="19">
        <f>102900.3-50937.6</f>
        <v>51962.700000000004</v>
      </c>
      <c r="R72" s="201">
        <f>17710.6-12734.4</f>
        <v>4976.1999999999989</v>
      </c>
      <c r="S72" s="222">
        <f t="shared" si="13"/>
        <v>46223.5</v>
      </c>
      <c r="T72" s="223">
        <v>37702.199999999997</v>
      </c>
      <c r="U72" s="224">
        <v>8521.2999999999993</v>
      </c>
      <c r="V72" s="67">
        <f t="shared" si="14"/>
        <v>46223.5</v>
      </c>
      <c r="W72" s="68">
        <v>37702.199999999997</v>
      </c>
      <c r="X72" s="17">
        <v>8521.2999999999993</v>
      </c>
      <c r="Y72" s="22">
        <f t="shared" si="5"/>
        <v>81.180879855423967</v>
      </c>
      <c r="Z72" s="65">
        <f t="shared" si="5"/>
        <v>72.556275944090658</v>
      </c>
      <c r="AA72" s="65">
        <f t="shared" si="5"/>
        <v>171.24110767252122</v>
      </c>
      <c r="AB72" s="64">
        <f t="shared" si="6"/>
        <v>67.499269859813097</v>
      </c>
      <c r="AC72" s="65">
        <f t="shared" si="6"/>
        <v>66.06701643343041</v>
      </c>
      <c r="AD72" s="65">
        <f t="shared" si="6"/>
        <v>74.660486796221974</v>
      </c>
      <c r="AE72" s="249" t="s">
        <v>359</v>
      </c>
    </row>
    <row r="73" spans="2:31" ht="409.6" customHeight="1" x14ac:dyDescent="0.25">
      <c r="B73" s="43">
        <v>49</v>
      </c>
      <c r="C73" s="287"/>
      <c r="D73" s="112">
        <v>42001</v>
      </c>
      <c r="E73" s="29" t="s">
        <v>41</v>
      </c>
      <c r="F73" s="113" t="s">
        <v>82</v>
      </c>
      <c r="G73" s="114" t="s">
        <v>294</v>
      </c>
      <c r="H73" s="115" t="s">
        <v>85</v>
      </c>
      <c r="I73" s="110" t="s">
        <v>308</v>
      </c>
      <c r="J73" s="22">
        <f t="shared" si="10"/>
        <v>1010619.2999999999</v>
      </c>
      <c r="K73" s="68">
        <v>842182.7</v>
      </c>
      <c r="L73" s="19">
        <v>168436.6</v>
      </c>
      <c r="M73" s="20">
        <f t="shared" si="11"/>
        <v>1497843</v>
      </c>
      <c r="N73" s="19">
        <f>842182.7+427226.7</f>
        <v>1269409.3999999999</v>
      </c>
      <c r="O73" s="19">
        <f>168436.6+59997</f>
        <v>228433.6</v>
      </c>
      <c r="P73" s="20">
        <f t="shared" si="27"/>
        <v>1010619.2999999999</v>
      </c>
      <c r="Q73" s="19">
        <v>842182.7</v>
      </c>
      <c r="R73" s="201">
        <v>168436.6</v>
      </c>
      <c r="S73" s="222">
        <f t="shared" si="13"/>
        <v>1032181.2</v>
      </c>
      <c r="T73" s="223">
        <v>1032181.2</v>
      </c>
      <c r="U73" s="224">
        <v>0</v>
      </c>
      <c r="V73" s="24">
        <f t="shared" si="14"/>
        <v>1032181.2</v>
      </c>
      <c r="W73" s="17">
        <v>1032181.2</v>
      </c>
      <c r="X73" s="17">
        <v>0</v>
      </c>
      <c r="Y73" s="22">
        <f t="shared" ref="Y73:AA77" si="28">S73/P73*100</f>
        <v>102.13353336909358</v>
      </c>
      <c r="Z73" s="23">
        <f t="shared" si="28"/>
        <v>122.56024731925746</v>
      </c>
      <c r="AA73" s="23">
        <f t="shared" si="28"/>
        <v>0</v>
      </c>
      <c r="AB73" s="22">
        <f t="shared" ref="AB73:AD77" si="29">S73/M73*100</f>
        <v>68.911174268598245</v>
      </c>
      <c r="AC73" s="23">
        <f t="shared" si="29"/>
        <v>81.311923481896386</v>
      </c>
      <c r="AD73" s="23">
        <f t="shared" si="29"/>
        <v>0</v>
      </c>
      <c r="AE73" s="249" t="s">
        <v>358</v>
      </c>
    </row>
    <row r="74" spans="2:31" ht="267.75" customHeight="1" thickBot="1" x14ac:dyDescent="0.3">
      <c r="B74" s="26">
        <v>50</v>
      </c>
      <c r="C74" s="287"/>
      <c r="D74" s="28">
        <v>32009</v>
      </c>
      <c r="E74" s="29" t="s">
        <v>164</v>
      </c>
      <c r="F74" s="113" t="s">
        <v>86</v>
      </c>
      <c r="G74" s="114" t="s">
        <v>202</v>
      </c>
      <c r="H74" s="49" t="s">
        <v>114</v>
      </c>
      <c r="I74" s="58" t="s">
        <v>230</v>
      </c>
      <c r="J74" s="18">
        <f t="shared" si="10"/>
        <v>325038</v>
      </c>
      <c r="K74" s="68">
        <v>270865</v>
      </c>
      <c r="L74" s="68">
        <v>54173</v>
      </c>
      <c r="M74" s="18">
        <f t="shared" si="11"/>
        <v>0</v>
      </c>
      <c r="N74" s="68">
        <f>270865-270865</f>
        <v>0</v>
      </c>
      <c r="O74" s="68">
        <f>54173-54173</f>
        <v>0</v>
      </c>
      <c r="P74" s="18">
        <f t="shared" si="27"/>
        <v>0</v>
      </c>
      <c r="Q74" s="68">
        <v>0</v>
      </c>
      <c r="R74" s="210">
        <v>0</v>
      </c>
      <c r="S74" s="225">
        <f t="shared" si="13"/>
        <v>0</v>
      </c>
      <c r="T74" s="226">
        <v>0</v>
      </c>
      <c r="U74" s="218">
        <v>0</v>
      </c>
      <c r="V74" s="21">
        <v>0</v>
      </c>
      <c r="W74" s="17">
        <v>0</v>
      </c>
      <c r="X74" s="17">
        <v>0</v>
      </c>
      <c r="Y74" s="16" t="e">
        <f t="shared" si="28"/>
        <v>#DIV/0!</v>
      </c>
      <c r="Z74" s="17" t="e">
        <f t="shared" si="28"/>
        <v>#DIV/0!</v>
      </c>
      <c r="AA74" s="17" t="e">
        <f t="shared" si="28"/>
        <v>#DIV/0!</v>
      </c>
      <c r="AB74" s="16">
        <v>0</v>
      </c>
      <c r="AC74" s="17">
        <v>0</v>
      </c>
      <c r="AD74" s="17">
        <v>0</v>
      </c>
      <c r="AE74" s="248" t="s">
        <v>289</v>
      </c>
    </row>
    <row r="75" spans="2:31" ht="153.75" customHeight="1" x14ac:dyDescent="0.3">
      <c r="B75" s="278" t="s">
        <v>20</v>
      </c>
      <c r="C75" s="279"/>
      <c r="D75" s="279"/>
      <c r="E75" s="279"/>
      <c r="F75" s="279"/>
      <c r="G75" s="279"/>
      <c r="H75" s="279"/>
      <c r="I75" s="279"/>
      <c r="J75" s="80">
        <f>SUM(J71:J74)</f>
        <v>3454731.3</v>
      </c>
      <c r="K75" s="81">
        <f t="shared" ref="K75:X75" si="30">SUM(K71:K74)</f>
        <v>1929576.5</v>
      </c>
      <c r="L75" s="81">
        <f t="shared" si="30"/>
        <v>1525154.8</v>
      </c>
      <c r="M75" s="80">
        <f t="shared" si="30"/>
        <v>4115577.7</v>
      </c>
      <c r="N75" s="81">
        <f t="shared" si="30"/>
        <v>2596127.2999999998</v>
      </c>
      <c r="O75" s="81">
        <f t="shared" si="30"/>
        <v>1519450.4</v>
      </c>
      <c r="P75" s="80">
        <f t="shared" si="30"/>
        <v>3048980.4999999995</v>
      </c>
      <c r="Q75" s="81">
        <f t="shared" si="30"/>
        <v>1595964.2999999998</v>
      </c>
      <c r="R75" s="90">
        <f t="shared" si="30"/>
        <v>1453016.2</v>
      </c>
      <c r="S75" s="133">
        <f t="shared" si="30"/>
        <v>2675984.9</v>
      </c>
      <c r="T75" s="134">
        <f t="shared" si="30"/>
        <v>2072150.5</v>
      </c>
      <c r="U75" s="135">
        <f t="shared" si="30"/>
        <v>603834.4</v>
      </c>
      <c r="V75" s="94">
        <f t="shared" si="30"/>
        <v>2675984.9</v>
      </c>
      <c r="W75" s="81">
        <f t="shared" si="30"/>
        <v>2072150.5</v>
      </c>
      <c r="X75" s="81">
        <f t="shared" si="30"/>
        <v>603834.4</v>
      </c>
      <c r="Y75" s="80">
        <f t="shared" si="28"/>
        <v>87.766546883458261</v>
      </c>
      <c r="Z75" s="81">
        <f t="shared" si="28"/>
        <v>129.83689547441634</v>
      </c>
      <c r="AA75" s="81">
        <f t="shared" si="28"/>
        <v>41.557306793964173</v>
      </c>
      <c r="AB75" s="80">
        <f t="shared" si="29"/>
        <v>65.020881515613226</v>
      </c>
      <c r="AC75" s="81">
        <f t="shared" si="29"/>
        <v>79.816983550845151</v>
      </c>
      <c r="AD75" s="81">
        <f t="shared" si="29"/>
        <v>39.740316630276318</v>
      </c>
      <c r="AE75" s="204"/>
    </row>
    <row r="76" spans="2:31" ht="137.25" customHeight="1" x14ac:dyDescent="0.3">
      <c r="B76" s="280" t="s">
        <v>15</v>
      </c>
      <c r="C76" s="281"/>
      <c r="D76" s="281"/>
      <c r="E76" s="281"/>
      <c r="F76" s="281"/>
      <c r="G76" s="281"/>
      <c r="H76" s="281"/>
      <c r="I76" s="281"/>
      <c r="J76" s="82">
        <f>J72</f>
        <v>137651.69999999998</v>
      </c>
      <c r="K76" s="83">
        <f t="shared" ref="K76:X76" si="31">K72</f>
        <v>114709.9</v>
      </c>
      <c r="L76" s="83">
        <f t="shared" si="31"/>
        <v>22941.8</v>
      </c>
      <c r="M76" s="82">
        <f t="shared" si="31"/>
        <v>68479.999999999985</v>
      </c>
      <c r="N76" s="83">
        <f t="shared" si="31"/>
        <v>57066.599999999991</v>
      </c>
      <c r="O76" s="83">
        <f t="shared" si="31"/>
        <v>11413.4</v>
      </c>
      <c r="P76" s="82">
        <f t="shared" si="31"/>
        <v>56938.9</v>
      </c>
      <c r="Q76" s="83">
        <f t="shared" si="31"/>
        <v>51962.700000000004</v>
      </c>
      <c r="R76" s="85">
        <f t="shared" si="31"/>
        <v>4976.1999999999989</v>
      </c>
      <c r="S76" s="138">
        <f t="shared" si="31"/>
        <v>46223.5</v>
      </c>
      <c r="T76" s="139">
        <f t="shared" si="31"/>
        <v>37702.199999999997</v>
      </c>
      <c r="U76" s="140">
        <f t="shared" si="31"/>
        <v>8521.2999999999993</v>
      </c>
      <c r="V76" s="84">
        <f t="shared" si="31"/>
        <v>46223.5</v>
      </c>
      <c r="W76" s="83">
        <f t="shared" si="31"/>
        <v>37702.199999999997</v>
      </c>
      <c r="X76" s="83">
        <f t="shared" si="31"/>
        <v>8521.2999999999993</v>
      </c>
      <c r="Y76" s="82">
        <f t="shared" si="28"/>
        <v>81.180879855423967</v>
      </c>
      <c r="Z76" s="83">
        <f t="shared" si="28"/>
        <v>72.556275944090658</v>
      </c>
      <c r="AA76" s="83">
        <f t="shared" si="28"/>
        <v>171.24110767252122</v>
      </c>
      <c r="AB76" s="82">
        <f t="shared" si="29"/>
        <v>67.499269859813097</v>
      </c>
      <c r="AC76" s="83">
        <f t="shared" si="29"/>
        <v>66.06701643343041</v>
      </c>
      <c r="AD76" s="83">
        <f t="shared" si="29"/>
        <v>74.660486796221974</v>
      </c>
      <c r="AE76" s="208"/>
    </row>
    <row r="77" spans="2:31" ht="156" customHeight="1" thickBot="1" x14ac:dyDescent="0.35">
      <c r="B77" s="282" t="s">
        <v>16</v>
      </c>
      <c r="C77" s="283"/>
      <c r="D77" s="283"/>
      <c r="E77" s="283"/>
      <c r="F77" s="283"/>
      <c r="G77" s="283"/>
      <c r="H77" s="283"/>
      <c r="I77" s="283"/>
      <c r="J77" s="98">
        <f>J75-J76</f>
        <v>3317079.5999999996</v>
      </c>
      <c r="K77" s="99">
        <f t="shared" ref="K77:X77" si="32">K75-K76</f>
        <v>1814866.6</v>
      </c>
      <c r="L77" s="99">
        <f t="shared" si="32"/>
        <v>1502213</v>
      </c>
      <c r="M77" s="98">
        <f t="shared" si="32"/>
        <v>4047097.7</v>
      </c>
      <c r="N77" s="99">
        <f t="shared" si="32"/>
        <v>2539060.6999999997</v>
      </c>
      <c r="O77" s="99">
        <f t="shared" si="32"/>
        <v>1508037</v>
      </c>
      <c r="P77" s="98">
        <f t="shared" si="32"/>
        <v>2992041.5999999996</v>
      </c>
      <c r="Q77" s="99">
        <f t="shared" si="32"/>
        <v>1544001.5999999999</v>
      </c>
      <c r="R77" s="100">
        <f t="shared" si="32"/>
        <v>1448040</v>
      </c>
      <c r="S77" s="142">
        <f t="shared" si="32"/>
        <v>2629761.4</v>
      </c>
      <c r="T77" s="143">
        <f t="shared" si="32"/>
        <v>2034448.3</v>
      </c>
      <c r="U77" s="144">
        <f t="shared" si="32"/>
        <v>595313.1</v>
      </c>
      <c r="V77" s="104">
        <f t="shared" si="32"/>
        <v>2629761.4</v>
      </c>
      <c r="W77" s="99">
        <f t="shared" si="32"/>
        <v>2034448.3</v>
      </c>
      <c r="X77" s="99">
        <f t="shared" si="32"/>
        <v>595313.1</v>
      </c>
      <c r="Y77" s="98">
        <f t="shared" si="28"/>
        <v>87.89187289374587</v>
      </c>
      <c r="Z77" s="99">
        <f t="shared" si="28"/>
        <v>131.76464972575158</v>
      </c>
      <c r="AA77" s="99">
        <f t="shared" si="28"/>
        <v>41.111647468301982</v>
      </c>
      <c r="AB77" s="98">
        <f t="shared" si="29"/>
        <v>64.978945282195681</v>
      </c>
      <c r="AC77" s="99">
        <f t="shared" si="29"/>
        <v>80.126020618569697</v>
      </c>
      <c r="AD77" s="99">
        <f t="shared" si="29"/>
        <v>39.476027444949956</v>
      </c>
      <c r="AE77" s="209"/>
    </row>
    <row r="78" spans="2:31" ht="57.75" customHeight="1" thickBot="1" x14ac:dyDescent="0.3">
      <c r="B78" s="284" t="s">
        <v>288</v>
      </c>
      <c r="C78" s="285"/>
      <c r="D78" s="285"/>
      <c r="E78" s="285"/>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286"/>
    </row>
    <row r="79" spans="2:31" ht="237.75" customHeight="1" x14ac:dyDescent="0.25">
      <c r="B79" s="118">
        <v>51</v>
      </c>
      <c r="C79" s="331">
        <v>1157</v>
      </c>
      <c r="D79" s="119">
        <v>42001</v>
      </c>
      <c r="E79" s="40" t="s">
        <v>42</v>
      </c>
      <c r="F79" s="109" t="s">
        <v>87</v>
      </c>
      <c r="G79" s="220" t="s">
        <v>251</v>
      </c>
      <c r="H79" s="42" t="s">
        <v>88</v>
      </c>
      <c r="I79" s="288" t="s">
        <v>348</v>
      </c>
      <c r="J79" s="64">
        <f t="shared" ref="J79:J100" si="33">K79+L79</f>
        <v>28972.100000000002</v>
      </c>
      <c r="K79" s="60">
        <v>24143.4</v>
      </c>
      <c r="L79" s="61">
        <v>4828.7</v>
      </c>
      <c r="M79" s="62">
        <f t="shared" ref="M79:M100" si="34">N79+O79</f>
        <v>487310.4</v>
      </c>
      <c r="N79" s="15">
        <f>24143.4+381948.6</f>
        <v>406092</v>
      </c>
      <c r="O79" s="15">
        <f>4828.7+76389.7</f>
        <v>81218.399999999994</v>
      </c>
      <c r="P79" s="62">
        <f t="shared" ref="P79:P88" si="35">Q79+R79</f>
        <v>293812.59999999998</v>
      </c>
      <c r="Q79" s="15">
        <f>24143.4+220700.4</f>
        <v>244843.8</v>
      </c>
      <c r="R79" s="236">
        <f>4828.7+44140.1</f>
        <v>48968.799999999996</v>
      </c>
      <c r="S79" s="263">
        <f t="shared" ref="S79:S100" si="36">T79+U79</f>
        <v>252731.7</v>
      </c>
      <c r="T79" s="264">
        <v>183565.7</v>
      </c>
      <c r="U79" s="265">
        <v>69166</v>
      </c>
      <c r="V79" s="131">
        <f t="shared" ref="V79:V100" si="37">W79+X79</f>
        <v>252731.7</v>
      </c>
      <c r="W79" s="61">
        <v>183565.7</v>
      </c>
      <c r="X79" s="61">
        <v>69166</v>
      </c>
      <c r="Y79" s="64">
        <f t="shared" ref="Y79:AA96" si="38">S79/P79*100</f>
        <v>86.0179924210194</v>
      </c>
      <c r="Z79" s="65">
        <f t="shared" si="38"/>
        <v>74.972574351484511</v>
      </c>
      <c r="AA79" s="65">
        <f t="shared" si="38"/>
        <v>141.24503765663036</v>
      </c>
      <c r="AB79" s="64">
        <f t="shared" ref="AB79:AD96" si="39">S79/M79*100</f>
        <v>51.862570550515649</v>
      </c>
      <c r="AC79" s="65">
        <f t="shared" si="39"/>
        <v>45.202983560375486</v>
      </c>
      <c r="AD79" s="65">
        <f t="shared" si="39"/>
        <v>85.160505501216477</v>
      </c>
      <c r="AE79" s="322" t="s">
        <v>349</v>
      </c>
    </row>
    <row r="80" spans="2:31" ht="234" customHeight="1" x14ac:dyDescent="0.25">
      <c r="B80" s="120">
        <v>52</v>
      </c>
      <c r="C80" s="287"/>
      <c r="D80" s="36">
        <v>12003</v>
      </c>
      <c r="E80" s="29" t="s">
        <v>44</v>
      </c>
      <c r="F80" s="46" t="s">
        <v>89</v>
      </c>
      <c r="G80" s="221" t="s">
        <v>252</v>
      </c>
      <c r="H80" s="47" t="s">
        <v>90</v>
      </c>
      <c r="I80" s="289"/>
      <c r="J80" s="16">
        <f t="shared" si="33"/>
        <v>10187.5</v>
      </c>
      <c r="K80" s="17">
        <v>8489.6</v>
      </c>
      <c r="L80" s="68">
        <v>1697.9</v>
      </c>
      <c r="M80" s="20">
        <f t="shared" si="34"/>
        <v>229932.30000000002</v>
      </c>
      <c r="N80" s="19">
        <f>8489.6+183120.7</f>
        <v>191610.30000000002</v>
      </c>
      <c r="O80" s="19">
        <f>1697.9+36624.1</f>
        <v>38322</v>
      </c>
      <c r="P80" s="20">
        <f t="shared" si="35"/>
        <v>140639.70000000001</v>
      </c>
      <c r="Q80" s="19">
        <f>8489.6+108710.2</f>
        <v>117199.8</v>
      </c>
      <c r="R80" s="237">
        <f>1697.9+21742</f>
        <v>23439.9</v>
      </c>
      <c r="S80" s="222">
        <f t="shared" si="36"/>
        <v>34369.399999999994</v>
      </c>
      <c r="T80" s="223">
        <v>24788.6</v>
      </c>
      <c r="U80" s="224">
        <v>9580.7999999999993</v>
      </c>
      <c r="V80" s="116">
        <f t="shared" si="37"/>
        <v>34369.399999999994</v>
      </c>
      <c r="W80" s="68">
        <v>24788.6</v>
      </c>
      <c r="X80" s="68">
        <v>9580.7999999999993</v>
      </c>
      <c r="Y80" s="22">
        <f t="shared" si="38"/>
        <v>24.437907646276258</v>
      </c>
      <c r="Z80" s="23">
        <f t="shared" si="38"/>
        <v>21.150718687233251</v>
      </c>
      <c r="AA80" s="23">
        <f t="shared" si="38"/>
        <v>40.87389451320184</v>
      </c>
      <c r="AB80" s="22">
        <f t="shared" si="39"/>
        <v>14.94761718992938</v>
      </c>
      <c r="AC80" s="23">
        <f t="shared" si="39"/>
        <v>12.93698720789018</v>
      </c>
      <c r="AD80" s="23">
        <f t="shared" si="39"/>
        <v>25.000782840144041</v>
      </c>
      <c r="AE80" s="322"/>
    </row>
    <row r="81" spans="2:31" ht="283.5" customHeight="1" x14ac:dyDescent="0.25">
      <c r="B81" s="120">
        <v>53</v>
      </c>
      <c r="C81" s="287"/>
      <c r="D81" s="112">
        <v>42003</v>
      </c>
      <c r="E81" s="29" t="s">
        <v>43</v>
      </c>
      <c r="F81" s="121" t="s">
        <v>91</v>
      </c>
      <c r="G81" s="75" t="s">
        <v>258</v>
      </c>
      <c r="H81" s="47" t="s">
        <v>92</v>
      </c>
      <c r="I81" s="75" t="s">
        <v>204</v>
      </c>
      <c r="J81" s="16">
        <f t="shared" si="33"/>
        <v>1018752</v>
      </c>
      <c r="K81" s="17">
        <v>848960</v>
      </c>
      <c r="L81" s="17">
        <v>169792</v>
      </c>
      <c r="M81" s="22">
        <f t="shared" si="34"/>
        <v>1018752</v>
      </c>
      <c r="N81" s="23">
        <v>848960</v>
      </c>
      <c r="O81" s="23">
        <v>169792</v>
      </c>
      <c r="P81" s="22">
        <f t="shared" si="35"/>
        <v>844721</v>
      </c>
      <c r="Q81" s="23">
        <v>740717.6</v>
      </c>
      <c r="R81" s="238">
        <f>148143.5-44140.1</f>
        <v>104003.4</v>
      </c>
      <c r="S81" s="216">
        <f>T81+U81</f>
        <v>759378.10000000009</v>
      </c>
      <c r="T81" s="217">
        <v>659498.30000000005</v>
      </c>
      <c r="U81" s="218">
        <v>99879.8</v>
      </c>
      <c r="V81" s="21">
        <f t="shared" si="37"/>
        <v>759378.10000000009</v>
      </c>
      <c r="W81" s="17">
        <v>659498.30000000005</v>
      </c>
      <c r="X81" s="17">
        <v>99879.8</v>
      </c>
      <c r="Y81" s="22">
        <f t="shared" si="38"/>
        <v>89.896912708456412</v>
      </c>
      <c r="Z81" s="23">
        <f t="shared" si="38"/>
        <v>89.035051955023079</v>
      </c>
      <c r="AA81" s="23">
        <f t="shared" si="38"/>
        <v>96.035129620762405</v>
      </c>
      <c r="AB81" s="22">
        <f t="shared" si="39"/>
        <v>74.540035258826492</v>
      </c>
      <c r="AC81" s="23">
        <f t="shared" si="39"/>
        <v>77.683082830757641</v>
      </c>
      <c r="AD81" s="23">
        <f t="shared" si="39"/>
        <v>58.824797399170748</v>
      </c>
      <c r="AE81" s="191" t="s">
        <v>344</v>
      </c>
    </row>
    <row r="82" spans="2:31" ht="270" customHeight="1" x14ac:dyDescent="0.25">
      <c r="B82" s="120">
        <v>54</v>
      </c>
      <c r="C82" s="287"/>
      <c r="D82" s="36">
        <v>12014</v>
      </c>
      <c r="E82" s="29" t="s">
        <v>165</v>
      </c>
      <c r="F82" s="46" t="s">
        <v>91</v>
      </c>
      <c r="G82" s="75" t="s">
        <v>259</v>
      </c>
      <c r="H82" s="47" t="s">
        <v>92</v>
      </c>
      <c r="I82" s="47" t="s">
        <v>279</v>
      </c>
      <c r="J82" s="16">
        <f t="shared" si="33"/>
        <v>331518.90000000002</v>
      </c>
      <c r="K82" s="68">
        <v>328972</v>
      </c>
      <c r="L82" s="68">
        <v>2546.9</v>
      </c>
      <c r="M82" s="20">
        <f t="shared" si="34"/>
        <v>0</v>
      </c>
      <c r="N82" s="19">
        <f>328972-328972</f>
        <v>0</v>
      </c>
      <c r="O82" s="19">
        <f>2546.9-2546.9</f>
        <v>0</v>
      </c>
      <c r="P82" s="20">
        <f t="shared" si="35"/>
        <v>331518.90000000002</v>
      </c>
      <c r="Q82" s="19">
        <v>328972</v>
      </c>
      <c r="R82" s="242">
        <v>2546.9</v>
      </c>
      <c r="S82" s="225">
        <f t="shared" si="36"/>
        <v>0</v>
      </c>
      <c r="T82" s="226">
        <v>0</v>
      </c>
      <c r="U82" s="227">
        <v>0</v>
      </c>
      <c r="V82" s="21">
        <f t="shared" si="37"/>
        <v>0</v>
      </c>
      <c r="W82" s="17">
        <v>0</v>
      </c>
      <c r="X82" s="17">
        <v>0</v>
      </c>
      <c r="Y82" s="22">
        <f t="shared" si="38"/>
        <v>0</v>
      </c>
      <c r="Z82" s="23">
        <f t="shared" si="38"/>
        <v>0</v>
      </c>
      <c r="AA82" s="23">
        <f t="shared" si="38"/>
        <v>0</v>
      </c>
      <c r="AB82" s="22">
        <v>0</v>
      </c>
      <c r="AC82" s="23">
        <v>0</v>
      </c>
      <c r="AD82" s="23">
        <v>0</v>
      </c>
      <c r="AE82" s="248" t="s">
        <v>289</v>
      </c>
    </row>
    <row r="83" spans="2:31" ht="255" customHeight="1" x14ac:dyDescent="0.25">
      <c r="B83" s="43">
        <v>55</v>
      </c>
      <c r="C83" s="287"/>
      <c r="D83" s="36">
        <v>12004</v>
      </c>
      <c r="E83" s="29" t="s">
        <v>166</v>
      </c>
      <c r="F83" s="50" t="s">
        <v>122</v>
      </c>
      <c r="G83" s="45" t="s">
        <v>253</v>
      </c>
      <c r="H83" s="75" t="s">
        <v>93</v>
      </c>
      <c r="I83" s="75" t="s">
        <v>229</v>
      </c>
      <c r="J83" s="16">
        <f t="shared" si="33"/>
        <v>1018.7</v>
      </c>
      <c r="K83" s="17">
        <v>848.9</v>
      </c>
      <c r="L83" s="17">
        <v>169.8</v>
      </c>
      <c r="M83" s="22">
        <f t="shared" si="34"/>
        <v>1018.7</v>
      </c>
      <c r="N83" s="23">
        <v>848.9</v>
      </c>
      <c r="O83" s="23">
        <v>169.8</v>
      </c>
      <c r="P83" s="22">
        <f t="shared" si="35"/>
        <v>1018.7</v>
      </c>
      <c r="Q83" s="23">
        <v>848.9</v>
      </c>
      <c r="R83" s="238">
        <v>169.8</v>
      </c>
      <c r="S83" s="216">
        <f t="shared" si="36"/>
        <v>0</v>
      </c>
      <c r="T83" s="217">
        <v>0</v>
      </c>
      <c r="U83" s="218">
        <v>0</v>
      </c>
      <c r="V83" s="21">
        <f t="shared" si="37"/>
        <v>0</v>
      </c>
      <c r="W83" s="17">
        <v>0</v>
      </c>
      <c r="X83" s="17">
        <v>0</v>
      </c>
      <c r="Y83" s="22">
        <f t="shared" si="38"/>
        <v>0</v>
      </c>
      <c r="Z83" s="23">
        <f t="shared" si="38"/>
        <v>0</v>
      </c>
      <c r="AA83" s="23">
        <f t="shared" si="38"/>
        <v>0</v>
      </c>
      <c r="AB83" s="22">
        <f t="shared" si="39"/>
        <v>0</v>
      </c>
      <c r="AC83" s="23">
        <f t="shared" si="39"/>
        <v>0</v>
      </c>
      <c r="AD83" s="23">
        <f t="shared" si="39"/>
        <v>0</v>
      </c>
      <c r="AE83" s="191" t="s">
        <v>343</v>
      </c>
    </row>
    <row r="84" spans="2:31" ht="266.25" customHeight="1" x14ac:dyDescent="0.25">
      <c r="B84" s="31">
        <v>56</v>
      </c>
      <c r="C84" s="287"/>
      <c r="D84" s="52">
        <v>12029</v>
      </c>
      <c r="E84" s="29" t="s">
        <v>167</v>
      </c>
      <c r="F84" s="323" t="s">
        <v>223</v>
      </c>
      <c r="G84" s="325" t="s">
        <v>209</v>
      </c>
      <c r="H84" s="327" t="s">
        <v>207</v>
      </c>
      <c r="I84" s="329" t="s">
        <v>260</v>
      </c>
      <c r="J84" s="16">
        <f t="shared" si="33"/>
        <v>1171420.3999999999</v>
      </c>
      <c r="K84" s="68">
        <v>976183.7</v>
      </c>
      <c r="L84" s="68">
        <v>195236.7</v>
      </c>
      <c r="M84" s="20">
        <f t="shared" si="34"/>
        <v>79772.29999999993</v>
      </c>
      <c r="N84" s="19">
        <f>976183.7-920242.9</f>
        <v>55940.79999999993</v>
      </c>
      <c r="O84" s="19">
        <f>195236.7-171405.2</f>
        <v>23831.5</v>
      </c>
      <c r="P84" s="20">
        <f t="shared" si="35"/>
        <v>1128377.3</v>
      </c>
      <c r="Q84" s="19">
        <v>941862.5</v>
      </c>
      <c r="R84" s="242">
        <v>186514.8</v>
      </c>
      <c r="S84" s="225">
        <f t="shared" si="36"/>
        <v>44826.899999999994</v>
      </c>
      <c r="T84" s="226">
        <v>32533.1</v>
      </c>
      <c r="U84" s="218">
        <v>12293.8</v>
      </c>
      <c r="V84" s="116">
        <f t="shared" si="37"/>
        <v>44826.899999999994</v>
      </c>
      <c r="W84" s="68">
        <v>32533.1</v>
      </c>
      <c r="X84" s="68">
        <v>12293.8</v>
      </c>
      <c r="Y84" s="20">
        <f t="shared" si="38"/>
        <v>3.9726871499453233</v>
      </c>
      <c r="Z84" s="19">
        <f t="shared" si="38"/>
        <v>3.4541241423243836</v>
      </c>
      <c r="AA84" s="19">
        <f t="shared" si="38"/>
        <v>6.5913268008758559</v>
      </c>
      <c r="AB84" s="22">
        <f t="shared" si="39"/>
        <v>56.193565937048362</v>
      </c>
      <c r="AC84" s="23">
        <v>0</v>
      </c>
      <c r="AD84" s="23">
        <f t="shared" si="39"/>
        <v>51.586345802823985</v>
      </c>
      <c r="AE84" s="191" t="s">
        <v>345</v>
      </c>
    </row>
    <row r="85" spans="2:31" ht="218.25" customHeight="1" x14ac:dyDescent="0.25">
      <c r="B85" s="43">
        <v>57</v>
      </c>
      <c r="C85" s="287"/>
      <c r="D85" s="52">
        <v>12030</v>
      </c>
      <c r="E85" s="29" t="s">
        <v>168</v>
      </c>
      <c r="F85" s="324"/>
      <c r="G85" s="326"/>
      <c r="H85" s="328"/>
      <c r="I85" s="330"/>
      <c r="J85" s="16">
        <f t="shared" si="33"/>
        <v>3091415.0999999996</v>
      </c>
      <c r="K85" s="17">
        <v>2575148.7999999998</v>
      </c>
      <c r="L85" s="68">
        <v>516266.3</v>
      </c>
      <c r="M85" s="20">
        <f t="shared" si="34"/>
        <v>0</v>
      </c>
      <c r="N85" s="19">
        <f>2575148.8-2575148.8</f>
        <v>0</v>
      </c>
      <c r="O85" s="19">
        <f>516266.3-516266.3</f>
        <v>0</v>
      </c>
      <c r="P85" s="22">
        <f t="shared" si="35"/>
        <v>3091415.0999999996</v>
      </c>
      <c r="Q85" s="23">
        <v>2575148.7999999998</v>
      </c>
      <c r="R85" s="238">
        <v>516266.3</v>
      </c>
      <c r="S85" s="216">
        <f t="shared" si="36"/>
        <v>0</v>
      </c>
      <c r="T85" s="217">
        <v>0</v>
      </c>
      <c r="U85" s="218">
        <v>0</v>
      </c>
      <c r="V85" s="21">
        <f t="shared" si="37"/>
        <v>0</v>
      </c>
      <c r="W85" s="17">
        <v>0</v>
      </c>
      <c r="X85" s="17">
        <v>0</v>
      </c>
      <c r="Y85" s="22">
        <f t="shared" si="38"/>
        <v>0</v>
      </c>
      <c r="Z85" s="23">
        <f t="shared" si="38"/>
        <v>0</v>
      </c>
      <c r="AA85" s="23">
        <f t="shared" si="38"/>
        <v>0</v>
      </c>
      <c r="AB85" s="22">
        <v>0</v>
      </c>
      <c r="AC85" s="23">
        <v>0</v>
      </c>
      <c r="AD85" s="23">
        <v>0</v>
      </c>
      <c r="AE85" s="248" t="s">
        <v>289</v>
      </c>
    </row>
    <row r="86" spans="2:31" ht="396" customHeight="1" x14ac:dyDescent="0.25">
      <c r="B86" s="43">
        <v>58</v>
      </c>
      <c r="C86" s="287"/>
      <c r="D86" s="52">
        <v>12017</v>
      </c>
      <c r="E86" s="29" t="s">
        <v>169</v>
      </c>
      <c r="F86" s="50" t="s">
        <v>265</v>
      </c>
      <c r="G86" s="54" t="s">
        <v>262</v>
      </c>
      <c r="H86" s="122" t="s">
        <v>192</v>
      </c>
      <c r="I86" s="122" t="s">
        <v>342</v>
      </c>
      <c r="J86" s="16">
        <f t="shared" si="33"/>
        <v>283903</v>
      </c>
      <c r="K86" s="17">
        <v>236585.8</v>
      </c>
      <c r="L86" s="68">
        <v>47317.2</v>
      </c>
      <c r="M86" s="20">
        <f t="shared" si="34"/>
        <v>0</v>
      </c>
      <c r="N86" s="19">
        <f>236585.8-236585.8</f>
        <v>0</v>
      </c>
      <c r="O86" s="19">
        <f>47317.2-47317.2</f>
        <v>0</v>
      </c>
      <c r="P86" s="22">
        <f t="shared" si="35"/>
        <v>0</v>
      </c>
      <c r="Q86" s="23">
        <v>0</v>
      </c>
      <c r="R86" s="238">
        <v>0</v>
      </c>
      <c r="S86" s="216">
        <f t="shared" si="36"/>
        <v>0</v>
      </c>
      <c r="T86" s="217">
        <v>0</v>
      </c>
      <c r="U86" s="218">
        <v>0</v>
      </c>
      <c r="V86" s="21">
        <f t="shared" si="37"/>
        <v>0</v>
      </c>
      <c r="W86" s="17">
        <v>0</v>
      </c>
      <c r="X86" s="17">
        <v>0</v>
      </c>
      <c r="Y86" s="22" t="e">
        <f t="shared" si="38"/>
        <v>#DIV/0!</v>
      </c>
      <c r="Z86" s="23" t="e">
        <f t="shared" si="38"/>
        <v>#DIV/0!</v>
      </c>
      <c r="AA86" s="23" t="e">
        <f t="shared" si="38"/>
        <v>#DIV/0!</v>
      </c>
      <c r="AB86" s="22">
        <v>0</v>
      </c>
      <c r="AC86" s="23">
        <v>0</v>
      </c>
      <c r="AD86" s="23">
        <v>0</v>
      </c>
      <c r="AE86" s="248" t="s">
        <v>289</v>
      </c>
    </row>
    <row r="87" spans="2:31" ht="312" customHeight="1" x14ac:dyDescent="0.25">
      <c r="B87" s="31">
        <v>59</v>
      </c>
      <c r="C87" s="287"/>
      <c r="D87" s="36">
        <v>12016</v>
      </c>
      <c r="E87" s="29" t="s">
        <v>170</v>
      </c>
      <c r="F87" s="50" t="s">
        <v>215</v>
      </c>
      <c r="G87" s="54" t="s">
        <v>266</v>
      </c>
      <c r="H87" s="122" t="s">
        <v>126</v>
      </c>
      <c r="I87" s="122" t="s">
        <v>292</v>
      </c>
      <c r="J87" s="16">
        <f t="shared" si="33"/>
        <v>262497.39999999997</v>
      </c>
      <c r="K87" s="68">
        <v>218747.8</v>
      </c>
      <c r="L87" s="68">
        <v>43749.599999999999</v>
      </c>
      <c r="M87" s="20">
        <f t="shared" si="34"/>
        <v>11186.899999999987</v>
      </c>
      <c r="N87" s="19">
        <f>218747.8-209409</f>
        <v>9338.7999999999884</v>
      </c>
      <c r="O87" s="19">
        <f>43749.6-18009.5-23892</f>
        <v>1848.0999999999985</v>
      </c>
      <c r="P87" s="20">
        <f t="shared" si="35"/>
        <v>93724.6</v>
      </c>
      <c r="Q87" s="19">
        <v>78103.8</v>
      </c>
      <c r="R87" s="242">
        <v>15620.8</v>
      </c>
      <c r="S87" s="225">
        <f t="shared" si="36"/>
        <v>11186.599999999999</v>
      </c>
      <c r="T87" s="226">
        <v>9338.56</v>
      </c>
      <c r="U87" s="227">
        <v>1848.04</v>
      </c>
      <c r="V87" s="116">
        <f t="shared" si="37"/>
        <v>11186.6</v>
      </c>
      <c r="W87" s="68">
        <v>9338.6</v>
      </c>
      <c r="X87" s="68">
        <v>1848</v>
      </c>
      <c r="Y87" s="22">
        <f t="shared" si="38"/>
        <v>11.935607087146808</v>
      </c>
      <c r="Z87" s="23">
        <f t="shared" si="38"/>
        <v>11.956601343340528</v>
      </c>
      <c r="AA87" s="23">
        <f t="shared" si="38"/>
        <v>11.830636074976955</v>
      </c>
      <c r="AB87" s="22">
        <f t="shared" si="39"/>
        <v>99.997318291930853</v>
      </c>
      <c r="AC87" s="23">
        <f t="shared" si="39"/>
        <v>99.997430076669502</v>
      </c>
      <c r="AD87" s="23">
        <f t="shared" si="39"/>
        <v>99.996753422433926</v>
      </c>
      <c r="AE87" s="191" t="s">
        <v>116</v>
      </c>
    </row>
    <row r="88" spans="2:31" ht="329.25" customHeight="1" x14ac:dyDescent="0.25">
      <c r="B88" s="51">
        <v>60</v>
      </c>
      <c r="C88" s="287"/>
      <c r="D88" s="36">
        <v>12018</v>
      </c>
      <c r="E88" s="45" t="s">
        <v>45</v>
      </c>
      <c r="F88" s="50" t="s">
        <v>94</v>
      </c>
      <c r="G88" s="54" t="s">
        <v>203</v>
      </c>
      <c r="H88" s="122" t="s">
        <v>237</v>
      </c>
      <c r="I88" s="122" t="s">
        <v>291</v>
      </c>
      <c r="J88" s="22">
        <f t="shared" si="33"/>
        <v>141951.5</v>
      </c>
      <c r="K88" s="19">
        <v>118292.9</v>
      </c>
      <c r="L88" s="19">
        <v>23658.6</v>
      </c>
      <c r="M88" s="20">
        <f t="shared" si="34"/>
        <v>0</v>
      </c>
      <c r="N88" s="19">
        <f>118292.9-118292.9</f>
        <v>0</v>
      </c>
      <c r="O88" s="19">
        <f>23658.6-23658.6</f>
        <v>0</v>
      </c>
      <c r="P88" s="20">
        <f t="shared" si="35"/>
        <v>0</v>
      </c>
      <c r="Q88" s="19">
        <v>0</v>
      </c>
      <c r="R88" s="66">
        <v>0</v>
      </c>
      <c r="S88" s="222">
        <f t="shared" si="36"/>
        <v>0</v>
      </c>
      <c r="T88" s="223">
        <v>0</v>
      </c>
      <c r="U88" s="224">
        <v>0</v>
      </c>
      <c r="V88" s="24">
        <f t="shared" si="37"/>
        <v>0</v>
      </c>
      <c r="W88" s="23">
        <v>0</v>
      </c>
      <c r="X88" s="23">
        <v>0</v>
      </c>
      <c r="Y88" s="22" t="e">
        <f t="shared" si="38"/>
        <v>#DIV/0!</v>
      </c>
      <c r="Z88" s="23" t="e">
        <f t="shared" si="38"/>
        <v>#DIV/0!</v>
      </c>
      <c r="AA88" s="23" t="e">
        <f t="shared" si="38"/>
        <v>#DIV/0!</v>
      </c>
      <c r="AB88" s="22">
        <v>0</v>
      </c>
      <c r="AC88" s="23">
        <v>0</v>
      </c>
      <c r="AD88" s="23">
        <v>0</v>
      </c>
      <c r="AE88" s="248" t="s">
        <v>289</v>
      </c>
    </row>
    <row r="89" spans="2:31" ht="368.25" customHeight="1" x14ac:dyDescent="0.25">
      <c r="B89" s="120">
        <v>61</v>
      </c>
      <c r="C89" s="287"/>
      <c r="D89" s="52">
        <v>12020</v>
      </c>
      <c r="E89" s="45" t="s">
        <v>271</v>
      </c>
      <c r="F89" s="45" t="s">
        <v>280</v>
      </c>
      <c r="G89" s="45" t="s">
        <v>272</v>
      </c>
      <c r="H89" s="45" t="s">
        <v>277</v>
      </c>
      <c r="I89" s="45" t="s">
        <v>346</v>
      </c>
      <c r="J89" s="20">
        <f t="shared" si="33"/>
        <v>0</v>
      </c>
      <c r="K89" s="61">
        <v>0</v>
      </c>
      <c r="L89" s="61">
        <v>0</v>
      </c>
      <c r="M89" s="20">
        <f t="shared" si="34"/>
        <v>40909.199999999997</v>
      </c>
      <c r="N89" s="61">
        <v>40909.199999999997</v>
      </c>
      <c r="O89" s="61">
        <v>0</v>
      </c>
      <c r="P89" s="243"/>
      <c r="Q89" s="61"/>
      <c r="R89" s="250"/>
      <c r="S89" s="222">
        <f t="shared" si="36"/>
        <v>40909.199999999997</v>
      </c>
      <c r="T89" s="228">
        <v>40909.199999999997</v>
      </c>
      <c r="U89" s="229">
        <v>0</v>
      </c>
      <c r="V89" s="24">
        <f t="shared" si="37"/>
        <v>40909.199999999997</v>
      </c>
      <c r="W89" s="60">
        <v>40909.199999999997</v>
      </c>
      <c r="X89" s="60">
        <v>0</v>
      </c>
      <c r="Y89" s="59"/>
      <c r="Z89" s="60"/>
      <c r="AA89" s="60"/>
      <c r="AB89" s="22">
        <f t="shared" si="39"/>
        <v>100</v>
      </c>
      <c r="AC89" s="23">
        <f t="shared" si="39"/>
        <v>100</v>
      </c>
      <c r="AD89" s="23">
        <v>0</v>
      </c>
      <c r="AE89" s="248" t="s">
        <v>116</v>
      </c>
    </row>
    <row r="90" spans="2:31" ht="409.5" customHeight="1" thickBot="1" x14ac:dyDescent="0.3">
      <c r="B90" s="51">
        <v>62</v>
      </c>
      <c r="C90" s="287"/>
      <c r="D90" s="206">
        <v>12021</v>
      </c>
      <c r="E90" s="29" t="s">
        <v>273</v>
      </c>
      <c r="F90" s="29" t="s">
        <v>281</v>
      </c>
      <c r="G90" s="29" t="s">
        <v>274</v>
      </c>
      <c r="H90" s="45" t="s">
        <v>278</v>
      </c>
      <c r="I90" s="45" t="s">
        <v>347</v>
      </c>
      <c r="J90" s="16">
        <f t="shared" si="33"/>
        <v>0</v>
      </c>
      <c r="K90" s="68">
        <v>0</v>
      </c>
      <c r="L90" s="68">
        <v>0</v>
      </c>
      <c r="M90" s="18">
        <f t="shared" si="34"/>
        <v>170831.8</v>
      </c>
      <c r="N90" s="68">
        <v>170831.8</v>
      </c>
      <c r="O90" s="68">
        <v>0</v>
      </c>
      <c r="P90" s="18"/>
      <c r="Q90" s="68"/>
      <c r="R90" s="69"/>
      <c r="S90" s="225">
        <f t="shared" si="36"/>
        <v>170831.8</v>
      </c>
      <c r="T90" s="226">
        <v>170831.8</v>
      </c>
      <c r="U90" s="227">
        <v>0</v>
      </c>
      <c r="V90" s="116">
        <f t="shared" si="37"/>
        <v>170831.8</v>
      </c>
      <c r="W90" s="17">
        <v>170831.8</v>
      </c>
      <c r="X90" s="17">
        <v>0</v>
      </c>
      <c r="Y90" s="16"/>
      <c r="Z90" s="17"/>
      <c r="AA90" s="17"/>
      <c r="AB90" s="16">
        <f t="shared" si="39"/>
        <v>100</v>
      </c>
      <c r="AC90" s="17">
        <f t="shared" si="39"/>
        <v>100</v>
      </c>
      <c r="AD90" s="17">
        <v>0</v>
      </c>
      <c r="AE90" s="248" t="s">
        <v>116</v>
      </c>
    </row>
    <row r="91" spans="2:31" ht="153" customHeight="1" x14ac:dyDescent="0.3">
      <c r="B91" s="278" t="s">
        <v>21</v>
      </c>
      <c r="C91" s="279"/>
      <c r="D91" s="279"/>
      <c r="E91" s="279"/>
      <c r="F91" s="279"/>
      <c r="G91" s="279"/>
      <c r="H91" s="279"/>
      <c r="I91" s="279"/>
      <c r="J91" s="149">
        <f t="shared" ref="J91:O91" si="40">SUM(J79:J90)</f>
        <v>6341636.5999999996</v>
      </c>
      <c r="K91" s="150">
        <f t="shared" si="40"/>
        <v>5336372.8999999994</v>
      </c>
      <c r="L91" s="150">
        <f t="shared" si="40"/>
        <v>1005263.7</v>
      </c>
      <c r="M91" s="149">
        <f t="shared" si="40"/>
        <v>2039713.6</v>
      </c>
      <c r="N91" s="150">
        <f t="shared" si="40"/>
        <v>1724531.8</v>
      </c>
      <c r="O91" s="150">
        <f t="shared" si="40"/>
        <v>315181.8</v>
      </c>
      <c r="P91" s="149">
        <f t="shared" ref="P91:R91" si="41">SUM(P79:P88)</f>
        <v>5925227.8999999994</v>
      </c>
      <c r="Q91" s="150">
        <f t="shared" si="41"/>
        <v>5027697.1999999993</v>
      </c>
      <c r="R91" s="151">
        <f t="shared" si="41"/>
        <v>897530.7</v>
      </c>
      <c r="S91" s="133">
        <f t="shared" ref="S91:X91" si="42">SUM(S79:S90)</f>
        <v>1314233.7000000002</v>
      </c>
      <c r="T91" s="134">
        <f t="shared" si="42"/>
        <v>1121465.26</v>
      </c>
      <c r="U91" s="135">
        <f t="shared" si="42"/>
        <v>192768.44</v>
      </c>
      <c r="V91" s="152">
        <f t="shared" si="42"/>
        <v>1314233.7000000002</v>
      </c>
      <c r="W91" s="150">
        <f t="shared" si="42"/>
        <v>1121465.3</v>
      </c>
      <c r="X91" s="150">
        <f t="shared" si="42"/>
        <v>192768.4</v>
      </c>
      <c r="Y91" s="80">
        <f t="shared" si="38"/>
        <v>22.180306347372735</v>
      </c>
      <c r="Z91" s="81">
        <f t="shared" si="38"/>
        <v>22.3057438701758</v>
      </c>
      <c r="AA91" s="81">
        <f t="shared" si="38"/>
        <v>21.477643048867296</v>
      </c>
      <c r="AB91" s="80">
        <f t="shared" si="39"/>
        <v>64.432266373082967</v>
      </c>
      <c r="AC91" s="81">
        <f t="shared" si="39"/>
        <v>65.030129337133701</v>
      </c>
      <c r="AD91" s="81">
        <f t="shared" si="39"/>
        <v>61.161031506260834</v>
      </c>
      <c r="AE91" s="244"/>
    </row>
    <row r="92" spans="2:31" ht="143.25" customHeight="1" x14ac:dyDescent="0.3">
      <c r="B92" s="280" t="s">
        <v>15</v>
      </c>
      <c r="C92" s="281"/>
      <c r="D92" s="281"/>
      <c r="E92" s="281"/>
      <c r="F92" s="281"/>
      <c r="G92" s="281"/>
      <c r="H92" s="281"/>
      <c r="I92" s="281"/>
      <c r="J92" s="86">
        <f>J84+J87</f>
        <v>1433917.7999999998</v>
      </c>
      <c r="K92" s="87">
        <f t="shared" ref="K92:X92" si="43">K84+K87</f>
        <v>1194931.5</v>
      </c>
      <c r="L92" s="87">
        <f t="shared" si="43"/>
        <v>238986.30000000002</v>
      </c>
      <c r="M92" s="86">
        <f t="shared" si="43"/>
        <v>90959.199999999924</v>
      </c>
      <c r="N92" s="87">
        <f t="shared" si="43"/>
        <v>65279.599999999919</v>
      </c>
      <c r="O92" s="87">
        <f t="shared" si="43"/>
        <v>25679.599999999999</v>
      </c>
      <c r="P92" s="86">
        <f t="shared" si="43"/>
        <v>1222101.9000000001</v>
      </c>
      <c r="Q92" s="87">
        <f t="shared" si="43"/>
        <v>1019966.3</v>
      </c>
      <c r="R92" s="88">
        <f t="shared" si="43"/>
        <v>202135.59999999998</v>
      </c>
      <c r="S92" s="138">
        <f t="shared" si="43"/>
        <v>56013.499999999993</v>
      </c>
      <c r="T92" s="139">
        <f t="shared" si="43"/>
        <v>41871.659999999996</v>
      </c>
      <c r="U92" s="140">
        <f t="shared" si="43"/>
        <v>14141.84</v>
      </c>
      <c r="V92" s="89">
        <f t="shared" si="43"/>
        <v>56013.499999999993</v>
      </c>
      <c r="W92" s="87">
        <f t="shared" si="43"/>
        <v>41871.699999999997</v>
      </c>
      <c r="X92" s="87">
        <f t="shared" si="43"/>
        <v>14141.8</v>
      </c>
      <c r="Y92" s="82">
        <f t="shared" si="38"/>
        <v>4.583373939603562</v>
      </c>
      <c r="Z92" s="83">
        <f t="shared" si="38"/>
        <v>4.1052003384817706</v>
      </c>
      <c r="AA92" s="83">
        <f t="shared" si="38"/>
        <v>6.9962144223976379</v>
      </c>
      <c r="AB92" s="82">
        <f t="shared" si="39"/>
        <v>61.580906604279761</v>
      </c>
      <c r="AC92" s="83">
        <f t="shared" si="39"/>
        <v>64.142029056550669</v>
      </c>
      <c r="AD92" s="83">
        <f t="shared" si="39"/>
        <v>55.070328198258544</v>
      </c>
      <c r="AE92" s="208"/>
    </row>
    <row r="93" spans="2:31" ht="151.5" customHeight="1" thickBot="1" x14ac:dyDescent="0.35">
      <c r="B93" s="282" t="s">
        <v>16</v>
      </c>
      <c r="C93" s="283"/>
      <c r="D93" s="283"/>
      <c r="E93" s="283"/>
      <c r="F93" s="283"/>
      <c r="G93" s="283"/>
      <c r="H93" s="283"/>
      <c r="I93" s="283"/>
      <c r="J93" s="98">
        <f>J91-J92</f>
        <v>4907718.8</v>
      </c>
      <c r="K93" s="99">
        <f t="shared" ref="K93:X93" si="44">K91-K92</f>
        <v>4141441.3999999994</v>
      </c>
      <c r="L93" s="99">
        <f t="shared" si="44"/>
        <v>766277.39999999991</v>
      </c>
      <c r="M93" s="98">
        <f t="shared" si="44"/>
        <v>1948754.4000000001</v>
      </c>
      <c r="N93" s="99">
        <f t="shared" si="44"/>
        <v>1659252.2000000002</v>
      </c>
      <c r="O93" s="99">
        <f t="shared" si="44"/>
        <v>289502.2</v>
      </c>
      <c r="P93" s="98">
        <f t="shared" si="44"/>
        <v>4703125.9999999991</v>
      </c>
      <c r="Q93" s="99">
        <f t="shared" si="44"/>
        <v>4007730.8999999994</v>
      </c>
      <c r="R93" s="100">
        <f t="shared" si="44"/>
        <v>695395.1</v>
      </c>
      <c r="S93" s="142">
        <f t="shared" si="44"/>
        <v>1258220.2000000002</v>
      </c>
      <c r="T93" s="143">
        <f t="shared" si="44"/>
        <v>1079593.6000000001</v>
      </c>
      <c r="U93" s="144">
        <f t="shared" si="44"/>
        <v>178626.6</v>
      </c>
      <c r="V93" s="104">
        <f t="shared" si="44"/>
        <v>1258220.2000000002</v>
      </c>
      <c r="W93" s="99">
        <f t="shared" si="44"/>
        <v>1079593.6000000001</v>
      </c>
      <c r="X93" s="99">
        <f t="shared" si="44"/>
        <v>178626.6</v>
      </c>
      <c r="Y93" s="98">
        <f t="shared" si="38"/>
        <v>26.752849062517154</v>
      </c>
      <c r="Z93" s="99">
        <f t="shared" si="38"/>
        <v>26.937776685555413</v>
      </c>
      <c r="AA93" s="99">
        <f t="shared" si="38"/>
        <v>25.6870662447866</v>
      </c>
      <c r="AB93" s="98">
        <f t="shared" si="39"/>
        <v>64.565355182777267</v>
      </c>
      <c r="AC93" s="99">
        <f t="shared" si="39"/>
        <v>65.065069674158025</v>
      </c>
      <c r="AD93" s="99">
        <f t="shared" si="39"/>
        <v>61.70129277083214</v>
      </c>
      <c r="AE93" s="209"/>
    </row>
    <row r="94" spans="2:31" ht="50.25" customHeight="1" thickBot="1" x14ac:dyDescent="0.3">
      <c r="B94" s="284" t="s">
        <v>249</v>
      </c>
      <c r="C94" s="285"/>
      <c r="D94" s="285"/>
      <c r="E94" s="285"/>
      <c r="F94" s="285"/>
      <c r="G94" s="285"/>
      <c r="H94" s="285"/>
      <c r="I94" s="285"/>
      <c r="J94" s="285"/>
      <c r="K94" s="285"/>
      <c r="L94" s="285"/>
      <c r="M94" s="285"/>
      <c r="N94" s="285"/>
      <c r="O94" s="285"/>
      <c r="P94" s="285"/>
      <c r="Q94" s="285"/>
      <c r="R94" s="285"/>
      <c r="S94" s="285"/>
      <c r="T94" s="285"/>
      <c r="U94" s="285"/>
      <c r="V94" s="285"/>
      <c r="W94" s="285"/>
      <c r="X94" s="285"/>
      <c r="Y94" s="285"/>
      <c r="Z94" s="285"/>
      <c r="AA94" s="285"/>
      <c r="AB94" s="285"/>
      <c r="AC94" s="285"/>
      <c r="AD94" s="285"/>
      <c r="AE94" s="286"/>
    </row>
    <row r="95" spans="2:31" ht="409.5" customHeight="1" x14ac:dyDescent="0.25">
      <c r="B95" s="118">
        <v>63</v>
      </c>
      <c r="C95" s="287">
        <v>1167</v>
      </c>
      <c r="D95" s="119">
        <v>42003</v>
      </c>
      <c r="E95" s="40" t="s">
        <v>47</v>
      </c>
      <c r="F95" s="41" t="s">
        <v>95</v>
      </c>
      <c r="G95" s="124" t="s">
        <v>194</v>
      </c>
      <c r="H95" s="42" t="s">
        <v>193</v>
      </c>
      <c r="I95" s="42" t="s">
        <v>314</v>
      </c>
      <c r="J95" s="64">
        <f t="shared" si="33"/>
        <v>1026998.3</v>
      </c>
      <c r="K95" s="61">
        <v>862593.5</v>
      </c>
      <c r="L95" s="15">
        <v>164404.79999999999</v>
      </c>
      <c r="M95" s="62">
        <f t="shared" si="34"/>
        <v>16316.299999999974</v>
      </c>
      <c r="N95" s="15">
        <f>862593.5-850330.9</f>
        <v>12262.599999999977</v>
      </c>
      <c r="O95" s="15">
        <f>164404.8-76389.7-83961.4</f>
        <v>4053.6999999999971</v>
      </c>
      <c r="P95" s="15">
        <f t="shared" ref="P95:P100" si="45">Q95+R95</f>
        <v>16316.3</v>
      </c>
      <c r="Q95" s="15">
        <f>966.1+11296.5</f>
        <v>12262.6</v>
      </c>
      <c r="R95" s="203">
        <f>0+4053.7</f>
        <v>4053.7</v>
      </c>
      <c r="S95" s="259">
        <f t="shared" si="36"/>
        <v>15827.4</v>
      </c>
      <c r="T95" s="260">
        <v>11905.4</v>
      </c>
      <c r="U95" s="261">
        <v>3922</v>
      </c>
      <c r="V95" s="131">
        <f t="shared" si="37"/>
        <v>15827.4</v>
      </c>
      <c r="W95" s="15">
        <v>11905.4</v>
      </c>
      <c r="X95" s="61">
        <v>3922</v>
      </c>
      <c r="Y95" s="62">
        <f t="shared" si="38"/>
        <v>97.003609887045471</v>
      </c>
      <c r="Z95" s="15">
        <f t="shared" si="38"/>
        <v>97.087077781220941</v>
      </c>
      <c r="AA95" s="15">
        <f t="shared" si="38"/>
        <v>96.751116264153737</v>
      </c>
      <c r="AB95" s="62">
        <f t="shared" si="39"/>
        <v>97.003609887045627</v>
      </c>
      <c r="AC95" s="15">
        <f t="shared" si="39"/>
        <v>97.087077781221126</v>
      </c>
      <c r="AD95" s="65">
        <f t="shared" si="39"/>
        <v>96.751116264153808</v>
      </c>
      <c r="AE95" s="251" t="s">
        <v>275</v>
      </c>
    </row>
    <row r="96" spans="2:31" ht="366" customHeight="1" x14ac:dyDescent="0.25">
      <c r="B96" s="43">
        <v>64</v>
      </c>
      <c r="C96" s="287"/>
      <c r="D96" s="112">
        <v>42005</v>
      </c>
      <c r="E96" s="29" t="s">
        <v>48</v>
      </c>
      <c r="F96" s="70" t="s">
        <v>96</v>
      </c>
      <c r="G96" s="53" t="s">
        <v>183</v>
      </c>
      <c r="H96" s="47" t="s">
        <v>195</v>
      </c>
      <c r="I96" s="47" t="s">
        <v>315</v>
      </c>
      <c r="J96" s="22">
        <f t="shared" si="33"/>
        <v>1945151.4000000001</v>
      </c>
      <c r="K96" s="19">
        <v>1556121.1</v>
      </c>
      <c r="L96" s="19">
        <v>389030.3</v>
      </c>
      <c r="M96" s="20">
        <f t="shared" si="34"/>
        <v>1945151.4000000001</v>
      </c>
      <c r="N96" s="19">
        <v>1556121.1</v>
      </c>
      <c r="O96" s="19">
        <v>389030.3</v>
      </c>
      <c r="P96" s="19">
        <f t="shared" si="45"/>
        <v>1719247.6999999997</v>
      </c>
      <c r="Q96" s="19">
        <f>1447246.4-11296.5-50937.6</f>
        <v>1385012.2999999998</v>
      </c>
      <c r="R96" s="201">
        <f>351023.5-4053.7-12734.4</f>
        <v>334235.39999999997</v>
      </c>
      <c r="S96" s="222">
        <f t="shared" si="36"/>
        <v>1522001.1</v>
      </c>
      <c r="T96" s="223">
        <v>1222075</v>
      </c>
      <c r="U96" s="224">
        <v>299926.09999999998</v>
      </c>
      <c r="V96" s="131">
        <f t="shared" si="37"/>
        <v>1522001.1</v>
      </c>
      <c r="W96" s="15">
        <v>1222075</v>
      </c>
      <c r="X96" s="19">
        <v>299926.09999999998</v>
      </c>
      <c r="Y96" s="20">
        <f t="shared" si="38"/>
        <v>88.527156383574066</v>
      </c>
      <c r="Z96" s="19">
        <f t="shared" si="38"/>
        <v>88.235678484588192</v>
      </c>
      <c r="AA96" s="19">
        <f t="shared" si="38"/>
        <v>89.734989172301908</v>
      </c>
      <c r="AB96" s="20">
        <f t="shared" si="39"/>
        <v>78.245893867181749</v>
      </c>
      <c r="AC96" s="19">
        <f t="shared" si="39"/>
        <v>78.533412341751557</v>
      </c>
      <c r="AD96" s="23">
        <f t="shared" si="39"/>
        <v>77.095820042809009</v>
      </c>
      <c r="AE96" s="191" t="s">
        <v>350</v>
      </c>
    </row>
    <row r="97" spans="2:31" ht="372.75" customHeight="1" x14ac:dyDescent="0.25">
      <c r="B97" s="43">
        <v>65</v>
      </c>
      <c r="C97" s="287"/>
      <c r="D97" s="112">
        <v>42008</v>
      </c>
      <c r="E97" s="45" t="s">
        <v>49</v>
      </c>
      <c r="F97" s="46" t="s">
        <v>108</v>
      </c>
      <c r="G97" s="53" t="s">
        <v>109</v>
      </c>
      <c r="H97" s="293" t="s">
        <v>99</v>
      </c>
      <c r="I97" s="293" t="s">
        <v>316</v>
      </c>
      <c r="J97" s="22">
        <f t="shared" si="33"/>
        <v>21055477.600000001</v>
      </c>
      <c r="K97" s="19">
        <v>21027663</v>
      </c>
      <c r="L97" s="19">
        <v>27814.6</v>
      </c>
      <c r="M97" s="20">
        <f t="shared" si="34"/>
        <v>139072.99999999852</v>
      </c>
      <c r="N97" s="19">
        <f>21027663-20916404.6</f>
        <v>111258.39999999851</v>
      </c>
      <c r="O97" s="19">
        <v>27814.6</v>
      </c>
      <c r="P97" s="19">
        <f t="shared" si="45"/>
        <v>63672</v>
      </c>
      <c r="Q97" s="19">
        <f>0+50937.6</f>
        <v>50937.599999999999</v>
      </c>
      <c r="R97" s="201">
        <f>0+12734.4</f>
        <v>12734.4</v>
      </c>
      <c r="S97" s="222">
        <f t="shared" si="36"/>
        <v>64559.3</v>
      </c>
      <c r="T97" s="223">
        <v>51588.1</v>
      </c>
      <c r="U97" s="224">
        <v>12971.2</v>
      </c>
      <c r="V97" s="67">
        <f t="shared" si="37"/>
        <v>64559.3</v>
      </c>
      <c r="W97" s="205">
        <v>51588.1</v>
      </c>
      <c r="X97" s="19">
        <v>12971.2</v>
      </c>
      <c r="Y97" s="20">
        <f t="shared" ref="Y97:AA103" si="46">S97/P97*100</f>
        <v>101.39354818444528</v>
      </c>
      <c r="Z97" s="19">
        <f t="shared" si="46"/>
        <v>101.27705270762659</v>
      </c>
      <c r="AA97" s="19">
        <f t="shared" si="46"/>
        <v>101.85953009172006</v>
      </c>
      <c r="AB97" s="20">
        <f t="shared" ref="AB97:AD103" si="47">S97/M97*100</f>
        <v>46.421160110158475</v>
      </c>
      <c r="AC97" s="19">
        <f t="shared" si="47"/>
        <v>46.367824811430587</v>
      </c>
      <c r="AD97" s="23">
        <f t="shared" si="47"/>
        <v>46.634501305070003</v>
      </c>
      <c r="AE97" s="320" t="s">
        <v>317</v>
      </c>
    </row>
    <row r="98" spans="2:31" ht="267.75" customHeight="1" x14ac:dyDescent="0.25">
      <c r="B98" s="31">
        <v>66</v>
      </c>
      <c r="C98" s="287"/>
      <c r="D98" s="36">
        <v>11006</v>
      </c>
      <c r="E98" s="40" t="s">
        <v>171</v>
      </c>
      <c r="F98" s="318" t="s">
        <v>97</v>
      </c>
      <c r="G98" s="319" t="s">
        <v>98</v>
      </c>
      <c r="H98" s="293"/>
      <c r="I98" s="293"/>
      <c r="J98" s="22">
        <f t="shared" si="33"/>
        <v>176620.30000000002</v>
      </c>
      <c r="K98" s="68">
        <v>141296.20000000001</v>
      </c>
      <c r="L98" s="19">
        <v>35324.1</v>
      </c>
      <c r="M98" s="20">
        <f t="shared" si="34"/>
        <v>176620.30000000002</v>
      </c>
      <c r="N98" s="19">
        <v>141296.20000000001</v>
      </c>
      <c r="O98" s="19">
        <v>35324.1</v>
      </c>
      <c r="P98" s="19">
        <f t="shared" si="45"/>
        <v>63672</v>
      </c>
      <c r="Q98" s="19">
        <f>0+50937.6</f>
        <v>50937.599999999999</v>
      </c>
      <c r="R98" s="201">
        <f>0+12734.4</f>
        <v>12734.4</v>
      </c>
      <c r="S98" s="222">
        <f t="shared" si="36"/>
        <v>64559.3</v>
      </c>
      <c r="T98" s="223">
        <v>51588.1</v>
      </c>
      <c r="U98" s="224">
        <v>12971.2</v>
      </c>
      <c r="V98" s="67">
        <f t="shared" si="37"/>
        <v>64559.3</v>
      </c>
      <c r="W98" s="68">
        <v>51588.1</v>
      </c>
      <c r="X98" s="68">
        <v>12971.2</v>
      </c>
      <c r="Y98" s="20">
        <f t="shared" si="46"/>
        <v>101.39354818444528</v>
      </c>
      <c r="Z98" s="19">
        <f t="shared" si="46"/>
        <v>101.27705270762659</v>
      </c>
      <c r="AA98" s="19">
        <f t="shared" si="46"/>
        <v>101.85953009172006</v>
      </c>
      <c r="AB98" s="20">
        <f t="shared" si="47"/>
        <v>36.552593331570606</v>
      </c>
      <c r="AC98" s="19">
        <f t="shared" si="47"/>
        <v>36.51060679621957</v>
      </c>
      <c r="AD98" s="23">
        <f t="shared" si="47"/>
        <v>36.720539235252993</v>
      </c>
      <c r="AE98" s="321"/>
    </row>
    <row r="99" spans="2:31" ht="331.5" customHeight="1" x14ac:dyDescent="0.25">
      <c r="B99" s="51">
        <v>67</v>
      </c>
      <c r="C99" s="287"/>
      <c r="D99" s="36">
        <v>32006</v>
      </c>
      <c r="E99" s="29" t="s">
        <v>46</v>
      </c>
      <c r="F99" s="318"/>
      <c r="G99" s="319"/>
      <c r="H99" s="293"/>
      <c r="I99" s="293"/>
      <c r="J99" s="16">
        <f t="shared" si="33"/>
        <v>1082525.8</v>
      </c>
      <c r="K99" s="68">
        <v>1082525.8</v>
      </c>
      <c r="L99" s="19">
        <v>0</v>
      </c>
      <c r="M99" s="20">
        <f t="shared" si="34"/>
        <v>0</v>
      </c>
      <c r="N99" s="19">
        <f>1082525.8-1082525.8</f>
        <v>0</v>
      </c>
      <c r="O99" s="19">
        <f>110000.9-110000.9</f>
        <v>0</v>
      </c>
      <c r="P99" s="19">
        <f t="shared" si="45"/>
        <v>0</v>
      </c>
      <c r="Q99" s="19">
        <v>0</v>
      </c>
      <c r="R99" s="210">
        <v>0</v>
      </c>
      <c r="S99" s="225">
        <f t="shared" si="36"/>
        <v>0</v>
      </c>
      <c r="T99" s="226">
        <v>0</v>
      </c>
      <c r="U99" s="227">
        <v>0</v>
      </c>
      <c r="V99" s="116">
        <f t="shared" si="37"/>
        <v>0</v>
      </c>
      <c r="W99" s="68">
        <v>0</v>
      </c>
      <c r="X99" s="68">
        <v>0</v>
      </c>
      <c r="Y99" s="18" t="e">
        <f t="shared" si="46"/>
        <v>#DIV/0!</v>
      </c>
      <c r="Z99" s="68" t="e">
        <f t="shared" si="46"/>
        <v>#DIV/0!</v>
      </c>
      <c r="AA99" s="68" t="e">
        <f t="shared" si="46"/>
        <v>#DIV/0!</v>
      </c>
      <c r="AB99" s="18">
        <v>0</v>
      </c>
      <c r="AC99" s="68">
        <v>0</v>
      </c>
      <c r="AD99" s="17">
        <v>0</v>
      </c>
      <c r="AE99" s="251" t="s">
        <v>290</v>
      </c>
    </row>
    <row r="100" spans="2:31" ht="409.6" customHeight="1" thickBot="1" x14ac:dyDescent="0.3">
      <c r="B100" s="51">
        <v>68</v>
      </c>
      <c r="C100" s="287"/>
      <c r="D100" s="195">
        <v>42012</v>
      </c>
      <c r="E100" s="29" t="s">
        <v>232</v>
      </c>
      <c r="F100" s="193" t="s">
        <v>310</v>
      </c>
      <c r="G100" s="194" t="s">
        <v>235</v>
      </c>
      <c r="H100" s="34" t="s">
        <v>234</v>
      </c>
      <c r="I100" s="197" t="s">
        <v>309</v>
      </c>
      <c r="J100" s="16">
        <f t="shared" si="33"/>
        <v>21125475</v>
      </c>
      <c r="K100" s="17">
        <v>21125475</v>
      </c>
      <c r="L100" s="17">
        <v>0</v>
      </c>
      <c r="M100" s="18">
        <f t="shared" si="34"/>
        <v>0</v>
      </c>
      <c r="N100" s="68">
        <f>21125475-21125475</f>
        <v>0</v>
      </c>
      <c r="O100" s="68">
        <v>0</v>
      </c>
      <c r="P100" s="18">
        <f t="shared" si="45"/>
        <v>13077275</v>
      </c>
      <c r="Q100" s="68">
        <v>13077275</v>
      </c>
      <c r="R100" s="69">
        <v>0</v>
      </c>
      <c r="S100" s="216">
        <f t="shared" si="36"/>
        <v>0</v>
      </c>
      <c r="T100" s="217">
        <v>0</v>
      </c>
      <c r="U100" s="218">
        <v>0</v>
      </c>
      <c r="V100" s="21">
        <f t="shared" si="37"/>
        <v>0</v>
      </c>
      <c r="W100" s="17">
        <v>0</v>
      </c>
      <c r="X100" s="17">
        <v>0</v>
      </c>
      <c r="Y100" s="16">
        <f t="shared" si="46"/>
        <v>0</v>
      </c>
      <c r="Z100" s="17">
        <f t="shared" si="46"/>
        <v>0</v>
      </c>
      <c r="AA100" s="17" t="e">
        <f t="shared" si="46"/>
        <v>#DIV/0!</v>
      </c>
      <c r="AB100" s="16">
        <v>0</v>
      </c>
      <c r="AC100" s="17">
        <v>0</v>
      </c>
      <c r="AD100" s="17">
        <v>0</v>
      </c>
      <c r="AE100" s="251" t="s">
        <v>341</v>
      </c>
    </row>
    <row r="101" spans="2:31" ht="161.25" customHeight="1" x14ac:dyDescent="0.25">
      <c r="B101" s="278" t="s">
        <v>22</v>
      </c>
      <c r="C101" s="279"/>
      <c r="D101" s="279"/>
      <c r="E101" s="279"/>
      <c r="F101" s="279"/>
      <c r="G101" s="279"/>
      <c r="H101" s="279"/>
      <c r="I101" s="279"/>
      <c r="J101" s="80">
        <f t="shared" ref="J101:X101" si="48">SUM(J95:J100)</f>
        <v>46412248.400000006</v>
      </c>
      <c r="K101" s="81">
        <f t="shared" si="48"/>
        <v>45795674.600000001</v>
      </c>
      <c r="L101" s="81">
        <f t="shared" si="48"/>
        <v>616573.79999999993</v>
      </c>
      <c r="M101" s="80">
        <f t="shared" si="48"/>
        <v>2277160.9999999986</v>
      </c>
      <c r="N101" s="81">
        <f t="shared" si="48"/>
        <v>1820938.2999999986</v>
      </c>
      <c r="O101" s="81">
        <f t="shared" si="48"/>
        <v>456222.69999999995</v>
      </c>
      <c r="P101" s="80">
        <f t="shared" si="48"/>
        <v>14940183</v>
      </c>
      <c r="Q101" s="81">
        <f t="shared" si="48"/>
        <v>14576425.1</v>
      </c>
      <c r="R101" s="90">
        <f t="shared" si="48"/>
        <v>363757.9</v>
      </c>
      <c r="S101" s="133">
        <f t="shared" si="48"/>
        <v>1666947.1</v>
      </c>
      <c r="T101" s="134">
        <f t="shared" si="48"/>
        <v>1337156.6000000001</v>
      </c>
      <c r="U101" s="135">
        <f t="shared" si="48"/>
        <v>329790.5</v>
      </c>
      <c r="V101" s="94">
        <f t="shared" si="48"/>
        <v>1666947.1</v>
      </c>
      <c r="W101" s="81">
        <f t="shared" si="48"/>
        <v>1337156.6000000001</v>
      </c>
      <c r="X101" s="81">
        <f t="shared" si="48"/>
        <v>329790.5</v>
      </c>
      <c r="Y101" s="80">
        <f t="shared" si="46"/>
        <v>11.157474443251465</v>
      </c>
      <c r="Z101" s="81">
        <f t="shared" si="46"/>
        <v>9.1734193454607738</v>
      </c>
      <c r="AA101" s="81">
        <f t="shared" si="46"/>
        <v>90.662085964318578</v>
      </c>
      <c r="AB101" s="80">
        <f t="shared" si="47"/>
        <v>73.202865322214862</v>
      </c>
      <c r="AC101" s="81">
        <f t="shared" si="47"/>
        <v>73.43228488301888</v>
      </c>
      <c r="AD101" s="81">
        <f t="shared" si="47"/>
        <v>72.287174662725022</v>
      </c>
      <c r="AE101" s="211"/>
    </row>
    <row r="102" spans="2:31" ht="153" customHeight="1" x14ac:dyDescent="0.25">
      <c r="B102" s="280" t="s">
        <v>15</v>
      </c>
      <c r="C102" s="281"/>
      <c r="D102" s="281"/>
      <c r="E102" s="281"/>
      <c r="F102" s="281"/>
      <c r="G102" s="281"/>
      <c r="H102" s="281"/>
      <c r="I102" s="281"/>
      <c r="J102" s="82">
        <f>J98</f>
        <v>176620.30000000002</v>
      </c>
      <c r="K102" s="83">
        <f t="shared" ref="K102:X102" si="49">K98</f>
        <v>141296.20000000001</v>
      </c>
      <c r="L102" s="83">
        <f t="shared" si="49"/>
        <v>35324.1</v>
      </c>
      <c r="M102" s="82">
        <f t="shared" si="49"/>
        <v>176620.30000000002</v>
      </c>
      <c r="N102" s="83">
        <f t="shared" si="49"/>
        <v>141296.20000000001</v>
      </c>
      <c r="O102" s="83">
        <f t="shared" si="49"/>
        <v>35324.1</v>
      </c>
      <c r="P102" s="82">
        <f t="shared" si="49"/>
        <v>63672</v>
      </c>
      <c r="Q102" s="83">
        <f t="shared" si="49"/>
        <v>50937.599999999999</v>
      </c>
      <c r="R102" s="85">
        <f t="shared" si="49"/>
        <v>12734.4</v>
      </c>
      <c r="S102" s="138">
        <f t="shared" si="49"/>
        <v>64559.3</v>
      </c>
      <c r="T102" s="139">
        <f t="shared" si="49"/>
        <v>51588.1</v>
      </c>
      <c r="U102" s="140">
        <f t="shared" si="49"/>
        <v>12971.2</v>
      </c>
      <c r="V102" s="84">
        <f t="shared" si="49"/>
        <v>64559.3</v>
      </c>
      <c r="W102" s="83">
        <f t="shared" si="49"/>
        <v>51588.1</v>
      </c>
      <c r="X102" s="83">
        <f t="shared" si="49"/>
        <v>12971.2</v>
      </c>
      <c r="Y102" s="82">
        <f t="shared" si="46"/>
        <v>101.39354818444528</v>
      </c>
      <c r="Z102" s="83">
        <f t="shared" si="46"/>
        <v>101.27705270762659</v>
      </c>
      <c r="AA102" s="83">
        <f t="shared" si="46"/>
        <v>101.85953009172006</v>
      </c>
      <c r="AB102" s="82">
        <f t="shared" si="47"/>
        <v>36.552593331570606</v>
      </c>
      <c r="AC102" s="83">
        <f t="shared" si="47"/>
        <v>36.51060679621957</v>
      </c>
      <c r="AD102" s="83">
        <f t="shared" si="47"/>
        <v>36.720539235252993</v>
      </c>
      <c r="AE102" s="212"/>
    </row>
    <row r="103" spans="2:31" ht="165" customHeight="1" thickBot="1" x14ac:dyDescent="0.35">
      <c r="B103" s="282" t="s">
        <v>16</v>
      </c>
      <c r="C103" s="283"/>
      <c r="D103" s="283"/>
      <c r="E103" s="283"/>
      <c r="F103" s="283"/>
      <c r="G103" s="283"/>
      <c r="H103" s="283"/>
      <c r="I103" s="283"/>
      <c r="J103" s="98">
        <f>J101-J102</f>
        <v>46235628.100000009</v>
      </c>
      <c r="K103" s="99">
        <f t="shared" ref="K103:X103" si="50">K101-K102</f>
        <v>45654378.399999999</v>
      </c>
      <c r="L103" s="99">
        <f t="shared" si="50"/>
        <v>581249.69999999995</v>
      </c>
      <c r="M103" s="98">
        <f t="shared" si="50"/>
        <v>2100540.6999999988</v>
      </c>
      <c r="N103" s="99">
        <f t="shared" si="50"/>
        <v>1679642.0999999987</v>
      </c>
      <c r="O103" s="99">
        <f t="shared" si="50"/>
        <v>420898.6</v>
      </c>
      <c r="P103" s="98">
        <f t="shared" si="50"/>
        <v>14876511</v>
      </c>
      <c r="Q103" s="99">
        <f t="shared" si="50"/>
        <v>14525487.5</v>
      </c>
      <c r="R103" s="100">
        <f t="shared" si="50"/>
        <v>351023.5</v>
      </c>
      <c r="S103" s="142">
        <f t="shared" si="50"/>
        <v>1602387.8</v>
      </c>
      <c r="T103" s="143">
        <f t="shared" si="50"/>
        <v>1285568.5</v>
      </c>
      <c r="U103" s="144">
        <f t="shared" si="50"/>
        <v>316819.3</v>
      </c>
      <c r="V103" s="104">
        <f t="shared" si="50"/>
        <v>1602387.8</v>
      </c>
      <c r="W103" s="99">
        <f t="shared" si="50"/>
        <v>1285568.5</v>
      </c>
      <c r="X103" s="99">
        <f t="shared" si="50"/>
        <v>316819.3</v>
      </c>
      <c r="Y103" s="98">
        <f t="shared" si="46"/>
        <v>10.77126081511989</v>
      </c>
      <c r="Z103" s="99">
        <f t="shared" si="46"/>
        <v>8.8504327307431154</v>
      </c>
      <c r="AA103" s="99">
        <f t="shared" si="46"/>
        <v>90.255866060249517</v>
      </c>
      <c r="AB103" s="98">
        <f t="shared" si="47"/>
        <v>76.284539499758381</v>
      </c>
      <c r="AC103" s="99">
        <f t="shared" si="47"/>
        <v>76.538239902417374</v>
      </c>
      <c r="AD103" s="99">
        <f t="shared" si="47"/>
        <v>75.272120173362424</v>
      </c>
      <c r="AE103" s="209"/>
    </row>
    <row r="104" spans="2:31" ht="50.25" customHeight="1" thickBot="1" x14ac:dyDescent="0.3">
      <c r="B104" s="284" t="s">
        <v>175</v>
      </c>
      <c r="C104" s="285"/>
      <c r="D104" s="285"/>
      <c r="E104" s="285"/>
      <c r="F104" s="285"/>
      <c r="G104" s="285"/>
      <c r="H104" s="285"/>
      <c r="I104" s="285"/>
      <c r="J104" s="285"/>
      <c r="K104" s="285"/>
      <c r="L104" s="285"/>
      <c r="M104" s="285"/>
      <c r="N104" s="285"/>
      <c r="O104" s="285"/>
      <c r="P104" s="285"/>
      <c r="Q104" s="285"/>
      <c r="R104" s="285"/>
      <c r="S104" s="285"/>
      <c r="T104" s="285"/>
      <c r="U104" s="285"/>
      <c r="V104" s="285"/>
      <c r="W104" s="285"/>
      <c r="X104" s="285"/>
      <c r="Y104" s="285"/>
      <c r="Z104" s="285"/>
      <c r="AA104" s="285"/>
      <c r="AB104" s="285"/>
      <c r="AC104" s="285"/>
      <c r="AD104" s="285"/>
      <c r="AE104" s="286"/>
    </row>
    <row r="105" spans="2:31" ht="315" customHeight="1" x14ac:dyDescent="0.25">
      <c r="B105" s="107">
        <v>69</v>
      </c>
      <c r="C105" s="287">
        <v>1232</v>
      </c>
      <c r="D105" s="108">
        <v>12001</v>
      </c>
      <c r="E105" s="105" t="s">
        <v>172</v>
      </c>
      <c r="F105" s="105" t="s">
        <v>208</v>
      </c>
      <c r="G105" s="288" t="s">
        <v>250</v>
      </c>
      <c r="H105" s="290" t="s">
        <v>236</v>
      </c>
      <c r="I105" s="290" t="s">
        <v>356</v>
      </c>
      <c r="J105" s="64">
        <f t="shared" ref="J105:J108" si="51">K105+L105</f>
        <v>815001.59999999998</v>
      </c>
      <c r="K105" s="65">
        <v>679168</v>
      </c>
      <c r="L105" s="15">
        <v>135833.60000000001</v>
      </c>
      <c r="M105" s="62">
        <f t="shared" ref="M105:M108" si="52">N105+O105</f>
        <v>0</v>
      </c>
      <c r="N105" s="15">
        <f>679168-679168</f>
        <v>0</v>
      </c>
      <c r="O105" s="15">
        <f>135833.6-135833.6</f>
        <v>0</v>
      </c>
      <c r="P105" s="64">
        <f t="shared" ref="P105:P108" si="53">Q105+R105</f>
        <v>435000</v>
      </c>
      <c r="Q105" s="65">
        <v>420000</v>
      </c>
      <c r="R105" s="202">
        <v>15000</v>
      </c>
      <c r="S105" s="213">
        <f t="shared" ref="S105:S108" si="54">T105+U105</f>
        <v>0</v>
      </c>
      <c r="T105" s="214">
        <v>0</v>
      </c>
      <c r="U105" s="215">
        <v>0</v>
      </c>
      <c r="V105" s="106">
        <f t="shared" ref="V105:V108" si="55">W105+X105</f>
        <v>0</v>
      </c>
      <c r="W105" s="65">
        <v>0</v>
      </c>
      <c r="X105" s="65">
        <v>0</v>
      </c>
      <c r="Y105" s="64">
        <f t="shared" ref="Y105:AA111" si="56">S105/P105*100</f>
        <v>0</v>
      </c>
      <c r="Z105" s="65">
        <f t="shared" si="56"/>
        <v>0</v>
      </c>
      <c r="AA105" s="65">
        <f t="shared" si="56"/>
        <v>0</v>
      </c>
      <c r="AB105" s="64">
        <v>0</v>
      </c>
      <c r="AC105" s="65">
        <v>0</v>
      </c>
      <c r="AD105" s="65">
        <v>0</v>
      </c>
      <c r="AE105" s="249" t="s">
        <v>289</v>
      </c>
    </row>
    <row r="106" spans="2:31" ht="315" customHeight="1" x14ac:dyDescent="0.25">
      <c r="B106" s="120">
        <v>70</v>
      </c>
      <c r="C106" s="287"/>
      <c r="D106" s="128" t="s">
        <v>177</v>
      </c>
      <c r="E106" s="45" t="s">
        <v>176</v>
      </c>
      <c r="F106" s="105" t="s">
        <v>201</v>
      </c>
      <c r="G106" s="289"/>
      <c r="H106" s="291"/>
      <c r="I106" s="291"/>
      <c r="J106" s="22">
        <f t="shared" si="51"/>
        <v>3939855.2</v>
      </c>
      <c r="K106" s="65">
        <v>3151884.2</v>
      </c>
      <c r="L106" s="19">
        <v>787971</v>
      </c>
      <c r="M106" s="20">
        <f t="shared" si="52"/>
        <v>0</v>
      </c>
      <c r="N106" s="19">
        <f>3151884.2-3151884.2</f>
        <v>0</v>
      </c>
      <c r="O106" s="19">
        <f>787971-787971</f>
        <v>0</v>
      </c>
      <c r="P106" s="22">
        <f t="shared" si="53"/>
        <v>1915000</v>
      </c>
      <c r="Q106" s="23">
        <v>1840000</v>
      </c>
      <c r="R106" s="199">
        <v>75000</v>
      </c>
      <c r="S106" s="253">
        <f t="shared" si="54"/>
        <v>0</v>
      </c>
      <c r="T106" s="254">
        <v>0</v>
      </c>
      <c r="U106" s="255">
        <v>0</v>
      </c>
      <c r="V106" s="24">
        <f t="shared" si="55"/>
        <v>0</v>
      </c>
      <c r="W106" s="65">
        <v>0</v>
      </c>
      <c r="X106" s="65">
        <v>0</v>
      </c>
      <c r="Y106" s="22">
        <f t="shared" si="56"/>
        <v>0</v>
      </c>
      <c r="Z106" s="23">
        <f t="shared" si="56"/>
        <v>0</v>
      </c>
      <c r="AA106" s="23">
        <f t="shared" si="56"/>
        <v>0</v>
      </c>
      <c r="AB106" s="22">
        <v>0</v>
      </c>
      <c r="AC106" s="23">
        <v>0</v>
      </c>
      <c r="AD106" s="65">
        <v>0</v>
      </c>
      <c r="AE106" s="191" t="s">
        <v>289</v>
      </c>
    </row>
    <row r="107" spans="2:31" ht="285" customHeight="1" x14ac:dyDescent="0.25">
      <c r="B107" s="31">
        <v>71</v>
      </c>
      <c r="C107" s="287"/>
      <c r="D107" s="129">
        <v>11001</v>
      </c>
      <c r="E107" s="40" t="s">
        <v>173</v>
      </c>
      <c r="F107" s="292" t="s">
        <v>100</v>
      </c>
      <c r="G107" s="288" t="s">
        <v>233</v>
      </c>
      <c r="H107" s="293" t="s">
        <v>101</v>
      </c>
      <c r="I107" s="127" t="s">
        <v>340</v>
      </c>
      <c r="J107" s="62">
        <f t="shared" si="51"/>
        <v>34494.400000000001</v>
      </c>
      <c r="K107" s="15">
        <v>28028.9</v>
      </c>
      <c r="L107" s="19">
        <v>6465.5</v>
      </c>
      <c r="M107" s="20">
        <f t="shared" si="52"/>
        <v>60256.800000000003</v>
      </c>
      <c r="N107" s="19">
        <f>28028.9+20491.9</f>
        <v>48520.800000000003</v>
      </c>
      <c r="O107" s="19">
        <f>6465.5+5270.5</f>
        <v>11736</v>
      </c>
      <c r="P107" s="22">
        <f t="shared" si="53"/>
        <v>34494.400000000001</v>
      </c>
      <c r="Q107" s="23">
        <v>28028.9</v>
      </c>
      <c r="R107" s="199">
        <v>6465.5</v>
      </c>
      <c r="S107" s="213">
        <f t="shared" si="54"/>
        <v>57203</v>
      </c>
      <c r="T107" s="254">
        <v>46865</v>
      </c>
      <c r="U107" s="255">
        <v>10338</v>
      </c>
      <c r="V107" s="131">
        <f t="shared" si="55"/>
        <v>57203</v>
      </c>
      <c r="W107" s="15">
        <v>46865</v>
      </c>
      <c r="X107" s="15">
        <v>10338</v>
      </c>
      <c r="Y107" s="64">
        <f t="shared" si="56"/>
        <v>165.83271487545804</v>
      </c>
      <c r="Z107" s="65">
        <f t="shared" si="56"/>
        <v>167.20242321318352</v>
      </c>
      <c r="AA107" s="65">
        <f t="shared" si="56"/>
        <v>159.8948263862037</v>
      </c>
      <c r="AB107" s="64">
        <f t="shared" ref="AB107:AD111" si="57">S107/M107*100</f>
        <v>94.93202426946003</v>
      </c>
      <c r="AC107" s="65">
        <f t="shared" si="57"/>
        <v>96.587442911081425</v>
      </c>
      <c r="AD107" s="132">
        <f t="shared" si="57"/>
        <v>88.087934560327199</v>
      </c>
      <c r="AE107" s="251" t="s">
        <v>275</v>
      </c>
    </row>
    <row r="108" spans="2:31" ht="339" customHeight="1" thickBot="1" x14ac:dyDescent="0.3">
      <c r="B108" s="51">
        <v>72</v>
      </c>
      <c r="C108" s="287"/>
      <c r="D108" s="130">
        <v>32001</v>
      </c>
      <c r="E108" s="29" t="s">
        <v>182</v>
      </c>
      <c r="F108" s="292"/>
      <c r="G108" s="288"/>
      <c r="H108" s="293"/>
      <c r="I108" s="127" t="s">
        <v>306</v>
      </c>
      <c r="J108" s="18">
        <f t="shared" si="51"/>
        <v>373528.5</v>
      </c>
      <c r="K108" s="68">
        <v>311273.8</v>
      </c>
      <c r="L108" s="68">
        <v>62254.7</v>
      </c>
      <c r="M108" s="18">
        <f t="shared" si="52"/>
        <v>645650.1</v>
      </c>
      <c r="N108" s="68">
        <f>311273.8+228056.2</f>
        <v>539330</v>
      </c>
      <c r="O108" s="68">
        <f>62254.7+44065.4</f>
        <v>106320.1</v>
      </c>
      <c r="P108" s="18">
        <f t="shared" si="53"/>
        <v>373528.5</v>
      </c>
      <c r="Q108" s="68">
        <v>311273.8</v>
      </c>
      <c r="R108" s="210">
        <v>62254.7</v>
      </c>
      <c r="S108" s="213">
        <f t="shared" si="54"/>
        <v>618578</v>
      </c>
      <c r="T108" s="254">
        <v>512990</v>
      </c>
      <c r="U108" s="255">
        <v>105588</v>
      </c>
      <c r="V108" s="116">
        <f t="shared" si="55"/>
        <v>618578</v>
      </c>
      <c r="W108" s="68">
        <v>512990</v>
      </c>
      <c r="X108" s="68">
        <v>105588</v>
      </c>
      <c r="Y108" s="16">
        <f t="shared" si="56"/>
        <v>165.60396328526471</v>
      </c>
      <c r="Z108" s="17">
        <f t="shared" si="56"/>
        <v>164.80346241797415</v>
      </c>
      <c r="AA108" s="68">
        <f t="shared" si="56"/>
        <v>169.60647147926181</v>
      </c>
      <c r="AB108" s="16">
        <f t="shared" si="57"/>
        <v>95.807001346394898</v>
      </c>
      <c r="AC108" s="17">
        <f t="shared" si="57"/>
        <v>95.116162646246266</v>
      </c>
      <c r="AD108" s="117">
        <f t="shared" si="57"/>
        <v>99.311419007318463</v>
      </c>
      <c r="AE108" s="251" t="s">
        <v>275</v>
      </c>
    </row>
    <row r="109" spans="2:31" ht="147.75" customHeight="1" x14ac:dyDescent="0.3">
      <c r="B109" s="266" t="s">
        <v>23</v>
      </c>
      <c r="C109" s="267"/>
      <c r="D109" s="267"/>
      <c r="E109" s="267"/>
      <c r="F109" s="267"/>
      <c r="G109" s="267"/>
      <c r="H109" s="267"/>
      <c r="I109" s="268"/>
      <c r="J109" s="94">
        <f t="shared" ref="J109:X109" si="58">SUM(J105:J108)</f>
        <v>5162879.7</v>
      </c>
      <c r="K109" s="153">
        <f t="shared" si="58"/>
        <v>4170354.9</v>
      </c>
      <c r="L109" s="153">
        <f t="shared" si="58"/>
        <v>992524.79999999993</v>
      </c>
      <c r="M109" s="94">
        <f t="shared" si="58"/>
        <v>705906.9</v>
      </c>
      <c r="N109" s="153">
        <f t="shared" si="58"/>
        <v>587850.80000000005</v>
      </c>
      <c r="O109" s="153">
        <f t="shared" si="58"/>
        <v>118056.1</v>
      </c>
      <c r="P109" s="94">
        <f t="shared" si="58"/>
        <v>2758022.9</v>
      </c>
      <c r="Q109" s="153">
        <f t="shared" si="58"/>
        <v>2599302.6999999997</v>
      </c>
      <c r="R109" s="154">
        <f t="shared" si="58"/>
        <v>158720.20000000001</v>
      </c>
      <c r="S109" s="133">
        <f t="shared" si="58"/>
        <v>675781</v>
      </c>
      <c r="T109" s="155">
        <f t="shared" si="58"/>
        <v>559855</v>
      </c>
      <c r="U109" s="156">
        <f t="shared" si="58"/>
        <v>115926</v>
      </c>
      <c r="V109" s="94">
        <f t="shared" si="58"/>
        <v>675781</v>
      </c>
      <c r="W109" s="153">
        <f t="shared" si="58"/>
        <v>559855</v>
      </c>
      <c r="X109" s="153">
        <f t="shared" si="58"/>
        <v>115926</v>
      </c>
      <c r="Y109" s="80">
        <f t="shared" si="56"/>
        <v>24.502370883142412</v>
      </c>
      <c r="Z109" s="81">
        <f t="shared" si="56"/>
        <v>21.53866111861462</v>
      </c>
      <c r="AA109" s="81">
        <f t="shared" si="56"/>
        <v>73.037962401761078</v>
      </c>
      <c r="AB109" s="80">
        <f t="shared" si="57"/>
        <v>95.732312575496849</v>
      </c>
      <c r="AC109" s="81">
        <f t="shared" si="57"/>
        <v>95.237601105586648</v>
      </c>
      <c r="AD109" s="81">
        <f t="shared" si="57"/>
        <v>98.195688321060913</v>
      </c>
      <c r="AE109" s="204"/>
    </row>
    <row r="110" spans="2:31" ht="139.5" customHeight="1" x14ac:dyDescent="0.3">
      <c r="B110" s="269" t="s">
        <v>15</v>
      </c>
      <c r="C110" s="270"/>
      <c r="D110" s="270"/>
      <c r="E110" s="270"/>
      <c r="F110" s="270"/>
      <c r="G110" s="270"/>
      <c r="H110" s="270"/>
      <c r="I110" s="271"/>
      <c r="J110" s="84">
        <f>J107</f>
        <v>34494.400000000001</v>
      </c>
      <c r="K110" s="136">
        <f t="shared" ref="K110:X110" si="59">K107</f>
        <v>28028.9</v>
      </c>
      <c r="L110" s="136">
        <f t="shared" si="59"/>
        <v>6465.5</v>
      </c>
      <c r="M110" s="84">
        <f t="shared" si="59"/>
        <v>60256.800000000003</v>
      </c>
      <c r="N110" s="136">
        <f t="shared" si="59"/>
        <v>48520.800000000003</v>
      </c>
      <c r="O110" s="136">
        <f t="shared" si="59"/>
        <v>11736</v>
      </c>
      <c r="P110" s="84">
        <f t="shared" si="59"/>
        <v>34494.400000000001</v>
      </c>
      <c r="Q110" s="136">
        <f t="shared" si="59"/>
        <v>28028.9</v>
      </c>
      <c r="R110" s="137">
        <f t="shared" si="59"/>
        <v>6465.5</v>
      </c>
      <c r="S110" s="138">
        <f t="shared" si="59"/>
        <v>57203</v>
      </c>
      <c r="T110" s="157">
        <f t="shared" si="59"/>
        <v>46865</v>
      </c>
      <c r="U110" s="158">
        <f t="shared" si="59"/>
        <v>10338</v>
      </c>
      <c r="V110" s="84">
        <f t="shared" si="59"/>
        <v>57203</v>
      </c>
      <c r="W110" s="136">
        <f t="shared" si="59"/>
        <v>46865</v>
      </c>
      <c r="X110" s="136">
        <f t="shared" si="59"/>
        <v>10338</v>
      </c>
      <c r="Y110" s="82">
        <f t="shared" si="56"/>
        <v>165.83271487545804</v>
      </c>
      <c r="Z110" s="83">
        <f t="shared" si="56"/>
        <v>167.20242321318352</v>
      </c>
      <c r="AA110" s="83">
        <f t="shared" si="56"/>
        <v>159.8948263862037</v>
      </c>
      <c r="AB110" s="82">
        <f t="shared" si="57"/>
        <v>94.93202426946003</v>
      </c>
      <c r="AC110" s="83">
        <f t="shared" si="57"/>
        <v>96.587442911081425</v>
      </c>
      <c r="AD110" s="83">
        <f t="shared" si="57"/>
        <v>88.087934560327199</v>
      </c>
      <c r="AE110" s="208"/>
    </row>
    <row r="111" spans="2:31" ht="145.5" customHeight="1" thickBot="1" x14ac:dyDescent="0.35">
      <c r="B111" s="272" t="s">
        <v>16</v>
      </c>
      <c r="C111" s="273"/>
      <c r="D111" s="273"/>
      <c r="E111" s="273"/>
      <c r="F111" s="273"/>
      <c r="G111" s="273"/>
      <c r="H111" s="273"/>
      <c r="I111" s="274"/>
      <c r="J111" s="104">
        <f>J109-J110</f>
        <v>5128385.3</v>
      </c>
      <c r="K111" s="159">
        <f t="shared" ref="K111:X111" si="60">K109-K110</f>
        <v>4142326</v>
      </c>
      <c r="L111" s="159">
        <f t="shared" si="60"/>
        <v>986059.29999999993</v>
      </c>
      <c r="M111" s="104">
        <f t="shared" si="60"/>
        <v>645650.1</v>
      </c>
      <c r="N111" s="159">
        <f t="shared" si="60"/>
        <v>539330</v>
      </c>
      <c r="O111" s="159">
        <f t="shared" si="60"/>
        <v>106320.1</v>
      </c>
      <c r="P111" s="104">
        <f t="shared" si="60"/>
        <v>2723528.5</v>
      </c>
      <c r="Q111" s="159">
        <f t="shared" si="60"/>
        <v>2571273.7999999998</v>
      </c>
      <c r="R111" s="160">
        <f t="shared" si="60"/>
        <v>152254.70000000001</v>
      </c>
      <c r="S111" s="142">
        <f t="shared" si="60"/>
        <v>618578</v>
      </c>
      <c r="T111" s="161">
        <f t="shared" si="60"/>
        <v>512990</v>
      </c>
      <c r="U111" s="162">
        <f t="shared" si="60"/>
        <v>105588</v>
      </c>
      <c r="V111" s="104">
        <f t="shared" si="60"/>
        <v>618578</v>
      </c>
      <c r="W111" s="159">
        <f t="shared" si="60"/>
        <v>512990</v>
      </c>
      <c r="X111" s="159">
        <f t="shared" si="60"/>
        <v>105588</v>
      </c>
      <c r="Y111" s="98">
        <f t="shared" si="56"/>
        <v>22.712374774121145</v>
      </c>
      <c r="Z111" s="99">
        <f t="shared" si="56"/>
        <v>19.950811928313509</v>
      </c>
      <c r="AA111" s="99">
        <f t="shared" si="56"/>
        <v>69.349583296935975</v>
      </c>
      <c r="AB111" s="98">
        <f t="shared" si="57"/>
        <v>95.807001346394898</v>
      </c>
      <c r="AC111" s="99">
        <f t="shared" si="57"/>
        <v>95.116162646246266</v>
      </c>
      <c r="AD111" s="99">
        <f t="shared" si="57"/>
        <v>99.311419007318463</v>
      </c>
      <c r="AE111" s="209"/>
    </row>
    <row r="112" spans="2:31" ht="17.25" thickBot="1" x14ac:dyDescent="0.35">
      <c r="B112" s="275"/>
      <c r="C112" s="276"/>
      <c r="D112" s="276"/>
      <c r="E112" s="276"/>
      <c r="F112" s="276"/>
      <c r="G112" s="276"/>
      <c r="H112" s="276"/>
      <c r="I112" s="276"/>
      <c r="J112" s="276"/>
      <c r="K112" s="276"/>
      <c r="L112" s="276"/>
      <c r="M112" s="276"/>
      <c r="N112" s="276"/>
      <c r="O112" s="276"/>
      <c r="P112" s="276"/>
      <c r="Q112" s="276"/>
      <c r="R112" s="276"/>
      <c r="S112" s="276"/>
      <c r="T112" s="276"/>
      <c r="U112" s="276"/>
      <c r="V112" s="276"/>
      <c r="W112" s="276"/>
      <c r="X112" s="276"/>
      <c r="Y112" s="276"/>
      <c r="Z112" s="276"/>
      <c r="AA112" s="276"/>
      <c r="AB112" s="276"/>
      <c r="AC112" s="276"/>
      <c r="AD112" s="276"/>
      <c r="AE112" s="277"/>
    </row>
    <row r="113" spans="2:31" ht="196.5" customHeight="1" thickBot="1" x14ac:dyDescent="0.35">
      <c r="B113" s="300" t="s">
        <v>24</v>
      </c>
      <c r="C113" s="301"/>
      <c r="D113" s="301"/>
      <c r="E113" s="301"/>
      <c r="F113" s="301"/>
      <c r="G113" s="301"/>
      <c r="H113" s="301"/>
      <c r="I113" s="302"/>
      <c r="J113" s="163">
        <f t="shared" ref="J113:X113" si="61">J13+J29+J44+J67+J75+J91+J101+J109</f>
        <v>135761448.5</v>
      </c>
      <c r="K113" s="164">
        <f t="shared" si="61"/>
        <v>109483692.80000001</v>
      </c>
      <c r="L113" s="164">
        <f t="shared" si="61"/>
        <v>26277755.700000003</v>
      </c>
      <c r="M113" s="163">
        <f t="shared" si="61"/>
        <v>64640646</v>
      </c>
      <c r="N113" s="164">
        <f t="shared" si="61"/>
        <v>45191241.399999984</v>
      </c>
      <c r="O113" s="164">
        <f t="shared" si="61"/>
        <v>19449404.600000001</v>
      </c>
      <c r="P113" s="163">
        <f>P13+P29+P44+P67+P75+P91+P101+P109</f>
        <v>79677732.300000012</v>
      </c>
      <c r="Q113" s="164">
        <f t="shared" si="61"/>
        <v>58778556.300000004</v>
      </c>
      <c r="R113" s="165">
        <f t="shared" si="61"/>
        <v>20899175.999999996</v>
      </c>
      <c r="S113" s="166">
        <f t="shared" si="61"/>
        <v>60713492.120000005</v>
      </c>
      <c r="T113" s="167">
        <f t="shared" si="61"/>
        <v>42730619.68</v>
      </c>
      <c r="U113" s="168">
        <f t="shared" si="61"/>
        <v>17982872.440000001</v>
      </c>
      <c r="V113" s="163">
        <f t="shared" si="61"/>
        <v>60713492.170000002</v>
      </c>
      <c r="W113" s="164">
        <f t="shared" si="61"/>
        <v>42730619.770000003</v>
      </c>
      <c r="X113" s="164">
        <f t="shared" si="61"/>
        <v>17982872.399999999</v>
      </c>
      <c r="Y113" s="169">
        <f t="shared" ref="Y113:AA120" si="62">S113/P113*100</f>
        <v>76.198820382341623</v>
      </c>
      <c r="Z113" s="170">
        <f t="shared" si="62"/>
        <v>72.697633915857168</v>
      </c>
      <c r="AA113" s="170">
        <f t="shared" si="62"/>
        <v>86.045844295488038</v>
      </c>
      <c r="AB113" s="169">
        <f t="shared" ref="AB113:AD120" si="63">S113/M113*100</f>
        <v>93.92463701553973</v>
      </c>
      <c r="AC113" s="170">
        <f t="shared" si="63"/>
        <v>94.55509155364787</v>
      </c>
      <c r="AD113" s="170">
        <f t="shared" si="63"/>
        <v>92.4597580740338</v>
      </c>
      <c r="AE113" s="244"/>
    </row>
    <row r="114" spans="2:31" ht="197.25" customHeight="1" thickBot="1" x14ac:dyDescent="0.35">
      <c r="B114" s="303" t="s">
        <v>26</v>
      </c>
      <c r="C114" s="304"/>
      <c r="D114" s="304"/>
      <c r="E114" s="304"/>
      <c r="F114" s="304"/>
      <c r="G114" s="304"/>
      <c r="H114" s="304"/>
      <c r="I114" s="305"/>
      <c r="J114" s="171">
        <f>J11+J12+J26+J27+J35+J36+J37+J42+J43+J52+J66+J71+J72+J80+J82+J83+J87+J88+J98+J99+J105+J107+J108</f>
        <v>9286064.8000000007</v>
      </c>
      <c r="K114" s="172">
        <f t="shared" ref="K114:X114" si="64">K11+K12+K26+K27+K35+K36+K37+K42+K43+K52+K66+K71+K72+K80+K82+K83+K87+K88+K98+K99+K105+K107+K108</f>
        <v>7010006.7000000011</v>
      </c>
      <c r="L114" s="172">
        <f t="shared" si="64"/>
        <v>2276058.1000000006</v>
      </c>
      <c r="M114" s="171">
        <f t="shared" si="64"/>
        <v>6114023.5999999996</v>
      </c>
      <c r="N114" s="172">
        <f t="shared" si="64"/>
        <v>4233266.8999999994</v>
      </c>
      <c r="O114" s="172">
        <f t="shared" si="64"/>
        <v>1880756.7000000002</v>
      </c>
      <c r="P114" s="171">
        <f t="shared" si="64"/>
        <v>5698130.5000000009</v>
      </c>
      <c r="Q114" s="172">
        <f t="shared" si="64"/>
        <v>3914261.3</v>
      </c>
      <c r="R114" s="173">
        <f t="shared" si="64"/>
        <v>1783869.1999999997</v>
      </c>
      <c r="S114" s="174">
        <f t="shared" si="64"/>
        <v>4830452.5199999996</v>
      </c>
      <c r="T114" s="175">
        <f t="shared" si="64"/>
        <v>3698220.4800000004</v>
      </c>
      <c r="U114" s="176">
        <f t="shared" si="64"/>
        <v>1132232.04</v>
      </c>
      <c r="V114" s="171">
        <f t="shared" si="64"/>
        <v>4830452.5699999994</v>
      </c>
      <c r="W114" s="172">
        <f t="shared" si="64"/>
        <v>3698220.5700000003</v>
      </c>
      <c r="X114" s="172">
        <f t="shared" si="64"/>
        <v>1132232</v>
      </c>
      <c r="Y114" s="177">
        <f t="shared" si="62"/>
        <v>84.772584973264458</v>
      </c>
      <c r="Z114" s="178">
        <f t="shared" si="62"/>
        <v>94.480674552820503</v>
      </c>
      <c r="AA114" s="178">
        <f t="shared" si="62"/>
        <v>63.470575084765187</v>
      </c>
      <c r="AB114" s="177">
        <f t="shared" si="63"/>
        <v>79.006115056539855</v>
      </c>
      <c r="AC114" s="178">
        <f t="shared" si="63"/>
        <v>87.360909844829308</v>
      </c>
      <c r="AD114" s="178">
        <f t="shared" si="63"/>
        <v>60.200877657381199</v>
      </c>
      <c r="AE114" s="208"/>
    </row>
    <row r="115" spans="2:31" ht="193.5" customHeight="1" thickBot="1" x14ac:dyDescent="0.35">
      <c r="B115" s="306" t="s">
        <v>25</v>
      </c>
      <c r="C115" s="307"/>
      <c r="D115" s="307"/>
      <c r="E115" s="307"/>
      <c r="F115" s="307"/>
      <c r="G115" s="307"/>
      <c r="H115" s="307"/>
      <c r="I115" s="308"/>
      <c r="J115" s="171">
        <f>J9+J10+J17+J18+J19+J20+J21+J22+J23+J24+J25+J28+J33+J34+J38+J39+J40+J41+J48+J49+J50+J51+J53+J54+J55+J56+J57+J58+J59+J60+J61+J62+J63+J64+J65+J73+J74+J79+J81+J84+J85+J86+J89+J90+J95+J96+J97+J100+J106</f>
        <v>126475383.7</v>
      </c>
      <c r="K115" s="172">
        <f t="shared" ref="K115:X115" si="65">K9+K10+K17+K18+K19+K20+K21+K22+K23+K24+K25+K28+K33+K34+K38+K39+K40+K41+K48+K49+K50+K51+K53+K54+K55+K56+K57+K58+K59+K60+K61+K62+K63+K64+K65+K73+K74+K79+K81+K84+K85+K86+K89+K90+K95+K96+K97+K100+K106</f>
        <v>102473686.10000001</v>
      </c>
      <c r="L115" s="172">
        <f t="shared" si="65"/>
        <v>24001697.600000001</v>
      </c>
      <c r="M115" s="171">
        <f t="shared" si="65"/>
        <v>58526622.399999984</v>
      </c>
      <c r="N115" s="172">
        <f t="shared" si="65"/>
        <v>40957974.5</v>
      </c>
      <c r="O115" s="172">
        <f t="shared" si="65"/>
        <v>17568647.900000002</v>
      </c>
      <c r="P115" s="171">
        <f t="shared" si="65"/>
        <v>73979601.799999982</v>
      </c>
      <c r="Q115" s="172">
        <f t="shared" si="65"/>
        <v>54864294.999999993</v>
      </c>
      <c r="R115" s="173">
        <f t="shared" si="65"/>
        <v>19115306.800000001</v>
      </c>
      <c r="S115" s="174">
        <f t="shared" si="65"/>
        <v>55883039.600000001</v>
      </c>
      <c r="T115" s="175">
        <f t="shared" si="65"/>
        <v>39032399.20000001</v>
      </c>
      <c r="U115" s="176">
        <f t="shared" si="65"/>
        <v>16850640.400000002</v>
      </c>
      <c r="V115" s="171">
        <f t="shared" si="65"/>
        <v>55883039.600000001</v>
      </c>
      <c r="W115" s="172">
        <f t="shared" si="65"/>
        <v>39032399.20000001</v>
      </c>
      <c r="X115" s="172">
        <f t="shared" si="65"/>
        <v>16850640.400000002</v>
      </c>
      <c r="Y115" s="177">
        <f t="shared" si="62"/>
        <v>75.53844335507091</v>
      </c>
      <c r="Z115" s="178">
        <f t="shared" si="62"/>
        <v>71.143535517953921</v>
      </c>
      <c r="AA115" s="178">
        <f t="shared" si="62"/>
        <v>88.152602395060711</v>
      </c>
      <c r="AB115" s="177">
        <f t="shared" si="63"/>
        <v>95.4831106057472</v>
      </c>
      <c r="AC115" s="178">
        <f t="shared" si="63"/>
        <v>95.298655943056971</v>
      </c>
      <c r="AD115" s="178">
        <f t="shared" si="63"/>
        <v>95.913131710038996</v>
      </c>
      <c r="AE115" s="208"/>
    </row>
    <row r="116" spans="2:31" ht="193.5" customHeight="1" thickBot="1" x14ac:dyDescent="0.35">
      <c r="B116" s="309" t="s">
        <v>27</v>
      </c>
      <c r="C116" s="310"/>
      <c r="D116" s="310"/>
      <c r="E116" s="310"/>
      <c r="F116" s="310"/>
      <c r="G116" s="310"/>
      <c r="H116" s="310"/>
      <c r="I116" s="311"/>
      <c r="J116" s="179">
        <f>J73+J79+J81+J95+J96+J97+J100</f>
        <v>47211445.700000003</v>
      </c>
      <c r="K116" s="181">
        <f t="shared" ref="K116:X116" si="66">K73+K79+K81+K95+K96+K97+K100</f>
        <v>46287138.700000003</v>
      </c>
      <c r="L116" s="181">
        <f t="shared" si="66"/>
        <v>924307</v>
      </c>
      <c r="M116" s="180">
        <f t="shared" si="66"/>
        <v>5104446.0999999978</v>
      </c>
      <c r="N116" s="181">
        <f t="shared" si="66"/>
        <v>4204103.4999999981</v>
      </c>
      <c r="O116" s="181">
        <f t="shared" si="66"/>
        <v>900342.6</v>
      </c>
      <c r="P116" s="180">
        <f t="shared" si="66"/>
        <v>17025663.899999999</v>
      </c>
      <c r="Q116" s="181">
        <f t="shared" si="66"/>
        <v>16353231.6</v>
      </c>
      <c r="R116" s="239">
        <f t="shared" si="66"/>
        <v>672432.29999999993</v>
      </c>
      <c r="S116" s="188">
        <f t="shared" si="66"/>
        <v>3646678.8</v>
      </c>
      <c r="T116" s="189">
        <f t="shared" si="66"/>
        <v>3160813.6999999997</v>
      </c>
      <c r="U116" s="190">
        <f t="shared" si="66"/>
        <v>485865.1</v>
      </c>
      <c r="V116" s="179">
        <f t="shared" si="66"/>
        <v>3646678.8</v>
      </c>
      <c r="W116" s="181">
        <f t="shared" si="66"/>
        <v>3160813.6999999997</v>
      </c>
      <c r="X116" s="181">
        <f t="shared" si="66"/>
        <v>485865.1</v>
      </c>
      <c r="Y116" s="180">
        <f t="shared" si="62"/>
        <v>21.418717187292767</v>
      </c>
      <c r="Z116" s="181">
        <f t="shared" si="62"/>
        <v>19.32837360415051</v>
      </c>
      <c r="AA116" s="181">
        <f t="shared" si="62"/>
        <v>72.254872349231292</v>
      </c>
      <c r="AB116" s="180">
        <f t="shared" si="63"/>
        <v>71.441224543442644</v>
      </c>
      <c r="AC116" s="181">
        <f t="shared" si="63"/>
        <v>75.184012477333184</v>
      </c>
      <c r="AD116" s="181">
        <f t="shared" si="63"/>
        <v>53.964468636716731</v>
      </c>
      <c r="AE116" s="252"/>
    </row>
    <row r="117" spans="2:31" ht="17.25" thickBot="1" x14ac:dyDescent="0.35">
      <c r="B117" s="275"/>
      <c r="C117" s="276"/>
      <c r="D117" s="276"/>
      <c r="E117" s="276"/>
      <c r="F117" s="276"/>
      <c r="G117" s="276"/>
      <c r="H117" s="276"/>
      <c r="I117" s="276"/>
      <c r="J117" s="276"/>
      <c r="K117" s="276"/>
      <c r="L117" s="276"/>
      <c r="M117" s="276"/>
      <c r="N117" s="276"/>
      <c r="O117" s="276"/>
      <c r="P117" s="276"/>
      <c r="Q117" s="276"/>
      <c r="R117" s="276"/>
      <c r="S117" s="276"/>
      <c r="T117" s="276"/>
      <c r="U117" s="276"/>
      <c r="V117" s="276"/>
      <c r="W117" s="276"/>
      <c r="X117" s="276"/>
      <c r="Y117" s="276"/>
      <c r="Z117" s="276"/>
      <c r="AA117" s="276"/>
      <c r="AB117" s="276"/>
      <c r="AC117" s="276"/>
      <c r="AD117" s="276"/>
      <c r="AE117" s="277"/>
    </row>
    <row r="118" spans="2:31" ht="62.25" customHeight="1" thickBot="1" x14ac:dyDescent="0.3">
      <c r="B118" s="312" t="s">
        <v>28</v>
      </c>
      <c r="C118" s="313"/>
      <c r="D118" s="313"/>
      <c r="E118" s="313"/>
      <c r="F118" s="313"/>
      <c r="G118" s="313"/>
      <c r="H118" s="313"/>
      <c r="I118" s="314"/>
      <c r="J118" s="315"/>
      <c r="K118" s="316"/>
      <c r="L118" s="316"/>
      <c r="M118" s="316"/>
      <c r="N118" s="316"/>
      <c r="O118" s="316"/>
      <c r="P118" s="316"/>
      <c r="Q118" s="316"/>
      <c r="R118" s="316"/>
      <c r="S118" s="316"/>
      <c r="T118" s="316"/>
      <c r="U118" s="316"/>
      <c r="V118" s="316"/>
      <c r="W118" s="316"/>
      <c r="X118" s="316"/>
      <c r="Y118" s="316"/>
      <c r="Z118" s="316"/>
      <c r="AA118" s="316"/>
      <c r="AB118" s="316"/>
      <c r="AC118" s="316"/>
      <c r="AD118" s="316"/>
      <c r="AE118" s="317"/>
    </row>
    <row r="119" spans="2:31" ht="206.25" customHeight="1" thickBot="1" x14ac:dyDescent="0.35">
      <c r="B119" s="294" t="s">
        <v>15</v>
      </c>
      <c r="C119" s="295"/>
      <c r="D119" s="295"/>
      <c r="E119" s="295"/>
      <c r="F119" s="295"/>
      <c r="G119" s="295"/>
      <c r="H119" s="295"/>
      <c r="I119" s="295"/>
      <c r="J119" s="184">
        <f>J14+J30+J45+J68+J76+J92+J102+J110</f>
        <v>7443924.2000000002</v>
      </c>
      <c r="K119" s="185">
        <f t="shared" ref="K119:X119" si="67">K14+K30+K45+K68+K76+K92+K102+K110</f>
        <v>3147130.6</v>
      </c>
      <c r="L119" s="185">
        <f t="shared" si="67"/>
        <v>4296793.5999999996</v>
      </c>
      <c r="M119" s="184">
        <f t="shared" si="67"/>
        <v>8936359.8000000007</v>
      </c>
      <c r="N119" s="185">
        <f t="shared" si="67"/>
        <v>1559582.9999999998</v>
      </c>
      <c r="O119" s="185">
        <f t="shared" si="67"/>
        <v>7376776.7999999998</v>
      </c>
      <c r="P119" s="184">
        <f t="shared" si="67"/>
        <v>9267093.0999999996</v>
      </c>
      <c r="Q119" s="185">
        <f t="shared" si="67"/>
        <v>2452608.7000000002</v>
      </c>
      <c r="R119" s="185">
        <f t="shared" si="67"/>
        <v>6814484.4000000013</v>
      </c>
      <c r="S119" s="240">
        <f t="shared" si="67"/>
        <v>8556955.7200000007</v>
      </c>
      <c r="T119" s="167">
        <f t="shared" si="67"/>
        <v>1322474.68</v>
      </c>
      <c r="U119" s="167">
        <f t="shared" si="67"/>
        <v>7234481.04</v>
      </c>
      <c r="V119" s="184">
        <f t="shared" si="67"/>
        <v>8556955.7700000014</v>
      </c>
      <c r="W119" s="185">
        <f t="shared" si="67"/>
        <v>1322474.77</v>
      </c>
      <c r="X119" s="185">
        <f t="shared" si="67"/>
        <v>7234481</v>
      </c>
      <c r="Y119" s="184">
        <f t="shared" si="62"/>
        <v>92.336999614258772</v>
      </c>
      <c r="Z119" s="185">
        <f t="shared" si="62"/>
        <v>53.921144453250932</v>
      </c>
      <c r="AA119" s="185">
        <f t="shared" si="62"/>
        <v>106.16329299983427</v>
      </c>
      <c r="AB119" s="184">
        <f t="shared" si="63"/>
        <v>95.754377750099096</v>
      </c>
      <c r="AC119" s="185">
        <f t="shared" si="63"/>
        <v>84.796684754835113</v>
      </c>
      <c r="AD119" s="182">
        <f t="shared" si="63"/>
        <v>98.071030697309425</v>
      </c>
      <c r="AE119" s="204"/>
    </row>
    <row r="120" spans="2:31" ht="191.25" customHeight="1" thickBot="1" x14ac:dyDescent="0.35">
      <c r="B120" s="296" t="s">
        <v>29</v>
      </c>
      <c r="C120" s="297"/>
      <c r="D120" s="297"/>
      <c r="E120" s="297"/>
      <c r="F120" s="297"/>
      <c r="G120" s="297"/>
      <c r="H120" s="297"/>
      <c r="I120" s="298"/>
      <c r="J120" s="186">
        <f>J15+J31+J46+J69+J77+J93+J103+J111</f>
        <v>128317524.3</v>
      </c>
      <c r="K120" s="187">
        <f t="shared" ref="K120:X120" si="68">K15+K31+K46+K69+K77+K93+K103+K111</f>
        <v>106336562.19999999</v>
      </c>
      <c r="L120" s="187">
        <f t="shared" si="68"/>
        <v>21980962.099999998</v>
      </c>
      <c r="M120" s="186">
        <f t="shared" si="68"/>
        <v>55704286.199999996</v>
      </c>
      <c r="N120" s="187">
        <f t="shared" si="68"/>
        <v>43631658.400000006</v>
      </c>
      <c r="O120" s="187">
        <f t="shared" si="68"/>
        <v>12072627.799999999</v>
      </c>
      <c r="P120" s="186">
        <f t="shared" si="68"/>
        <v>70410639.200000003</v>
      </c>
      <c r="Q120" s="187">
        <f t="shared" si="68"/>
        <v>56325947.599999994</v>
      </c>
      <c r="R120" s="187">
        <f t="shared" si="68"/>
        <v>14084691.599999998</v>
      </c>
      <c r="S120" s="241">
        <f t="shared" si="68"/>
        <v>52156536.400000006</v>
      </c>
      <c r="T120" s="189">
        <f t="shared" si="68"/>
        <v>41408145</v>
      </c>
      <c r="U120" s="189">
        <f t="shared" si="68"/>
        <v>10748391.399999999</v>
      </c>
      <c r="V120" s="186">
        <f t="shared" si="68"/>
        <v>52156536.400000006</v>
      </c>
      <c r="W120" s="187">
        <f t="shared" si="68"/>
        <v>41408145</v>
      </c>
      <c r="X120" s="187">
        <f t="shared" si="68"/>
        <v>10748391.399999999</v>
      </c>
      <c r="Y120" s="186">
        <f t="shared" si="62"/>
        <v>74.074794651203803</v>
      </c>
      <c r="Z120" s="187">
        <f t="shared" si="62"/>
        <v>73.515221251244441</v>
      </c>
      <c r="AA120" s="187">
        <f t="shared" si="62"/>
        <v>76.312578970490208</v>
      </c>
      <c r="AB120" s="186">
        <f t="shared" si="63"/>
        <v>93.631100868500155</v>
      </c>
      <c r="AC120" s="187">
        <f t="shared" si="63"/>
        <v>94.903898954251048</v>
      </c>
      <c r="AD120" s="183">
        <f t="shared" si="63"/>
        <v>89.031084019669677</v>
      </c>
      <c r="AE120" s="209"/>
    </row>
    <row r="121" spans="2:31" ht="20.25" x14ac:dyDescent="0.35">
      <c r="B121" s="3"/>
      <c r="C121" s="3"/>
      <c r="D121" s="3"/>
      <c r="E121" s="3"/>
      <c r="F121" s="3"/>
      <c r="G121" s="3"/>
      <c r="H121" s="3"/>
      <c r="I121" s="3"/>
      <c r="J121" s="7"/>
      <c r="K121" s="1"/>
      <c r="L121" s="1"/>
      <c r="M121" s="7"/>
      <c r="N121" s="1"/>
      <c r="O121" s="1"/>
      <c r="P121" s="7"/>
      <c r="Q121" s="1"/>
      <c r="R121" s="1"/>
      <c r="S121" s="1"/>
      <c r="T121" s="1"/>
      <c r="U121" s="1"/>
      <c r="V121" s="7"/>
      <c r="W121" s="1"/>
      <c r="X121" s="1"/>
      <c r="Y121" s="7"/>
      <c r="Z121" s="1"/>
      <c r="AA121" s="1"/>
      <c r="AB121" s="7"/>
      <c r="AC121" s="1"/>
      <c r="AD121" s="1"/>
      <c r="AE121" s="3"/>
    </row>
    <row r="122" spans="2:31" ht="20.25" x14ac:dyDescent="0.35">
      <c r="B122" s="299"/>
      <c r="C122" s="299"/>
      <c r="D122" s="299"/>
      <c r="E122" s="299"/>
      <c r="F122" s="299"/>
      <c r="G122" s="299"/>
      <c r="H122" s="299"/>
      <c r="I122" s="299"/>
      <c r="J122" s="7"/>
      <c r="K122" s="1"/>
      <c r="L122" s="1"/>
      <c r="M122" s="7"/>
      <c r="N122" s="1"/>
      <c r="O122" s="1"/>
      <c r="P122" s="7"/>
      <c r="Q122" s="1"/>
      <c r="R122" s="1"/>
      <c r="S122" s="1"/>
      <c r="T122" s="1"/>
      <c r="U122" s="1"/>
      <c r="V122" s="7"/>
      <c r="W122" s="1"/>
      <c r="X122" s="1"/>
      <c r="Y122" s="7"/>
      <c r="Z122" s="1"/>
      <c r="AA122" s="1"/>
      <c r="AB122" s="7"/>
      <c r="AC122" s="1"/>
      <c r="AD122" s="1"/>
      <c r="AE122" s="3"/>
    </row>
  </sheetData>
  <mergeCells count="142">
    <mergeCell ref="B1:AE1"/>
    <mergeCell ref="B2:AE3"/>
    <mergeCell ref="B4:AE4"/>
    <mergeCell ref="B5:AE5"/>
    <mergeCell ref="B6:B7"/>
    <mergeCell ref="C6:C7"/>
    <mergeCell ref="D6:D7"/>
    <mergeCell ref="E6:E7"/>
    <mergeCell ref="F6:F7"/>
    <mergeCell ref="G6:G7"/>
    <mergeCell ref="V6:X6"/>
    <mergeCell ref="Y6:AA6"/>
    <mergeCell ref="AB6:AD6"/>
    <mergeCell ref="AE6:AE7"/>
    <mergeCell ref="B8:AE8"/>
    <mergeCell ref="H6:H7"/>
    <mergeCell ref="I6:I7"/>
    <mergeCell ref="J6:L6"/>
    <mergeCell ref="M6:O6"/>
    <mergeCell ref="P6:R6"/>
    <mergeCell ref="S6:U6"/>
    <mergeCell ref="C9:C10"/>
    <mergeCell ref="F9:F10"/>
    <mergeCell ref="G9:G10"/>
    <mergeCell ref="H9:H10"/>
    <mergeCell ref="I9:I10"/>
    <mergeCell ref="F11:F12"/>
    <mergeCell ref="G11:G12"/>
    <mergeCell ref="H11:H12"/>
    <mergeCell ref="I11:I12"/>
    <mergeCell ref="B13:I13"/>
    <mergeCell ref="B14:I14"/>
    <mergeCell ref="B15:I15"/>
    <mergeCell ref="B16:AE16"/>
    <mergeCell ref="C17:C28"/>
    <mergeCell ref="F17:F18"/>
    <mergeCell ref="G17:G18"/>
    <mergeCell ref="H17:H18"/>
    <mergeCell ref="I17:I18"/>
    <mergeCell ref="F19:F20"/>
    <mergeCell ref="G24:G25"/>
    <mergeCell ref="H24:H25"/>
    <mergeCell ref="I24:I25"/>
    <mergeCell ref="B29:I29"/>
    <mergeCell ref="B30:I30"/>
    <mergeCell ref="B31:I31"/>
    <mergeCell ref="G19:G20"/>
    <mergeCell ref="H19:H20"/>
    <mergeCell ref="I19:I20"/>
    <mergeCell ref="F21:F22"/>
    <mergeCell ref="G21:G22"/>
    <mergeCell ref="H21:H23"/>
    <mergeCell ref="I21:I23"/>
    <mergeCell ref="H39:H41"/>
    <mergeCell ref="I39:I41"/>
    <mergeCell ref="AE39:AE41"/>
    <mergeCell ref="B44:I44"/>
    <mergeCell ref="B45:I45"/>
    <mergeCell ref="B46:I46"/>
    <mergeCell ref="B32:AE32"/>
    <mergeCell ref="C33:C43"/>
    <mergeCell ref="F33:F34"/>
    <mergeCell ref="G33:G34"/>
    <mergeCell ref="H33:H34"/>
    <mergeCell ref="I33:I36"/>
    <mergeCell ref="F35:F36"/>
    <mergeCell ref="G35:G36"/>
    <mergeCell ref="H35:H36"/>
    <mergeCell ref="F38:F39"/>
    <mergeCell ref="G56:G57"/>
    <mergeCell ref="H56:H57"/>
    <mergeCell ref="F58:F59"/>
    <mergeCell ref="G58:G59"/>
    <mergeCell ref="F60:F61"/>
    <mergeCell ref="G60:G61"/>
    <mergeCell ref="H60:H61"/>
    <mergeCell ref="B47:AE47"/>
    <mergeCell ref="C48:C66"/>
    <mergeCell ref="F48:F49"/>
    <mergeCell ref="G48:G49"/>
    <mergeCell ref="H48:H49"/>
    <mergeCell ref="F50:F51"/>
    <mergeCell ref="G50:G51"/>
    <mergeCell ref="F54:F55"/>
    <mergeCell ref="G54:G55"/>
    <mergeCell ref="F56:F57"/>
    <mergeCell ref="B68:I68"/>
    <mergeCell ref="B69:I69"/>
    <mergeCell ref="B70:AE70"/>
    <mergeCell ref="C71:C74"/>
    <mergeCell ref="B75:I75"/>
    <mergeCell ref="B76:I76"/>
    <mergeCell ref="F62:F63"/>
    <mergeCell ref="G62:G63"/>
    <mergeCell ref="H62:H63"/>
    <mergeCell ref="F64:F65"/>
    <mergeCell ref="H64:H65"/>
    <mergeCell ref="B67:I67"/>
    <mergeCell ref="B77:I77"/>
    <mergeCell ref="B78:AE78"/>
    <mergeCell ref="I79:I80"/>
    <mergeCell ref="AE79:AE80"/>
    <mergeCell ref="F84:F85"/>
    <mergeCell ref="G84:G85"/>
    <mergeCell ref="H84:H85"/>
    <mergeCell ref="I84:I85"/>
    <mergeCell ref="C79:C90"/>
    <mergeCell ref="B91:I91"/>
    <mergeCell ref="B92:I92"/>
    <mergeCell ref="B93:I93"/>
    <mergeCell ref="B94:AE94"/>
    <mergeCell ref="C95:C100"/>
    <mergeCell ref="H97:H99"/>
    <mergeCell ref="I97:I99"/>
    <mergeCell ref="F98:F99"/>
    <mergeCell ref="G98:G99"/>
    <mergeCell ref="AE97:AE98"/>
    <mergeCell ref="B119:I119"/>
    <mergeCell ref="B120:I120"/>
    <mergeCell ref="B122:I122"/>
    <mergeCell ref="B113:I113"/>
    <mergeCell ref="B114:I114"/>
    <mergeCell ref="B115:I115"/>
    <mergeCell ref="B116:I116"/>
    <mergeCell ref="B117:AE117"/>
    <mergeCell ref="B118:I118"/>
    <mergeCell ref="J118:AE118"/>
    <mergeCell ref="B109:I109"/>
    <mergeCell ref="B110:I110"/>
    <mergeCell ref="B111:I111"/>
    <mergeCell ref="B112:AE112"/>
    <mergeCell ref="B101:I101"/>
    <mergeCell ref="B102:I102"/>
    <mergeCell ref="B103:I103"/>
    <mergeCell ref="B104:AE104"/>
    <mergeCell ref="C105:C108"/>
    <mergeCell ref="G105:G106"/>
    <mergeCell ref="H105:H106"/>
    <mergeCell ref="I105:I106"/>
    <mergeCell ref="F107:F108"/>
    <mergeCell ref="G107:G108"/>
    <mergeCell ref="H107:H108"/>
  </mergeCells>
  <pageMargins left="0.16" right="0.16" top="0.23" bottom="0.16" header="0.23" footer="0.16"/>
  <pageSetup scale="31" orientation="landscape" r:id="rId1"/>
  <rowBreaks count="18" manualBreakCount="18">
    <brk id="12" min="1" max="31" man="1"/>
    <brk id="20" min="1" max="31" man="1"/>
    <brk id="25" max="16383" man="1"/>
    <brk id="31" min="1" max="31" man="1"/>
    <brk id="37" min="1" max="31" man="1"/>
    <brk id="42" min="1" max="31" man="1"/>
    <brk id="49" min="1" max="31" man="1"/>
    <brk id="55" min="1" max="31" man="1"/>
    <brk id="61" min="1" max="31" man="1"/>
    <brk id="66" min="1" max="31" man="1"/>
    <brk id="72" min="1" max="31" man="1"/>
    <brk id="77" min="1" max="31" man="1"/>
    <brk id="82" min="1" max="31" man="1"/>
    <brk id="86" min="1" max="31" man="1"/>
    <brk id="93" min="1" max="31" man="1"/>
    <brk id="96" max="16383" man="1"/>
    <brk id="103" max="16383" man="1"/>
    <brk id="1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123C9-3716-4EAF-BF6B-760F351FE0AB}">
  <dimension ref="B1:AE17"/>
  <sheetViews>
    <sheetView topLeftCell="A13" zoomScale="60" zoomScaleNormal="60" workbookViewId="0">
      <selection activeCell="V7" sqref="V1:X1048576"/>
    </sheetView>
  </sheetViews>
  <sheetFormatPr defaultRowHeight="18.75" x14ac:dyDescent="0.3"/>
  <cols>
    <col min="1" max="1" width="0.28515625" customWidth="1"/>
    <col min="2" max="2" width="6.28515625" style="4" customWidth="1"/>
    <col min="3" max="3" width="9" style="4" customWidth="1"/>
    <col min="4" max="4" width="11.7109375" style="4" customWidth="1"/>
    <col min="5" max="5" width="32.140625" style="4" customWidth="1"/>
    <col min="6" max="6" width="20.85546875" style="4" customWidth="1"/>
    <col min="7" max="7" width="26.85546875" style="4" customWidth="1"/>
    <col min="8" max="8" width="58" style="4" customWidth="1"/>
    <col min="9" max="9" width="120.7109375" style="4" customWidth="1"/>
    <col min="10" max="10" width="5" style="8" customWidth="1"/>
    <col min="11" max="12" width="4.7109375" style="2" customWidth="1"/>
    <col min="13" max="13" width="4.7109375" style="8" customWidth="1"/>
    <col min="14" max="15" width="4.7109375" style="2" customWidth="1"/>
    <col min="16" max="16" width="4.7109375" style="8" hidden="1" customWidth="1"/>
    <col min="17" max="18" width="4.7109375" style="2" hidden="1" customWidth="1"/>
    <col min="19" max="21" width="4.7109375" style="2" customWidth="1"/>
    <col min="22" max="22" width="4.7109375" style="8" hidden="1" customWidth="1"/>
    <col min="23" max="24" width="4.7109375" style="2" hidden="1" customWidth="1"/>
    <col min="25" max="25" width="4.7109375" style="8" hidden="1" customWidth="1"/>
    <col min="26" max="27" width="4.7109375" style="2" hidden="1" customWidth="1"/>
    <col min="28" max="28" width="4.5703125" style="8" customWidth="1"/>
    <col min="29" max="30" width="4.5703125" style="2" customWidth="1"/>
    <col min="31" max="31" width="82.140625" style="4" customWidth="1"/>
    <col min="32" max="53" width="5.7109375" customWidth="1"/>
  </cols>
  <sheetData>
    <row r="1" spans="2:31" ht="51" x14ac:dyDescent="0.25">
      <c r="B1" s="367" t="s">
        <v>0</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row>
    <row r="2" spans="2:31" ht="24.75" customHeight="1" x14ac:dyDescent="0.25">
      <c r="B2" s="368" t="s">
        <v>1</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row>
    <row r="3" spans="2:31" ht="24" customHeight="1" x14ac:dyDescent="0.25">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row>
    <row r="4" spans="2:31" ht="29.25" customHeight="1" x14ac:dyDescent="0.25">
      <c r="B4" s="368" t="s">
        <v>311</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row>
    <row r="5" spans="2:31" ht="17.25" thickBot="1" x14ac:dyDescent="0.35">
      <c r="B5" s="369" t="s">
        <v>231</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row>
    <row r="6" spans="2:31" ht="224.25" customHeight="1" x14ac:dyDescent="0.25">
      <c r="B6" s="370" t="s">
        <v>2</v>
      </c>
      <c r="C6" s="372" t="s">
        <v>3</v>
      </c>
      <c r="D6" s="372" t="s">
        <v>4</v>
      </c>
      <c r="E6" s="360" t="s">
        <v>5</v>
      </c>
      <c r="F6" s="360" t="s">
        <v>6</v>
      </c>
      <c r="G6" s="360" t="s">
        <v>7</v>
      </c>
      <c r="H6" s="360" t="s">
        <v>8</v>
      </c>
      <c r="I6" s="362" t="s">
        <v>9</v>
      </c>
      <c r="J6" s="360" t="s">
        <v>128</v>
      </c>
      <c r="K6" s="360"/>
      <c r="L6" s="360"/>
      <c r="M6" s="360" t="s">
        <v>174</v>
      </c>
      <c r="N6" s="360"/>
      <c r="O6" s="360"/>
      <c r="P6" s="360" t="s">
        <v>238</v>
      </c>
      <c r="Q6" s="360"/>
      <c r="R6" s="360"/>
      <c r="S6" s="364" t="s">
        <v>129</v>
      </c>
      <c r="T6" s="360"/>
      <c r="U6" s="365"/>
      <c r="V6" s="374" t="s">
        <v>130</v>
      </c>
      <c r="W6" s="360"/>
      <c r="X6" s="360"/>
      <c r="Y6" s="360" t="s">
        <v>239</v>
      </c>
      <c r="Z6" s="360"/>
      <c r="AA6" s="360"/>
      <c r="AB6" s="360" t="s">
        <v>131</v>
      </c>
      <c r="AC6" s="360"/>
      <c r="AD6" s="360"/>
      <c r="AE6" s="365" t="s">
        <v>10</v>
      </c>
    </row>
    <row r="7" spans="2:31" ht="162" customHeight="1" thickBot="1" x14ac:dyDescent="0.3">
      <c r="B7" s="371"/>
      <c r="C7" s="373"/>
      <c r="D7" s="373"/>
      <c r="E7" s="361"/>
      <c r="F7" s="361"/>
      <c r="G7" s="361"/>
      <c r="H7" s="361"/>
      <c r="I7" s="363"/>
      <c r="J7" s="9" t="s">
        <v>11</v>
      </c>
      <c r="K7" s="9" t="s">
        <v>12</v>
      </c>
      <c r="L7" s="9" t="s">
        <v>13</v>
      </c>
      <c r="M7" s="9" t="s">
        <v>11</v>
      </c>
      <c r="N7" s="9" t="s">
        <v>12</v>
      </c>
      <c r="O7" s="9" t="s">
        <v>13</v>
      </c>
      <c r="P7" s="9" t="s">
        <v>11</v>
      </c>
      <c r="Q7" s="9" t="s">
        <v>12</v>
      </c>
      <c r="R7" s="10" t="s">
        <v>13</v>
      </c>
      <c r="S7" s="11" t="s">
        <v>11</v>
      </c>
      <c r="T7" s="9" t="s">
        <v>12</v>
      </c>
      <c r="U7" s="13" t="s">
        <v>13</v>
      </c>
      <c r="V7" s="12" t="s">
        <v>11</v>
      </c>
      <c r="W7" s="9" t="s">
        <v>12</v>
      </c>
      <c r="X7" s="9" t="s">
        <v>13</v>
      </c>
      <c r="Y7" s="9" t="s">
        <v>11</v>
      </c>
      <c r="Z7" s="9" t="s">
        <v>12</v>
      </c>
      <c r="AA7" s="9" t="s">
        <v>13</v>
      </c>
      <c r="AB7" s="9" t="s">
        <v>11</v>
      </c>
      <c r="AC7" s="9" t="s">
        <v>12</v>
      </c>
      <c r="AD7" s="9" t="s">
        <v>13</v>
      </c>
      <c r="AE7" s="375"/>
    </row>
    <row r="8" spans="2:31" ht="51" customHeight="1" thickBot="1" x14ac:dyDescent="0.3">
      <c r="B8" s="284" t="s">
        <v>19</v>
      </c>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6"/>
    </row>
    <row r="9" spans="2:31" ht="409.5" customHeight="1" x14ac:dyDescent="0.25">
      <c r="B9" s="107">
        <v>1</v>
      </c>
      <c r="C9" s="287">
        <v>1040</v>
      </c>
      <c r="D9" s="108">
        <v>32004</v>
      </c>
      <c r="E9" s="40" t="s">
        <v>40</v>
      </c>
      <c r="F9" s="109" t="s">
        <v>82</v>
      </c>
      <c r="G9" s="110" t="s">
        <v>293</v>
      </c>
      <c r="H9" s="42" t="s">
        <v>83</v>
      </c>
      <c r="I9" s="110" t="s">
        <v>307</v>
      </c>
      <c r="J9" s="62">
        <f t="shared" ref="J9:J12" si="0">K9+L9</f>
        <v>1981422.2999999998</v>
      </c>
      <c r="K9" s="61">
        <v>701818.9</v>
      </c>
      <c r="L9" s="15">
        <v>1279603.3999999999</v>
      </c>
      <c r="M9" s="62">
        <f t="shared" ref="M9:M12" si="1">N9+O9</f>
        <v>2549254.7000000002</v>
      </c>
      <c r="N9" s="15">
        <f>701818.9+567832.4</f>
        <v>1269651.3</v>
      </c>
      <c r="O9" s="15">
        <v>1279603.3999999999</v>
      </c>
      <c r="P9" s="64">
        <f t="shared" ref="P9:P12" si="2">Q9+R9</f>
        <v>1981422.2999999998</v>
      </c>
      <c r="Q9" s="65">
        <v>701818.9</v>
      </c>
      <c r="R9" s="202">
        <v>1279603.3999999999</v>
      </c>
      <c r="S9" s="213">
        <f t="shared" ref="S9:S12" si="3">T9+U9</f>
        <v>1597580.2</v>
      </c>
      <c r="T9" s="214">
        <v>1002267.1</v>
      </c>
      <c r="U9" s="215">
        <v>595313.1</v>
      </c>
      <c r="V9" s="106">
        <f t="shared" ref="V9:V11" si="4">W9+X9</f>
        <v>1597580.2</v>
      </c>
      <c r="W9" s="60">
        <v>1002267.1</v>
      </c>
      <c r="X9" s="60">
        <v>595313.1</v>
      </c>
      <c r="Y9" s="64">
        <f t="shared" ref="Y9:AA10" si="5">S9/P9*100</f>
        <v>80.627950942108612</v>
      </c>
      <c r="Z9" s="65">
        <f t="shared" si="5"/>
        <v>142.8099328758459</v>
      </c>
      <c r="AA9" s="65">
        <f t="shared" si="5"/>
        <v>46.52325087601362</v>
      </c>
      <c r="AB9" s="64">
        <f t="shared" ref="AB9:AD10" si="6">S9/M9*100</f>
        <v>62.668520332628972</v>
      </c>
      <c r="AC9" s="65">
        <f t="shared" si="6"/>
        <v>78.940343699092807</v>
      </c>
      <c r="AD9" s="65">
        <f t="shared" si="6"/>
        <v>46.52325087601362</v>
      </c>
      <c r="AE9" s="249" t="s">
        <v>358</v>
      </c>
    </row>
    <row r="10" spans="2:31" ht="409.5" customHeight="1" x14ac:dyDescent="0.25">
      <c r="B10" s="31">
        <v>2</v>
      </c>
      <c r="C10" s="287"/>
      <c r="D10" s="32">
        <v>12002</v>
      </c>
      <c r="E10" s="29" t="s">
        <v>39</v>
      </c>
      <c r="F10" s="70" t="s">
        <v>119</v>
      </c>
      <c r="G10" s="71" t="s">
        <v>261</v>
      </c>
      <c r="H10" s="46" t="s">
        <v>84</v>
      </c>
      <c r="I10" s="111" t="s">
        <v>357</v>
      </c>
      <c r="J10" s="22">
        <f t="shared" si="0"/>
        <v>137651.69999999998</v>
      </c>
      <c r="K10" s="17">
        <v>114709.9</v>
      </c>
      <c r="L10" s="19">
        <v>22941.8</v>
      </c>
      <c r="M10" s="20">
        <f t="shared" si="1"/>
        <v>68479.999999999985</v>
      </c>
      <c r="N10" s="19">
        <f>114709.9-57643.3</f>
        <v>57066.599999999991</v>
      </c>
      <c r="O10" s="19">
        <f>22941.8-11528.4</f>
        <v>11413.4</v>
      </c>
      <c r="P10" s="20">
        <f t="shared" si="2"/>
        <v>56938.9</v>
      </c>
      <c r="Q10" s="19">
        <f>102900.3-50937.6</f>
        <v>51962.700000000004</v>
      </c>
      <c r="R10" s="201">
        <f>17710.6-12734.4</f>
        <v>4976.1999999999989</v>
      </c>
      <c r="S10" s="222">
        <f t="shared" si="3"/>
        <v>46223.5</v>
      </c>
      <c r="T10" s="223">
        <v>37702.199999999997</v>
      </c>
      <c r="U10" s="224">
        <v>8521.2999999999993</v>
      </c>
      <c r="V10" s="67">
        <f t="shared" si="4"/>
        <v>46223.5</v>
      </c>
      <c r="W10" s="68">
        <v>37702.199999999997</v>
      </c>
      <c r="X10" s="17">
        <v>8521.2999999999993</v>
      </c>
      <c r="Y10" s="22">
        <f t="shared" si="5"/>
        <v>81.180879855423967</v>
      </c>
      <c r="Z10" s="65">
        <f t="shared" si="5"/>
        <v>72.556275944090658</v>
      </c>
      <c r="AA10" s="65">
        <f t="shared" si="5"/>
        <v>171.24110767252122</v>
      </c>
      <c r="AB10" s="64">
        <f t="shared" si="6"/>
        <v>67.499269859813097</v>
      </c>
      <c r="AC10" s="65">
        <f t="shared" si="6"/>
        <v>66.06701643343041</v>
      </c>
      <c r="AD10" s="65">
        <f t="shared" si="6"/>
        <v>74.660486796221974</v>
      </c>
      <c r="AE10" s="249" t="s">
        <v>359</v>
      </c>
    </row>
    <row r="11" spans="2:31" ht="409.6" customHeight="1" x14ac:dyDescent="0.25">
      <c r="B11" s="43">
        <v>3</v>
      </c>
      <c r="C11" s="287"/>
      <c r="D11" s="112">
        <v>42001</v>
      </c>
      <c r="E11" s="29" t="s">
        <v>41</v>
      </c>
      <c r="F11" s="113" t="s">
        <v>82</v>
      </c>
      <c r="G11" s="114" t="s">
        <v>294</v>
      </c>
      <c r="H11" s="115" t="s">
        <v>85</v>
      </c>
      <c r="I11" s="110" t="s">
        <v>308</v>
      </c>
      <c r="J11" s="22">
        <f t="shared" si="0"/>
        <v>1010619.2999999999</v>
      </c>
      <c r="K11" s="68">
        <v>842182.7</v>
      </c>
      <c r="L11" s="19">
        <v>168436.6</v>
      </c>
      <c r="M11" s="20">
        <f t="shared" si="1"/>
        <v>1497843</v>
      </c>
      <c r="N11" s="19">
        <f>842182.7+427226.7</f>
        <v>1269409.3999999999</v>
      </c>
      <c r="O11" s="19">
        <f>168436.6+59997</f>
        <v>228433.6</v>
      </c>
      <c r="P11" s="20">
        <f t="shared" si="2"/>
        <v>1010619.2999999999</v>
      </c>
      <c r="Q11" s="19">
        <v>842182.7</v>
      </c>
      <c r="R11" s="201">
        <v>168436.6</v>
      </c>
      <c r="S11" s="222">
        <f t="shared" si="3"/>
        <v>1032181.2</v>
      </c>
      <c r="T11" s="223">
        <v>1032181.2</v>
      </c>
      <c r="U11" s="224">
        <v>0</v>
      </c>
      <c r="V11" s="24">
        <f t="shared" si="4"/>
        <v>1032181.2</v>
      </c>
      <c r="W11" s="17">
        <v>1032181.2</v>
      </c>
      <c r="X11" s="17">
        <v>0</v>
      </c>
      <c r="Y11" s="22">
        <f t="shared" ref="Y11:AA15" si="7">S11/P11*100</f>
        <v>102.13353336909358</v>
      </c>
      <c r="Z11" s="23">
        <f t="shared" si="7"/>
        <v>122.56024731925746</v>
      </c>
      <c r="AA11" s="23">
        <f t="shared" si="7"/>
        <v>0</v>
      </c>
      <c r="AB11" s="22">
        <f t="shared" ref="AB11:AD15" si="8">S11/M11*100</f>
        <v>68.911174268598245</v>
      </c>
      <c r="AC11" s="23">
        <f t="shared" si="8"/>
        <v>81.311923481896386</v>
      </c>
      <c r="AD11" s="23">
        <f t="shared" si="8"/>
        <v>0</v>
      </c>
      <c r="AE11" s="249" t="s">
        <v>358</v>
      </c>
    </row>
    <row r="12" spans="2:31" ht="267.75" customHeight="1" thickBot="1" x14ac:dyDescent="0.3">
      <c r="B12" s="26">
        <v>4</v>
      </c>
      <c r="C12" s="287"/>
      <c r="D12" s="28">
        <v>32009</v>
      </c>
      <c r="E12" s="29" t="s">
        <v>164</v>
      </c>
      <c r="F12" s="113" t="s">
        <v>86</v>
      </c>
      <c r="G12" s="114" t="s">
        <v>202</v>
      </c>
      <c r="H12" s="49" t="s">
        <v>114</v>
      </c>
      <c r="I12" s="58" t="s">
        <v>230</v>
      </c>
      <c r="J12" s="18">
        <f t="shared" si="0"/>
        <v>325038</v>
      </c>
      <c r="K12" s="68">
        <v>270865</v>
      </c>
      <c r="L12" s="68">
        <v>54173</v>
      </c>
      <c r="M12" s="18">
        <f t="shared" si="1"/>
        <v>0</v>
      </c>
      <c r="N12" s="68">
        <f>270865-270865</f>
        <v>0</v>
      </c>
      <c r="O12" s="68">
        <f>54173-54173</f>
        <v>0</v>
      </c>
      <c r="P12" s="18">
        <f t="shared" si="2"/>
        <v>0</v>
      </c>
      <c r="Q12" s="68">
        <v>0</v>
      </c>
      <c r="R12" s="210">
        <v>0</v>
      </c>
      <c r="S12" s="225">
        <f t="shared" si="3"/>
        <v>0</v>
      </c>
      <c r="T12" s="226">
        <v>0</v>
      </c>
      <c r="U12" s="218">
        <v>0</v>
      </c>
      <c r="V12" s="21">
        <v>0</v>
      </c>
      <c r="W12" s="17">
        <v>0</v>
      </c>
      <c r="X12" s="17">
        <v>0</v>
      </c>
      <c r="Y12" s="16" t="e">
        <f t="shared" si="7"/>
        <v>#DIV/0!</v>
      </c>
      <c r="Z12" s="17" t="e">
        <f t="shared" si="7"/>
        <v>#DIV/0!</v>
      </c>
      <c r="AA12" s="17" t="e">
        <f t="shared" si="7"/>
        <v>#DIV/0!</v>
      </c>
      <c r="AB12" s="16">
        <v>0</v>
      </c>
      <c r="AC12" s="17">
        <v>0</v>
      </c>
      <c r="AD12" s="17">
        <v>0</v>
      </c>
      <c r="AE12" s="248" t="s">
        <v>289</v>
      </c>
    </row>
    <row r="13" spans="2:31" ht="153.75" customHeight="1" x14ac:dyDescent="0.3">
      <c r="B13" s="278" t="s">
        <v>20</v>
      </c>
      <c r="C13" s="279"/>
      <c r="D13" s="279"/>
      <c r="E13" s="279"/>
      <c r="F13" s="279"/>
      <c r="G13" s="279"/>
      <c r="H13" s="279"/>
      <c r="I13" s="279"/>
      <c r="J13" s="80">
        <f>SUM(J9:J12)</f>
        <v>3454731.3</v>
      </c>
      <c r="K13" s="81">
        <f t="shared" ref="K13:X13" si="9">SUM(K9:K12)</f>
        <v>1929576.5</v>
      </c>
      <c r="L13" s="81">
        <f t="shared" si="9"/>
        <v>1525154.8</v>
      </c>
      <c r="M13" s="80">
        <f t="shared" si="9"/>
        <v>4115577.7</v>
      </c>
      <c r="N13" s="81">
        <f t="shared" si="9"/>
        <v>2596127.2999999998</v>
      </c>
      <c r="O13" s="81">
        <f t="shared" si="9"/>
        <v>1519450.4</v>
      </c>
      <c r="P13" s="80">
        <f t="shared" si="9"/>
        <v>3048980.4999999995</v>
      </c>
      <c r="Q13" s="81">
        <f t="shared" si="9"/>
        <v>1595964.2999999998</v>
      </c>
      <c r="R13" s="90">
        <f t="shared" si="9"/>
        <v>1453016.2</v>
      </c>
      <c r="S13" s="133">
        <f t="shared" si="9"/>
        <v>2675984.9</v>
      </c>
      <c r="T13" s="134">
        <f t="shared" si="9"/>
        <v>2072150.5</v>
      </c>
      <c r="U13" s="135">
        <f t="shared" si="9"/>
        <v>603834.4</v>
      </c>
      <c r="V13" s="94">
        <f t="shared" si="9"/>
        <v>2675984.9</v>
      </c>
      <c r="W13" s="81">
        <f t="shared" si="9"/>
        <v>2072150.5</v>
      </c>
      <c r="X13" s="81">
        <f t="shared" si="9"/>
        <v>603834.4</v>
      </c>
      <c r="Y13" s="80">
        <f t="shared" si="7"/>
        <v>87.766546883458261</v>
      </c>
      <c r="Z13" s="81">
        <f t="shared" si="7"/>
        <v>129.83689547441634</v>
      </c>
      <c r="AA13" s="81">
        <f t="shared" si="7"/>
        <v>41.557306793964173</v>
      </c>
      <c r="AB13" s="80">
        <f t="shared" si="8"/>
        <v>65.020881515613226</v>
      </c>
      <c r="AC13" s="81">
        <f t="shared" si="8"/>
        <v>79.816983550845151</v>
      </c>
      <c r="AD13" s="81">
        <f t="shared" si="8"/>
        <v>39.740316630276318</v>
      </c>
      <c r="AE13" s="204"/>
    </row>
    <row r="14" spans="2:31" ht="137.25" customHeight="1" x14ac:dyDescent="0.3">
      <c r="B14" s="280" t="s">
        <v>15</v>
      </c>
      <c r="C14" s="281"/>
      <c r="D14" s="281"/>
      <c r="E14" s="281"/>
      <c r="F14" s="281"/>
      <c r="G14" s="281"/>
      <c r="H14" s="281"/>
      <c r="I14" s="281"/>
      <c r="J14" s="82">
        <f>J10</f>
        <v>137651.69999999998</v>
      </c>
      <c r="K14" s="83">
        <f t="shared" ref="K14:X14" si="10">K10</f>
        <v>114709.9</v>
      </c>
      <c r="L14" s="83">
        <f t="shared" si="10"/>
        <v>22941.8</v>
      </c>
      <c r="M14" s="82">
        <f t="shared" si="10"/>
        <v>68479.999999999985</v>
      </c>
      <c r="N14" s="83">
        <f t="shared" si="10"/>
        <v>57066.599999999991</v>
      </c>
      <c r="O14" s="83">
        <f t="shared" si="10"/>
        <v>11413.4</v>
      </c>
      <c r="P14" s="82">
        <f t="shared" si="10"/>
        <v>56938.9</v>
      </c>
      <c r="Q14" s="83">
        <f t="shared" si="10"/>
        <v>51962.700000000004</v>
      </c>
      <c r="R14" s="85">
        <f t="shared" si="10"/>
        <v>4976.1999999999989</v>
      </c>
      <c r="S14" s="138">
        <f t="shared" si="10"/>
        <v>46223.5</v>
      </c>
      <c r="T14" s="139">
        <f t="shared" si="10"/>
        <v>37702.199999999997</v>
      </c>
      <c r="U14" s="140">
        <f t="shared" si="10"/>
        <v>8521.2999999999993</v>
      </c>
      <c r="V14" s="84">
        <f t="shared" si="10"/>
        <v>46223.5</v>
      </c>
      <c r="W14" s="83">
        <f t="shared" si="10"/>
        <v>37702.199999999997</v>
      </c>
      <c r="X14" s="83">
        <f t="shared" si="10"/>
        <v>8521.2999999999993</v>
      </c>
      <c r="Y14" s="82">
        <f t="shared" si="7"/>
        <v>81.180879855423967</v>
      </c>
      <c r="Z14" s="83">
        <f t="shared" si="7"/>
        <v>72.556275944090658</v>
      </c>
      <c r="AA14" s="83">
        <f t="shared" si="7"/>
        <v>171.24110767252122</v>
      </c>
      <c r="AB14" s="82">
        <f t="shared" si="8"/>
        <v>67.499269859813097</v>
      </c>
      <c r="AC14" s="83">
        <f t="shared" si="8"/>
        <v>66.06701643343041</v>
      </c>
      <c r="AD14" s="83">
        <f t="shared" si="8"/>
        <v>74.660486796221974</v>
      </c>
      <c r="AE14" s="208"/>
    </row>
    <row r="15" spans="2:31" ht="156" customHeight="1" thickBot="1" x14ac:dyDescent="0.35">
      <c r="B15" s="282" t="s">
        <v>16</v>
      </c>
      <c r="C15" s="283"/>
      <c r="D15" s="283"/>
      <c r="E15" s="283"/>
      <c r="F15" s="283"/>
      <c r="G15" s="283"/>
      <c r="H15" s="283"/>
      <c r="I15" s="283"/>
      <c r="J15" s="98">
        <f>J13-J14</f>
        <v>3317079.5999999996</v>
      </c>
      <c r="K15" s="99">
        <f t="shared" ref="K15:X15" si="11">K13-K14</f>
        <v>1814866.6</v>
      </c>
      <c r="L15" s="99">
        <f t="shared" si="11"/>
        <v>1502213</v>
      </c>
      <c r="M15" s="98">
        <f t="shared" si="11"/>
        <v>4047097.7</v>
      </c>
      <c r="N15" s="99">
        <f t="shared" si="11"/>
        <v>2539060.6999999997</v>
      </c>
      <c r="O15" s="99">
        <f t="shared" si="11"/>
        <v>1508037</v>
      </c>
      <c r="P15" s="98">
        <f t="shared" si="11"/>
        <v>2992041.5999999996</v>
      </c>
      <c r="Q15" s="99">
        <f t="shared" si="11"/>
        <v>1544001.5999999999</v>
      </c>
      <c r="R15" s="100">
        <f t="shared" si="11"/>
        <v>1448040</v>
      </c>
      <c r="S15" s="142">
        <f t="shared" si="11"/>
        <v>2629761.4</v>
      </c>
      <c r="T15" s="143">
        <f t="shared" si="11"/>
        <v>2034448.3</v>
      </c>
      <c r="U15" s="144">
        <f t="shared" si="11"/>
        <v>595313.1</v>
      </c>
      <c r="V15" s="104">
        <f t="shared" si="11"/>
        <v>2629761.4</v>
      </c>
      <c r="W15" s="99">
        <f t="shared" si="11"/>
        <v>2034448.3</v>
      </c>
      <c r="X15" s="99">
        <f t="shared" si="11"/>
        <v>595313.1</v>
      </c>
      <c r="Y15" s="98">
        <f t="shared" si="7"/>
        <v>87.89187289374587</v>
      </c>
      <c r="Z15" s="99">
        <f t="shared" si="7"/>
        <v>131.76464972575158</v>
      </c>
      <c r="AA15" s="99">
        <f t="shared" si="7"/>
        <v>41.111647468301982</v>
      </c>
      <c r="AB15" s="98">
        <f t="shared" si="8"/>
        <v>64.978945282195681</v>
      </c>
      <c r="AC15" s="99">
        <f t="shared" si="8"/>
        <v>80.126020618569697</v>
      </c>
      <c r="AD15" s="99">
        <f t="shared" si="8"/>
        <v>39.476027444949956</v>
      </c>
      <c r="AE15" s="209"/>
    </row>
    <row r="16" spans="2:31" ht="20.25" x14ac:dyDescent="0.35">
      <c r="B16" s="3"/>
      <c r="C16" s="3"/>
      <c r="D16" s="3"/>
      <c r="E16" s="3"/>
      <c r="F16" s="3"/>
      <c r="G16" s="3"/>
      <c r="H16" s="3"/>
      <c r="I16" s="3"/>
      <c r="J16" s="7"/>
      <c r="K16" s="1"/>
      <c r="L16" s="1"/>
      <c r="M16" s="7"/>
      <c r="N16" s="1"/>
      <c r="O16" s="1"/>
      <c r="P16" s="7"/>
      <c r="Q16" s="1"/>
      <c r="R16" s="1"/>
      <c r="S16" s="1"/>
      <c r="T16" s="1"/>
      <c r="U16" s="1"/>
      <c r="V16" s="7"/>
      <c r="W16" s="1"/>
      <c r="X16" s="1"/>
      <c r="Y16" s="7"/>
      <c r="Z16" s="1"/>
      <c r="AA16" s="1"/>
      <c r="AB16" s="7"/>
      <c r="AC16" s="1"/>
      <c r="AD16" s="1"/>
      <c r="AE16" s="3"/>
    </row>
    <row r="17" spans="2:31" ht="20.25" x14ac:dyDescent="0.35">
      <c r="B17" s="299"/>
      <c r="C17" s="299"/>
      <c r="D17" s="299"/>
      <c r="E17" s="299"/>
      <c r="F17" s="299"/>
      <c r="G17" s="299"/>
      <c r="H17" s="299"/>
      <c r="I17" s="299"/>
      <c r="J17" s="7"/>
      <c r="K17" s="1"/>
      <c r="L17" s="1"/>
      <c r="M17" s="7"/>
      <c r="N17" s="1"/>
      <c r="O17" s="1"/>
      <c r="P17" s="7"/>
      <c r="Q17" s="1"/>
      <c r="R17" s="1"/>
      <c r="S17" s="1"/>
      <c r="T17" s="1"/>
      <c r="U17" s="1"/>
      <c r="V17" s="7"/>
      <c r="W17" s="1"/>
      <c r="X17" s="1"/>
      <c r="Y17" s="7"/>
      <c r="Z17" s="1"/>
      <c r="AA17" s="1"/>
      <c r="AB17" s="7"/>
      <c r="AC17" s="1"/>
      <c r="AD17" s="1"/>
      <c r="AE17" s="3"/>
    </row>
  </sheetData>
  <mergeCells count="26">
    <mergeCell ref="B17:I17"/>
    <mergeCell ref="C9:C12"/>
    <mergeCell ref="B13:I13"/>
    <mergeCell ref="B14:I14"/>
    <mergeCell ref="B15:I15"/>
    <mergeCell ref="B8:AE8"/>
    <mergeCell ref="V6:X6"/>
    <mergeCell ref="Y6:AA6"/>
    <mergeCell ref="AB6:AD6"/>
    <mergeCell ref="AE6:AE7"/>
    <mergeCell ref="H6:H7"/>
    <mergeCell ref="I6:I7"/>
    <mergeCell ref="J6:L6"/>
    <mergeCell ref="M6:O6"/>
    <mergeCell ref="P6:R6"/>
    <mergeCell ref="S6:U6"/>
    <mergeCell ref="B1:AE1"/>
    <mergeCell ref="B2:AE3"/>
    <mergeCell ref="B4:AE4"/>
    <mergeCell ref="B5:AE5"/>
    <mergeCell ref="B6:B7"/>
    <mergeCell ref="C6:C7"/>
    <mergeCell ref="D6:D7"/>
    <mergeCell ref="E6:E7"/>
    <mergeCell ref="F6:F7"/>
    <mergeCell ref="G6:G7"/>
  </mergeCells>
  <pageMargins left="0.16" right="0.16" top="0.23" bottom="0.16" header="0.23" footer="0.16"/>
  <pageSetup scale="31" orientation="landscape" r:id="rId1"/>
  <rowBreaks count="1" manualBreakCount="1">
    <brk id="10" min="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F8E6A-1A79-4D34-98E4-E2B80828927F}">
  <dimension ref="B1:AE32"/>
  <sheetViews>
    <sheetView topLeftCell="A28" zoomScale="60" zoomScaleNormal="60" workbookViewId="0">
      <selection activeCell="V7" sqref="V1:X1048576"/>
    </sheetView>
  </sheetViews>
  <sheetFormatPr defaultRowHeight="18.75" x14ac:dyDescent="0.3"/>
  <cols>
    <col min="1" max="1" width="0.28515625" customWidth="1"/>
    <col min="2" max="2" width="6.28515625" style="4" customWidth="1"/>
    <col min="3" max="3" width="9" style="4" customWidth="1"/>
    <col min="4" max="4" width="11.7109375" style="4" customWidth="1"/>
    <col min="5" max="5" width="32.140625" style="4" customWidth="1"/>
    <col min="6" max="6" width="20.85546875" style="4" customWidth="1"/>
    <col min="7" max="7" width="26.85546875" style="4" customWidth="1"/>
    <col min="8" max="8" width="58" style="4" customWidth="1"/>
    <col min="9" max="9" width="120.7109375" style="4" customWidth="1"/>
    <col min="10" max="10" width="5" style="8" customWidth="1"/>
    <col min="11" max="12" width="4.7109375" style="2" customWidth="1"/>
    <col min="13" max="13" width="4.7109375" style="8" customWidth="1"/>
    <col min="14" max="15" width="4.7109375" style="2" customWidth="1"/>
    <col min="16" max="16" width="4.7109375" style="8" hidden="1" customWidth="1"/>
    <col min="17" max="18" width="4.7109375" style="2" hidden="1" customWidth="1"/>
    <col min="19" max="21" width="4.7109375" style="2" customWidth="1"/>
    <col min="22" max="22" width="4.7109375" style="8" hidden="1" customWidth="1"/>
    <col min="23" max="24" width="4.7109375" style="2" hidden="1" customWidth="1"/>
    <col min="25" max="25" width="4.7109375" style="8" hidden="1" customWidth="1"/>
    <col min="26" max="27" width="4.7109375" style="2" hidden="1" customWidth="1"/>
    <col min="28" max="28" width="4.5703125" style="8" customWidth="1"/>
    <col min="29" max="30" width="4.5703125" style="2" customWidth="1"/>
    <col min="31" max="31" width="82.140625" style="4" customWidth="1"/>
    <col min="32" max="53" width="5.7109375" customWidth="1"/>
  </cols>
  <sheetData>
    <row r="1" spans="2:31" ht="51" x14ac:dyDescent="0.25">
      <c r="B1" s="367" t="s">
        <v>0</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row>
    <row r="2" spans="2:31" ht="24.75" customHeight="1" x14ac:dyDescent="0.25">
      <c r="B2" s="368" t="s">
        <v>1</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row>
    <row r="3" spans="2:31" ht="24" customHeight="1" x14ac:dyDescent="0.25">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row>
    <row r="4" spans="2:31" ht="29.25" customHeight="1" x14ac:dyDescent="0.25">
      <c r="B4" s="368" t="s">
        <v>311</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row>
    <row r="5" spans="2:31" ht="17.25" thickBot="1" x14ac:dyDescent="0.35">
      <c r="B5" s="369" t="s">
        <v>231</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row>
    <row r="6" spans="2:31" ht="224.25" customHeight="1" x14ac:dyDescent="0.25">
      <c r="B6" s="370" t="s">
        <v>2</v>
      </c>
      <c r="C6" s="372" t="s">
        <v>3</v>
      </c>
      <c r="D6" s="372" t="s">
        <v>4</v>
      </c>
      <c r="E6" s="360" t="s">
        <v>5</v>
      </c>
      <c r="F6" s="360" t="s">
        <v>6</v>
      </c>
      <c r="G6" s="360" t="s">
        <v>7</v>
      </c>
      <c r="H6" s="360" t="s">
        <v>8</v>
      </c>
      <c r="I6" s="362" t="s">
        <v>9</v>
      </c>
      <c r="J6" s="360" t="s">
        <v>128</v>
      </c>
      <c r="K6" s="360"/>
      <c r="L6" s="360"/>
      <c r="M6" s="360" t="s">
        <v>174</v>
      </c>
      <c r="N6" s="360"/>
      <c r="O6" s="360"/>
      <c r="P6" s="360" t="s">
        <v>238</v>
      </c>
      <c r="Q6" s="360"/>
      <c r="R6" s="360"/>
      <c r="S6" s="364" t="s">
        <v>129</v>
      </c>
      <c r="T6" s="360"/>
      <c r="U6" s="365"/>
      <c r="V6" s="374" t="s">
        <v>130</v>
      </c>
      <c r="W6" s="360"/>
      <c r="X6" s="360"/>
      <c r="Y6" s="360" t="s">
        <v>239</v>
      </c>
      <c r="Z6" s="360"/>
      <c r="AA6" s="360"/>
      <c r="AB6" s="360" t="s">
        <v>131</v>
      </c>
      <c r="AC6" s="360"/>
      <c r="AD6" s="360"/>
      <c r="AE6" s="365" t="s">
        <v>10</v>
      </c>
    </row>
    <row r="7" spans="2:31" ht="162" customHeight="1" thickBot="1" x14ac:dyDescent="0.3">
      <c r="B7" s="371"/>
      <c r="C7" s="373"/>
      <c r="D7" s="373"/>
      <c r="E7" s="361"/>
      <c r="F7" s="361"/>
      <c r="G7" s="361"/>
      <c r="H7" s="361"/>
      <c r="I7" s="363"/>
      <c r="J7" s="9" t="s">
        <v>11</v>
      </c>
      <c r="K7" s="9" t="s">
        <v>12</v>
      </c>
      <c r="L7" s="9" t="s">
        <v>13</v>
      </c>
      <c r="M7" s="9" t="s">
        <v>11</v>
      </c>
      <c r="N7" s="9" t="s">
        <v>12</v>
      </c>
      <c r="O7" s="9" t="s">
        <v>13</v>
      </c>
      <c r="P7" s="9" t="s">
        <v>11</v>
      </c>
      <c r="Q7" s="9" t="s">
        <v>12</v>
      </c>
      <c r="R7" s="10" t="s">
        <v>13</v>
      </c>
      <c r="S7" s="11" t="s">
        <v>11</v>
      </c>
      <c r="T7" s="9" t="s">
        <v>12</v>
      </c>
      <c r="U7" s="13" t="s">
        <v>13</v>
      </c>
      <c r="V7" s="12" t="s">
        <v>11</v>
      </c>
      <c r="W7" s="9" t="s">
        <v>12</v>
      </c>
      <c r="X7" s="9" t="s">
        <v>13</v>
      </c>
      <c r="Y7" s="9" t="s">
        <v>11</v>
      </c>
      <c r="Z7" s="9" t="s">
        <v>12</v>
      </c>
      <c r="AA7" s="9" t="s">
        <v>13</v>
      </c>
      <c r="AB7" s="9" t="s">
        <v>11</v>
      </c>
      <c r="AC7" s="9" t="s">
        <v>12</v>
      </c>
      <c r="AD7" s="9" t="s">
        <v>13</v>
      </c>
      <c r="AE7" s="375"/>
    </row>
    <row r="8" spans="2:31" ht="63" customHeight="1" thickBot="1" x14ac:dyDescent="0.3">
      <c r="B8" s="284" t="s">
        <v>228</v>
      </c>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6"/>
    </row>
    <row r="9" spans="2:31" ht="276.75" customHeight="1" x14ac:dyDescent="0.25">
      <c r="B9" s="38">
        <v>1</v>
      </c>
      <c r="C9" s="287">
        <v>1049</v>
      </c>
      <c r="D9" s="39">
        <v>11007</v>
      </c>
      <c r="E9" s="40" t="s">
        <v>36</v>
      </c>
      <c r="F9" s="333" t="s">
        <v>69</v>
      </c>
      <c r="G9" s="288" t="s">
        <v>296</v>
      </c>
      <c r="H9" s="326" t="s">
        <v>256</v>
      </c>
      <c r="I9" s="105" t="s">
        <v>336</v>
      </c>
      <c r="J9" s="64">
        <f t="shared" ref="J9:J27" si="0">K9+L9</f>
        <v>124860.2</v>
      </c>
      <c r="K9" s="65">
        <v>121680.2</v>
      </c>
      <c r="L9" s="15">
        <v>3180</v>
      </c>
      <c r="M9" s="62">
        <f t="shared" ref="M9:M23" si="1">N9+O9</f>
        <v>134505.20000000001</v>
      </c>
      <c r="N9" s="15">
        <f>121680.2+10415</f>
        <v>132095.20000000001</v>
      </c>
      <c r="O9" s="15">
        <f>3180-770</f>
        <v>2410</v>
      </c>
      <c r="P9" s="62">
        <f t="shared" ref="P9:P26" si="2">Q9+R9</f>
        <v>124090.2</v>
      </c>
      <c r="Q9" s="15">
        <f>121680.2</f>
        <v>121680.2</v>
      </c>
      <c r="R9" s="203">
        <f>3180-770</f>
        <v>2410</v>
      </c>
      <c r="S9" s="259">
        <f t="shared" ref="S9:S27" si="3">T9+U9</f>
        <v>130085.8</v>
      </c>
      <c r="T9" s="260">
        <v>128487.3</v>
      </c>
      <c r="U9" s="261">
        <v>1598.5</v>
      </c>
      <c r="V9" s="131">
        <f t="shared" ref="V9:V27" si="4">W9+X9</f>
        <v>130085.8</v>
      </c>
      <c r="W9" s="15">
        <v>128487.3</v>
      </c>
      <c r="X9" s="15">
        <v>1598.5</v>
      </c>
      <c r="Y9" s="64">
        <f t="shared" ref="Y9:AA30" si="5">S9/P9*100</f>
        <v>104.83164665702853</v>
      </c>
      <c r="Z9" s="65">
        <f t="shared" si="5"/>
        <v>105.59425444731355</v>
      </c>
      <c r="AA9" s="65">
        <f t="shared" si="5"/>
        <v>66.327800829875514</v>
      </c>
      <c r="AB9" s="64">
        <f t="shared" ref="AB9:AD30" si="6">S9/M9*100</f>
        <v>96.714327773201319</v>
      </c>
      <c r="AC9" s="65">
        <f t="shared" si="6"/>
        <v>97.268712262065534</v>
      </c>
      <c r="AD9" s="65">
        <f t="shared" si="6"/>
        <v>66.327800829875514</v>
      </c>
      <c r="AE9" s="191" t="s">
        <v>313</v>
      </c>
    </row>
    <row r="10" spans="2:31" ht="297.75" customHeight="1" x14ac:dyDescent="0.25">
      <c r="B10" s="43">
        <v>2</v>
      </c>
      <c r="C10" s="287"/>
      <c r="D10" s="44">
        <v>21004</v>
      </c>
      <c r="E10" s="29" t="s">
        <v>149</v>
      </c>
      <c r="F10" s="335"/>
      <c r="G10" s="289"/>
      <c r="H10" s="336"/>
      <c r="I10" s="192" t="s">
        <v>257</v>
      </c>
      <c r="J10" s="22">
        <f t="shared" si="0"/>
        <v>512330.4</v>
      </c>
      <c r="K10" s="19">
        <v>426853.7</v>
      </c>
      <c r="L10" s="19">
        <v>85476.7</v>
      </c>
      <c r="M10" s="20">
        <f t="shared" si="1"/>
        <v>477330.39999999997</v>
      </c>
      <c r="N10" s="19">
        <f>426853.7+120000-130000</f>
        <v>416853.69999999995</v>
      </c>
      <c r="O10" s="19">
        <f>85476.7-10000-15000</f>
        <v>60476.7</v>
      </c>
      <c r="P10" s="20">
        <f t="shared" si="2"/>
        <v>622330.39999999991</v>
      </c>
      <c r="Q10" s="19">
        <f>426853.7+120000</f>
        <v>546853.69999999995</v>
      </c>
      <c r="R10" s="201">
        <f>85476.7-10000</f>
        <v>75476.7</v>
      </c>
      <c r="S10" s="222">
        <f t="shared" si="3"/>
        <v>463903.5</v>
      </c>
      <c r="T10" s="254">
        <v>405935.3</v>
      </c>
      <c r="U10" s="255">
        <v>57968.2</v>
      </c>
      <c r="V10" s="24">
        <f t="shared" si="4"/>
        <v>463903.5</v>
      </c>
      <c r="W10" s="23">
        <v>405935.3</v>
      </c>
      <c r="X10" s="23">
        <v>57968.2</v>
      </c>
      <c r="Y10" s="22">
        <f t="shared" si="5"/>
        <v>74.542959816843279</v>
      </c>
      <c r="Z10" s="23">
        <f t="shared" si="5"/>
        <v>74.231060336612884</v>
      </c>
      <c r="AA10" s="23">
        <f t="shared" si="5"/>
        <v>76.802774896093766</v>
      </c>
      <c r="AB10" s="22">
        <f t="shared" si="6"/>
        <v>97.187084669235404</v>
      </c>
      <c r="AC10" s="23">
        <f t="shared" si="6"/>
        <v>97.380759724574844</v>
      </c>
      <c r="AD10" s="23">
        <f t="shared" si="6"/>
        <v>95.852121560865584</v>
      </c>
      <c r="AE10" s="191" t="s">
        <v>313</v>
      </c>
    </row>
    <row r="11" spans="2:31" ht="234" customHeight="1" x14ac:dyDescent="0.25">
      <c r="B11" s="31">
        <v>3</v>
      </c>
      <c r="C11" s="287"/>
      <c r="D11" s="44">
        <v>11009</v>
      </c>
      <c r="E11" s="79" t="s">
        <v>150</v>
      </c>
      <c r="F11" s="335" t="s">
        <v>70</v>
      </c>
      <c r="G11" s="334" t="s">
        <v>297</v>
      </c>
      <c r="H11" s="48" t="s">
        <v>71</v>
      </c>
      <c r="I11" s="48" t="s">
        <v>304</v>
      </c>
      <c r="J11" s="20">
        <f t="shared" si="0"/>
        <v>12000</v>
      </c>
      <c r="K11" s="19">
        <v>8000</v>
      </c>
      <c r="L11" s="19">
        <v>4000</v>
      </c>
      <c r="M11" s="20">
        <f t="shared" si="1"/>
        <v>521150</v>
      </c>
      <c r="N11" s="19">
        <f>8000-5300</f>
        <v>2700</v>
      </c>
      <c r="O11" s="19">
        <f>4000+1950+407500+105000</f>
        <v>518450</v>
      </c>
      <c r="P11" s="20">
        <f t="shared" si="2"/>
        <v>425350</v>
      </c>
      <c r="Q11" s="19">
        <v>8000</v>
      </c>
      <c r="R11" s="201">
        <f>4000+850+407500+5000</f>
        <v>417350</v>
      </c>
      <c r="S11" s="222">
        <f t="shared" si="3"/>
        <v>521089.4</v>
      </c>
      <c r="T11" s="223">
        <v>2699.5</v>
      </c>
      <c r="U11" s="224">
        <v>518389.9</v>
      </c>
      <c r="V11" s="67">
        <f t="shared" si="4"/>
        <v>521089.4</v>
      </c>
      <c r="W11" s="23">
        <v>2699.5</v>
      </c>
      <c r="X11" s="23">
        <v>518389.9</v>
      </c>
      <c r="Y11" s="22">
        <f t="shared" si="5"/>
        <v>122.50838133301987</v>
      </c>
      <c r="Z11" s="23">
        <f t="shared" si="5"/>
        <v>33.743749999999999</v>
      </c>
      <c r="AA11" s="23">
        <f t="shared" si="5"/>
        <v>124.20987181023122</v>
      </c>
      <c r="AB11" s="22">
        <f t="shared" si="6"/>
        <v>99.988371869903105</v>
      </c>
      <c r="AC11" s="23">
        <f t="shared" si="6"/>
        <v>99.981481481481481</v>
      </c>
      <c r="AD11" s="23">
        <f t="shared" si="6"/>
        <v>99.988407753881773</v>
      </c>
      <c r="AE11" s="191" t="s">
        <v>116</v>
      </c>
    </row>
    <row r="12" spans="2:31" ht="228.75" customHeight="1" x14ac:dyDescent="0.25">
      <c r="B12" s="43">
        <v>4</v>
      </c>
      <c r="C12" s="287"/>
      <c r="D12" s="44">
        <v>21006</v>
      </c>
      <c r="E12" s="29" t="s">
        <v>151</v>
      </c>
      <c r="F12" s="335"/>
      <c r="G12" s="289"/>
      <c r="H12" s="48" t="s">
        <v>72</v>
      </c>
      <c r="I12" s="45" t="s">
        <v>217</v>
      </c>
      <c r="J12" s="22">
        <f t="shared" si="0"/>
        <v>11071590.899999999</v>
      </c>
      <c r="K12" s="19">
        <v>6563442.5999999996</v>
      </c>
      <c r="L12" s="19">
        <v>4508148.3</v>
      </c>
      <c r="M12" s="20">
        <f t="shared" si="1"/>
        <v>12216590.899999999</v>
      </c>
      <c r="N12" s="19">
        <f>6563442.6+3300000+245000</f>
        <v>10108442.6</v>
      </c>
      <c r="O12" s="19">
        <f>4508148.3-160000-2240000</f>
        <v>2108148.2999999998</v>
      </c>
      <c r="P12" s="20">
        <f t="shared" si="2"/>
        <v>11114402.600000001</v>
      </c>
      <c r="Q12" s="19">
        <f>6165475.9+2700000</f>
        <v>8865475.9000000004</v>
      </c>
      <c r="R12" s="201">
        <f>2408926.7-160000</f>
        <v>2248926.7000000002</v>
      </c>
      <c r="S12" s="222">
        <f t="shared" si="3"/>
        <v>12042377.699999999</v>
      </c>
      <c r="T12" s="223">
        <v>9961859.0999999996</v>
      </c>
      <c r="U12" s="224">
        <v>2080518.6</v>
      </c>
      <c r="V12" s="24">
        <f t="shared" si="4"/>
        <v>12042377.699999999</v>
      </c>
      <c r="W12" s="23">
        <v>9961859.0999999996</v>
      </c>
      <c r="X12" s="23">
        <v>2080518.6</v>
      </c>
      <c r="Y12" s="22">
        <f t="shared" si="5"/>
        <v>108.34930255270758</v>
      </c>
      <c r="Z12" s="23">
        <f t="shared" si="5"/>
        <v>112.3668848955982</v>
      </c>
      <c r="AA12" s="19">
        <f t="shared" si="5"/>
        <v>92.511623433524974</v>
      </c>
      <c r="AB12" s="22">
        <f t="shared" si="6"/>
        <v>98.573962233604789</v>
      </c>
      <c r="AC12" s="23">
        <f t="shared" si="6"/>
        <v>98.54989036590068</v>
      </c>
      <c r="AD12" s="23">
        <f t="shared" si="6"/>
        <v>98.689385371987356</v>
      </c>
      <c r="AE12" s="191" t="s">
        <v>313</v>
      </c>
    </row>
    <row r="13" spans="2:31" ht="342" customHeight="1" x14ac:dyDescent="0.25">
      <c r="B13" s="43">
        <v>5</v>
      </c>
      <c r="C13" s="287"/>
      <c r="D13" s="32">
        <v>21007</v>
      </c>
      <c r="E13" s="29" t="s">
        <v>152</v>
      </c>
      <c r="F13" s="70" t="s">
        <v>190</v>
      </c>
      <c r="G13" s="47" t="s">
        <v>305</v>
      </c>
      <c r="H13" s="47" t="s">
        <v>191</v>
      </c>
      <c r="I13" s="75" t="s">
        <v>295</v>
      </c>
      <c r="J13" s="22">
        <f t="shared" si="0"/>
        <v>631959.60000000009</v>
      </c>
      <c r="K13" s="23">
        <v>564641.30000000005</v>
      </c>
      <c r="L13" s="19">
        <v>67318.3</v>
      </c>
      <c r="M13" s="20">
        <f t="shared" si="1"/>
        <v>645060.60000000009</v>
      </c>
      <c r="N13" s="19">
        <f>564641.3-100000+113101</f>
        <v>577742.30000000005</v>
      </c>
      <c r="O13" s="19">
        <v>67318.3</v>
      </c>
      <c r="P13" s="20">
        <f t="shared" si="2"/>
        <v>531959.60000000009</v>
      </c>
      <c r="Q13" s="19">
        <f>564641.3-100000</f>
        <v>464641.30000000005</v>
      </c>
      <c r="R13" s="201">
        <v>67318.3</v>
      </c>
      <c r="S13" s="222">
        <f t="shared" si="3"/>
        <v>644578</v>
      </c>
      <c r="T13" s="223">
        <v>577742.69999999995</v>
      </c>
      <c r="U13" s="224">
        <v>66835.3</v>
      </c>
      <c r="V13" s="67">
        <f t="shared" si="4"/>
        <v>644578</v>
      </c>
      <c r="W13" s="19">
        <v>577742.69999999995</v>
      </c>
      <c r="X13" s="19">
        <v>66835.3</v>
      </c>
      <c r="Y13" s="20">
        <f t="shared" si="5"/>
        <v>121.17047986350842</v>
      </c>
      <c r="Z13" s="19">
        <f t="shared" si="5"/>
        <v>124.34165882369903</v>
      </c>
      <c r="AA13" s="19">
        <f t="shared" si="5"/>
        <v>99.282513075939221</v>
      </c>
      <c r="AB13" s="20">
        <f t="shared" si="6"/>
        <v>99.925185323673446</v>
      </c>
      <c r="AC13" s="19">
        <f t="shared" si="6"/>
        <v>100.00006923502052</v>
      </c>
      <c r="AD13" s="19">
        <f t="shared" si="6"/>
        <v>99.282513075939221</v>
      </c>
      <c r="AE13" s="191" t="s">
        <v>116</v>
      </c>
    </row>
    <row r="14" spans="2:31" ht="237.75" customHeight="1" x14ac:dyDescent="0.25">
      <c r="B14" s="43">
        <v>6</v>
      </c>
      <c r="C14" s="287"/>
      <c r="D14" s="44">
        <v>21008</v>
      </c>
      <c r="E14" s="29" t="s">
        <v>153</v>
      </c>
      <c r="F14" s="46" t="s">
        <v>196</v>
      </c>
      <c r="G14" s="75" t="s">
        <v>333</v>
      </c>
      <c r="H14" s="48" t="s">
        <v>197</v>
      </c>
      <c r="I14" s="110" t="s">
        <v>254</v>
      </c>
      <c r="J14" s="22">
        <f t="shared" si="0"/>
        <v>142084.9</v>
      </c>
      <c r="K14" s="19">
        <v>106563.7</v>
      </c>
      <c r="L14" s="19">
        <v>35521.199999999997</v>
      </c>
      <c r="M14" s="20">
        <f t="shared" si="1"/>
        <v>142084.9</v>
      </c>
      <c r="N14" s="19">
        <v>106563.7</v>
      </c>
      <c r="O14" s="19">
        <v>35521.199999999997</v>
      </c>
      <c r="P14" s="20">
        <f t="shared" si="2"/>
        <v>142084.9</v>
      </c>
      <c r="Q14" s="19">
        <v>106563.7</v>
      </c>
      <c r="R14" s="201">
        <v>35521.199999999997</v>
      </c>
      <c r="S14" s="222">
        <f t="shared" si="3"/>
        <v>80975.299999999988</v>
      </c>
      <c r="T14" s="223">
        <v>68111.899999999994</v>
      </c>
      <c r="U14" s="224">
        <v>12863.4</v>
      </c>
      <c r="V14" s="67">
        <f t="shared" si="4"/>
        <v>80975.299999999988</v>
      </c>
      <c r="W14" s="19">
        <v>68111.899999999994</v>
      </c>
      <c r="X14" s="19">
        <v>12863.4</v>
      </c>
      <c r="Y14" s="20">
        <f t="shared" si="5"/>
        <v>56.990785086944499</v>
      </c>
      <c r="Z14" s="19">
        <f t="shared" si="5"/>
        <v>63.916605748486575</v>
      </c>
      <c r="AA14" s="19">
        <f t="shared" si="5"/>
        <v>36.213303604607958</v>
      </c>
      <c r="AB14" s="20">
        <f t="shared" si="6"/>
        <v>56.990785086944499</v>
      </c>
      <c r="AC14" s="19">
        <f t="shared" si="6"/>
        <v>63.916605748486575</v>
      </c>
      <c r="AD14" s="19">
        <f t="shared" si="6"/>
        <v>36.213303604607958</v>
      </c>
      <c r="AE14" s="248" t="s">
        <v>334</v>
      </c>
    </row>
    <row r="15" spans="2:31" ht="259.5" customHeight="1" x14ac:dyDescent="0.25">
      <c r="B15" s="31">
        <v>7</v>
      </c>
      <c r="C15" s="287"/>
      <c r="D15" s="44">
        <v>11011</v>
      </c>
      <c r="E15" s="79" t="s">
        <v>154</v>
      </c>
      <c r="F15" s="335" t="s">
        <v>73</v>
      </c>
      <c r="G15" s="334" t="s">
        <v>298</v>
      </c>
      <c r="H15" s="48" t="s">
        <v>74</v>
      </c>
      <c r="I15" s="42" t="s">
        <v>337</v>
      </c>
      <c r="J15" s="20">
        <f t="shared" si="0"/>
        <v>296141.2</v>
      </c>
      <c r="K15" s="19">
        <v>284092.79999999999</v>
      </c>
      <c r="L15" s="19">
        <v>12048.4</v>
      </c>
      <c r="M15" s="20">
        <f t="shared" si="1"/>
        <v>276245.89999999997</v>
      </c>
      <c r="N15" s="19">
        <f>284092.8-15000</f>
        <v>269092.8</v>
      </c>
      <c r="O15" s="19">
        <f>12048.4-1950-2000-945.3</f>
        <v>7153.0999999999995</v>
      </c>
      <c r="P15" s="20">
        <f t="shared" si="2"/>
        <v>278280.39999999997</v>
      </c>
      <c r="Q15" s="19">
        <v>271963.09999999998</v>
      </c>
      <c r="R15" s="201">
        <f>9167.3-850-2000</f>
        <v>6317.2999999999993</v>
      </c>
      <c r="S15" s="222">
        <f t="shared" si="3"/>
        <v>245691.4</v>
      </c>
      <c r="T15" s="223">
        <v>240852.3</v>
      </c>
      <c r="U15" s="224">
        <v>4839.1000000000004</v>
      </c>
      <c r="V15" s="67">
        <f t="shared" si="4"/>
        <v>245691.4</v>
      </c>
      <c r="W15" s="19">
        <v>240852.3</v>
      </c>
      <c r="X15" s="19">
        <v>4839.1000000000004</v>
      </c>
      <c r="Y15" s="20">
        <f t="shared" si="5"/>
        <v>88.289150080278745</v>
      </c>
      <c r="Z15" s="19">
        <f t="shared" si="5"/>
        <v>88.560654000487574</v>
      </c>
      <c r="AA15" s="19">
        <f t="shared" si="5"/>
        <v>76.600762984186304</v>
      </c>
      <c r="AB15" s="20">
        <f t="shared" si="6"/>
        <v>88.939383353743906</v>
      </c>
      <c r="AC15" s="23">
        <f t="shared" si="6"/>
        <v>89.505293341181925</v>
      </c>
      <c r="AD15" s="23">
        <f t="shared" si="6"/>
        <v>67.650389341684033</v>
      </c>
      <c r="AE15" s="191" t="s">
        <v>335</v>
      </c>
    </row>
    <row r="16" spans="2:31" ht="264.75" customHeight="1" x14ac:dyDescent="0.25">
      <c r="B16" s="43">
        <v>8</v>
      </c>
      <c r="C16" s="287"/>
      <c r="D16" s="44">
        <v>21011</v>
      </c>
      <c r="E16" s="29" t="s">
        <v>37</v>
      </c>
      <c r="F16" s="335"/>
      <c r="G16" s="289"/>
      <c r="H16" s="48" t="s">
        <v>113</v>
      </c>
      <c r="I16" s="42" t="s">
        <v>299</v>
      </c>
      <c r="J16" s="20">
        <f t="shared" si="0"/>
        <v>7570160.3999999994</v>
      </c>
      <c r="K16" s="19">
        <v>6035850.0999999996</v>
      </c>
      <c r="L16" s="19">
        <v>1534310.3</v>
      </c>
      <c r="M16" s="20">
        <f t="shared" si="1"/>
        <v>7590160.3999999994</v>
      </c>
      <c r="N16" s="19">
        <f>6035850.1+455000-233000</f>
        <v>6257850.0999999996</v>
      </c>
      <c r="O16" s="19">
        <f>1534310.3-202000</f>
        <v>1332310.3</v>
      </c>
      <c r="P16" s="20">
        <f t="shared" si="2"/>
        <v>5469143.5999999996</v>
      </c>
      <c r="Q16" s="19">
        <v>4335001</v>
      </c>
      <c r="R16" s="201">
        <v>1134142.6000000001</v>
      </c>
      <c r="S16" s="222">
        <f t="shared" si="3"/>
        <v>7396871.7000000002</v>
      </c>
      <c r="T16" s="223">
        <v>6103587.5</v>
      </c>
      <c r="U16" s="224">
        <v>1293284.2</v>
      </c>
      <c r="V16" s="67">
        <f t="shared" si="4"/>
        <v>7396871.7000000002</v>
      </c>
      <c r="W16" s="19">
        <v>6103587.5</v>
      </c>
      <c r="X16" s="19">
        <v>1293284.2</v>
      </c>
      <c r="Y16" s="20">
        <f t="shared" si="5"/>
        <v>135.24734841484141</v>
      </c>
      <c r="Z16" s="23">
        <f t="shared" si="5"/>
        <v>140.7978337259899</v>
      </c>
      <c r="AA16" s="23">
        <f t="shared" si="5"/>
        <v>114.0318862901367</v>
      </c>
      <c r="AB16" s="22">
        <f t="shared" si="6"/>
        <v>97.453430628422566</v>
      </c>
      <c r="AC16" s="23">
        <f t="shared" si="6"/>
        <v>97.534894611809264</v>
      </c>
      <c r="AD16" s="23">
        <f t="shared" si="6"/>
        <v>97.070794994229189</v>
      </c>
      <c r="AE16" s="191" t="s">
        <v>362</v>
      </c>
    </row>
    <row r="17" spans="2:31" ht="243.75" customHeight="1" x14ac:dyDescent="0.25">
      <c r="B17" s="31">
        <v>9</v>
      </c>
      <c r="C17" s="287"/>
      <c r="D17" s="44">
        <v>11012</v>
      </c>
      <c r="E17" s="29" t="s">
        <v>155</v>
      </c>
      <c r="F17" s="335" t="s">
        <v>75</v>
      </c>
      <c r="G17" s="325" t="s">
        <v>118</v>
      </c>
      <c r="H17" s="337" t="s">
        <v>76</v>
      </c>
      <c r="I17" s="29" t="s">
        <v>338</v>
      </c>
      <c r="J17" s="22">
        <f t="shared" si="0"/>
        <v>1066280</v>
      </c>
      <c r="K17" s="19">
        <v>196031</v>
      </c>
      <c r="L17" s="19">
        <v>870249</v>
      </c>
      <c r="M17" s="20">
        <f t="shared" si="1"/>
        <v>4298080.3</v>
      </c>
      <c r="N17" s="19">
        <f>196031-25000</f>
        <v>171031</v>
      </c>
      <c r="O17" s="19">
        <f>870249+320000+2931000+2770+3030.3</f>
        <v>4127049.3</v>
      </c>
      <c r="P17" s="20">
        <f t="shared" si="2"/>
        <v>4251080.3</v>
      </c>
      <c r="Q17" s="19">
        <v>147285.70000000001</v>
      </c>
      <c r="R17" s="201">
        <f>850024.6+320000+2931000+2770</f>
        <v>4103794.6</v>
      </c>
      <c r="S17" s="222">
        <f t="shared" si="3"/>
        <v>4267472.8</v>
      </c>
      <c r="T17" s="223">
        <v>155409.9</v>
      </c>
      <c r="U17" s="224">
        <v>4112062.9</v>
      </c>
      <c r="V17" s="67">
        <f t="shared" si="4"/>
        <v>4267472.8</v>
      </c>
      <c r="W17" s="19">
        <v>155409.9</v>
      </c>
      <c r="X17" s="23">
        <v>4112062.9</v>
      </c>
      <c r="Y17" s="22">
        <f t="shared" si="5"/>
        <v>100.38560786537012</v>
      </c>
      <c r="Z17" s="23">
        <f t="shared" si="5"/>
        <v>105.51594621881146</v>
      </c>
      <c r="AA17" s="23">
        <f t="shared" si="5"/>
        <v>100.20147938203338</v>
      </c>
      <c r="AB17" s="22">
        <f t="shared" si="6"/>
        <v>99.287879754131154</v>
      </c>
      <c r="AC17" s="23">
        <f t="shared" si="6"/>
        <v>90.86650958013459</v>
      </c>
      <c r="AD17" s="23">
        <f t="shared" si="6"/>
        <v>99.636873734462057</v>
      </c>
      <c r="AE17" s="191" t="s">
        <v>335</v>
      </c>
    </row>
    <row r="18" spans="2:31" ht="244.5" customHeight="1" x14ac:dyDescent="0.25">
      <c r="B18" s="43">
        <v>10</v>
      </c>
      <c r="C18" s="287"/>
      <c r="D18" s="44">
        <v>21012</v>
      </c>
      <c r="E18" s="29" t="s">
        <v>156</v>
      </c>
      <c r="F18" s="335"/>
      <c r="G18" s="326"/>
      <c r="H18" s="337"/>
      <c r="I18" s="29" t="s">
        <v>198</v>
      </c>
      <c r="J18" s="22">
        <f t="shared" si="0"/>
        <v>13830833.4</v>
      </c>
      <c r="K18" s="19">
        <v>11300649.4</v>
      </c>
      <c r="L18" s="19">
        <v>2530184</v>
      </c>
      <c r="M18" s="20">
        <f t="shared" si="1"/>
        <v>6997497.5</v>
      </c>
      <c r="N18" s="19">
        <f>11300649.4-120000-2700000-2725000</f>
        <v>5755649.4000000004</v>
      </c>
      <c r="O18" s="19">
        <f>2530184-172000-400000-505000-49335.9-162000</f>
        <v>1241848.1000000001</v>
      </c>
      <c r="P18" s="20">
        <f t="shared" si="2"/>
        <v>5397380</v>
      </c>
      <c r="Q18" s="19">
        <f>6933488-120000-2700000</f>
        <v>4113488</v>
      </c>
      <c r="R18" s="201">
        <f>1855892-172000-400000</f>
        <v>1283892</v>
      </c>
      <c r="S18" s="222">
        <f t="shared" si="3"/>
        <v>6744476.1999999993</v>
      </c>
      <c r="T18" s="223">
        <v>5516941.7999999998</v>
      </c>
      <c r="U18" s="224">
        <v>1227534.3999999999</v>
      </c>
      <c r="V18" s="67">
        <f t="shared" si="4"/>
        <v>6744476.1999999993</v>
      </c>
      <c r="W18" s="19">
        <v>5516941.7999999998</v>
      </c>
      <c r="X18" s="19">
        <v>1227534.3999999999</v>
      </c>
      <c r="Y18" s="22">
        <f t="shared" si="5"/>
        <v>124.95833534048001</v>
      </c>
      <c r="Z18" s="23">
        <f t="shared" si="5"/>
        <v>134.11833947248661</v>
      </c>
      <c r="AA18" s="23">
        <f t="shared" si="5"/>
        <v>95.610409598315115</v>
      </c>
      <c r="AB18" s="22">
        <f t="shared" si="6"/>
        <v>96.384117321942583</v>
      </c>
      <c r="AC18" s="23">
        <f t="shared" si="6"/>
        <v>95.852638279183566</v>
      </c>
      <c r="AD18" s="23">
        <f t="shared" si="6"/>
        <v>98.847387212655065</v>
      </c>
      <c r="AE18" s="191" t="s">
        <v>362</v>
      </c>
    </row>
    <row r="19" spans="2:31" ht="276.75" customHeight="1" x14ac:dyDescent="0.25">
      <c r="B19" s="31">
        <v>11</v>
      </c>
      <c r="C19" s="287"/>
      <c r="D19" s="44">
        <v>11015</v>
      </c>
      <c r="E19" s="79" t="s">
        <v>157</v>
      </c>
      <c r="F19" s="335" t="s">
        <v>77</v>
      </c>
      <c r="G19" s="334" t="s">
        <v>300</v>
      </c>
      <c r="H19" s="48" t="s">
        <v>79</v>
      </c>
      <c r="I19" s="45" t="s">
        <v>353</v>
      </c>
      <c r="J19" s="20">
        <f t="shared" si="0"/>
        <v>338.5</v>
      </c>
      <c r="K19" s="19">
        <v>0</v>
      </c>
      <c r="L19" s="19">
        <v>338.5</v>
      </c>
      <c r="M19" s="20">
        <f t="shared" si="1"/>
        <v>338.5</v>
      </c>
      <c r="N19" s="19">
        <v>0</v>
      </c>
      <c r="O19" s="19">
        <v>338.5</v>
      </c>
      <c r="P19" s="22">
        <f t="shared" si="2"/>
        <v>338.5</v>
      </c>
      <c r="Q19" s="23">
        <v>0</v>
      </c>
      <c r="R19" s="199">
        <v>338.5</v>
      </c>
      <c r="S19" s="253">
        <f t="shared" si="3"/>
        <v>338.5</v>
      </c>
      <c r="T19" s="254">
        <v>0</v>
      </c>
      <c r="U19" s="255">
        <v>338.5</v>
      </c>
      <c r="V19" s="24">
        <f t="shared" si="4"/>
        <v>338.5</v>
      </c>
      <c r="W19" s="23">
        <v>0</v>
      </c>
      <c r="X19" s="23">
        <v>338.5</v>
      </c>
      <c r="Y19" s="22">
        <f t="shared" si="5"/>
        <v>100</v>
      </c>
      <c r="Z19" s="23" t="e">
        <f t="shared" si="5"/>
        <v>#DIV/0!</v>
      </c>
      <c r="AA19" s="23">
        <f t="shared" si="5"/>
        <v>100</v>
      </c>
      <c r="AB19" s="22">
        <f t="shared" si="6"/>
        <v>100</v>
      </c>
      <c r="AC19" s="23">
        <v>0</v>
      </c>
      <c r="AD19" s="23">
        <f t="shared" si="6"/>
        <v>100</v>
      </c>
      <c r="AE19" s="248" t="s">
        <v>116</v>
      </c>
    </row>
    <row r="20" spans="2:31" ht="272.25" customHeight="1" x14ac:dyDescent="0.25">
      <c r="B20" s="120">
        <v>12</v>
      </c>
      <c r="C20" s="287"/>
      <c r="D20" s="44">
        <v>21009</v>
      </c>
      <c r="E20" s="29" t="s">
        <v>158</v>
      </c>
      <c r="F20" s="335"/>
      <c r="G20" s="289"/>
      <c r="H20" s="48" t="s">
        <v>78</v>
      </c>
      <c r="I20" s="45" t="s">
        <v>247</v>
      </c>
      <c r="J20" s="20">
        <f t="shared" si="0"/>
        <v>3616569.4</v>
      </c>
      <c r="K20" s="19">
        <v>3013808</v>
      </c>
      <c r="L20" s="19">
        <v>602761.4</v>
      </c>
      <c r="M20" s="20">
        <f t="shared" si="1"/>
        <v>1683569.4</v>
      </c>
      <c r="N20" s="19">
        <f>3013808-2213000</f>
        <v>800808</v>
      </c>
      <c r="O20" s="19">
        <f>602761.4+370000-90000</f>
        <v>882761.4</v>
      </c>
      <c r="P20" s="20">
        <f t="shared" si="2"/>
        <v>3344591.0999999996</v>
      </c>
      <c r="Q20" s="19">
        <v>2476025.4</v>
      </c>
      <c r="R20" s="201">
        <f>498565.7+370000</f>
        <v>868565.7</v>
      </c>
      <c r="S20" s="222">
        <f t="shared" si="3"/>
        <v>1615396.9</v>
      </c>
      <c r="T20" s="223">
        <v>735015.7</v>
      </c>
      <c r="U20" s="224">
        <v>880381.2</v>
      </c>
      <c r="V20" s="67">
        <f t="shared" si="4"/>
        <v>1615396.9</v>
      </c>
      <c r="W20" s="19">
        <v>735015.7</v>
      </c>
      <c r="X20" s="19">
        <v>880381.2</v>
      </c>
      <c r="Y20" s="20">
        <f t="shared" si="5"/>
        <v>48.298786060873034</v>
      </c>
      <c r="Z20" s="19">
        <f t="shared" si="5"/>
        <v>29.68530532845099</v>
      </c>
      <c r="AA20" s="19">
        <f t="shared" si="5"/>
        <v>101.36034614307243</v>
      </c>
      <c r="AB20" s="22">
        <f t="shared" si="6"/>
        <v>95.950716376764746</v>
      </c>
      <c r="AC20" s="23">
        <f t="shared" si="6"/>
        <v>91.784260396999031</v>
      </c>
      <c r="AD20" s="23">
        <f t="shared" si="6"/>
        <v>99.730368817666914</v>
      </c>
      <c r="AE20" s="191" t="s">
        <v>362</v>
      </c>
    </row>
    <row r="21" spans="2:31" ht="247.5" customHeight="1" x14ac:dyDescent="0.25">
      <c r="B21" s="31">
        <v>13</v>
      </c>
      <c r="C21" s="287"/>
      <c r="D21" s="44">
        <v>11016</v>
      </c>
      <c r="E21" s="29" t="s">
        <v>38</v>
      </c>
      <c r="F21" s="332" t="s">
        <v>80</v>
      </c>
      <c r="G21" s="325" t="s">
        <v>105</v>
      </c>
      <c r="H21" s="325" t="s">
        <v>81</v>
      </c>
      <c r="I21" s="29" t="s">
        <v>301</v>
      </c>
      <c r="J21" s="20">
        <f t="shared" si="0"/>
        <v>1525000</v>
      </c>
      <c r="K21" s="19">
        <v>10415</v>
      </c>
      <c r="L21" s="19">
        <v>1514585</v>
      </c>
      <c r="M21" s="20">
        <f t="shared" si="1"/>
        <v>628947.9</v>
      </c>
      <c r="N21" s="19">
        <f>10415-10415</f>
        <v>0</v>
      </c>
      <c r="O21" s="19">
        <f>1514585-212500-446407.1-224645-2085</f>
        <v>628947.9</v>
      </c>
      <c r="P21" s="20">
        <f t="shared" si="2"/>
        <v>38488.299999999988</v>
      </c>
      <c r="Q21" s="19">
        <f>10415</f>
        <v>10415</v>
      </c>
      <c r="R21" s="201">
        <f>714585-212500-407812.7-66199</f>
        <v>28073.299999999988</v>
      </c>
      <c r="S21" s="222">
        <f t="shared" si="3"/>
        <v>628947.9</v>
      </c>
      <c r="T21" s="223">
        <v>0</v>
      </c>
      <c r="U21" s="224">
        <v>628947.9</v>
      </c>
      <c r="V21" s="67">
        <f t="shared" si="4"/>
        <v>628947.9</v>
      </c>
      <c r="W21" s="19">
        <v>0</v>
      </c>
      <c r="X21" s="19">
        <v>628947.9</v>
      </c>
      <c r="Y21" s="20">
        <f t="shared" si="5"/>
        <v>1634.1275140757066</v>
      </c>
      <c r="Z21" s="19">
        <f t="shared" si="5"/>
        <v>0</v>
      </c>
      <c r="AA21" s="23">
        <f t="shared" si="5"/>
        <v>2240.3775117282271</v>
      </c>
      <c r="AB21" s="22">
        <f t="shared" si="6"/>
        <v>100</v>
      </c>
      <c r="AC21" s="23">
        <v>0</v>
      </c>
      <c r="AD21" s="23">
        <f t="shared" si="6"/>
        <v>100</v>
      </c>
      <c r="AE21" s="235" t="s">
        <v>116</v>
      </c>
    </row>
    <row r="22" spans="2:31" ht="217.5" customHeight="1" x14ac:dyDescent="0.25">
      <c r="B22" s="120">
        <v>14</v>
      </c>
      <c r="C22" s="287"/>
      <c r="D22" s="44">
        <v>21017</v>
      </c>
      <c r="E22" s="29" t="s">
        <v>159</v>
      </c>
      <c r="F22" s="333"/>
      <c r="G22" s="326"/>
      <c r="H22" s="326"/>
      <c r="I22" s="29" t="s">
        <v>282</v>
      </c>
      <c r="J22" s="22">
        <f t="shared" si="0"/>
        <v>250000</v>
      </c>
      <c r="K22" s="19">
        <v>200000</v>
      </c>
      <c r="L22" s="19">
        <v>50000</v>
      </c>
      <c r="M22" s="20">
        <f t="shared" si="1"/>
        <v>0</v>
      </c>
      <c r="N22" s="19">
        <f>200000-200000</f>
        <v>0</v>
      </c>
      <c r="O22" s="19">
        <f>50000-50000</f>
        <v>0</v>
      </c>
      <c r="P22" s="20">
        <f t="shared" si="2"/>
        <v>0</v>
      </c>
      <c r="Q22" s="23">
        <v>0</v>
      </c>
      <c r="R22" s="199">
        <v>0</v>
      </c>
      <c r="S22" s="253">
        <f t="shared" si="3"/>
        <v>0</v>
      </c>
      <c r="T22" s="254">
        <v>0</v>
      </c>
      <c r="U22" s="255">
        <v>0</v>
      </c>
      <c r="V22" s="24">
        <f t="shared" si="4"/>
        <v>0</v>
      </c>
      <c r="W22" s="23">
        <v>0</v>
      </c>
      <c r="X22" s="23">
        <v>0</v>
      </c>
      <c r="Y22" s="22" t="e">
        <f t="shared" si="5"/>
        <v>#DIV/0!</v>
      </c>
      <c r="Z22" s="23" t="e">
        <f t="shared" si="5"/>
        <v>#DIV/0!</v>
      </c>
      <c r="AA22" s="23" t="e">
        <f t="shared" si="5"/>
        <v>#DIV/0!</v>
      </c>
      <c r="AB22" s="22">
        <v>0</v>
      </c>
      <c r="AC22" s="23">
        <v>0</v>
      </c>
      <c r="AD22" s="23">
        <v>0</v>
      </c>
      <c r="AE22" s="248" t="s">
        <v>283</v>
      </c>
    </row>
    <row r="23" spans="2:31" ht="217.5" customHeight="1" x14ac:dyDescent="0.25">
      <c r="B23" s="51">
        <v>15</v>
      </c>
      <c r="C23" s="287"/>
      <c r="D23" s="28">
        <v>21018</v>
      </c>
      <c r="E23" s="29" t="s">
        <v>160</v>
      </c>
      <c r="F23" s="332" t="s">
        <v>80</v>
      </c>
      <c r="G23" s="334" t="s">
        <v>199</v>
      </c>
      <c r="H23" s="325" t="s">
        <v>81</v>
      </c>
      <c r="I23" s="34" t="s">
        <v>354</v>
      </c>
      <c r="J23" s="22">
        <f t="shared" si="0"/>
        <v>250000</v>
      </c>
      <c r="K23" s="68">
        <v>200000</v>
      </c>
      <c r="L23" s="19">
        <v>50000</v>
      </c>
      <c r="M23" s="20">
        <f t="shared" si="1"/>
        <v>0</v>
      </c>
      <c r="N23" s="19">
        <f>200000-200000</f>
        <v>0</v>
      </c>
      <c r="O23" s="19">
        <f>50000-50000</f>
        <v>0</v>
      </c>
      <c r="P23" s="20">
        <f t="shared" si="2"/>
        <v>0</v>
      </c>
      <c r="Q23" s="23">
        <v>0</v>
      </c>
      <c r="R23" s="200">
        <v>0</v>
      </c>
      <c r="S23" s="253">
        <f t="shared" si="3"/>
        <v>0</v>
      </c>
      <c r="T23" s="217">
        <v>0</v>
      </c>
      <c r="U23" s="218">
        <v>0</v>
      </c>
      <c r="V23" s="24">
        <f t="shared" si="4"/>
        <v>0</v>
      </c>
      <c r="W23" s="17">
        <v>0</v>
      </c>
      <c r="X23" s="17">
        <v>0</v>
      </c>
      <c r="Y23" s="22" t="e">
        <f t="shared" si="5"/>
        <v>#DIV/0!</v>
      </c>
      <c r="Z23" s="17" t="e">
        <f t="shared" si="5"/>
        <v>#DIV/0!</v>
      </c>
      <c r="AA23" s="17" t="e">
        <f t="shared" si="5"/>
        <v>#DIV/0!</v>
      </c>
      <c r="AB23" s="22">
        <v>0</v>
      </c>
      <c r="AC23" s="23">
        <v>0</v>
      </c>
      <c r="AD23" s="23">
        <v>0</v>
      </c>
      <c r="AE23" s="248" t="s">
        <v>283</v>
      </c>
    </row>
    <row r="24" spans="2:31" ht="230.25" customHeight="1" x14ac:dyDescent="0.25">
      <c r="B24" s="78">
        <v>16</v>
      </c>
      <c r="C24" s="287"/>
      <c r="D24" s="28">
        <v>11017</v>
      </c>
      <c r="E24" s="29" t="s">
        <v>161</v>
      </c>
      <c r="F24" s="333"/>
      <c r="G24" s="289"/>
      <c r="H24" s="326"/>
      <c r="I24" s="34" t="s">
        <v>302</v>
      </c>
      <c r="J24" s="16">
        <f t="shared" si="0"/>
        <v>300000</v>
      </c>
      <c r="K24" s="68">
        <v>0</v>
      </c>
      <c r="L24" s="19">
        <v>300000</v>
      </c>
      <c r="M24" s="20">
        <f>N24+O24</f>
        <v>1300584.1000000001</v>
      </c>
      <c r="N24" s="19">
        <f>235456-235456</f>
        <v>0</v>
      </c>
      <c r="O24" s="19">
        <f>300000+1000584.1</f>
        <v>1300584.1000000001</v>
      </c>
      <c r="P24" s="22">
        <f t="shared" si="2"/>
        <v>1300584.1000000001</v>
      </c>
      <c r="Q24" s="23">
        <v>0</v>
      </c>
      <c r="R24" s="200">
        <f>300000+1000584.1</f>
        <v>1300584.1000000001</v>
      </c>
      <c r="S24" s="216">
        <f t="shared" si="3"/>
        <v>1300584.1000000001</v>
      </c>
      <c r="T24" s="217">
        <v>0</v>
      </c>
      <c r="U24" s="218">
        <v>1300584.1000000001</v>
      </c>
      <c r="V24" s="21">
        <f t="shared" si="4"/>
        <v>1300584.1000000001</v>
      </c>
      <c r="W24" s="17">
        <v>0</v>
      </c>
      <c r="X24" s="17">
        <v>1300584.1000000001</v>
      </c>
      <c r="Y24" s="16">
        <f t="shared" si="5"/>
        <v>100</v>
      </c>
      <c r="Z24" s="17" t="e">
        <f t="shared" si="5"/>
        <v>#DIV/0!</v>
      </c>
      <c r="AA24" s="17">
        <f t="shared" si="5"/>
        <v>100</v>
      </c>
      <c r="AB24" s="16">
        <f t="shared" si="6"/>
        <v>100</v>
      </c>
      <c r="AC24" s="17">
        <v>0</v>
      </c>
      <c r="AD24" s="17">
        <f t="shared" si="6"/>
        <v>100</v>
      </c>
      <c r="AE24" s="248" t="s">
        <v>116</v>
      </c>
    </row>
    <row r="25" spans="2:31" ht="221.25" customHeight="1" x14ac:dyDescent="0.25">
      <c r="B25" s="31">
        <v>17</v>
      </c>
      <c r="C25" s="287"/>
      <c r="D25" s="44">
        <v>11020</v>
      </c>
      <c r="E25" s="45" t="s">
        <v>162</v>
      </c>
      <c r="F25" s="335" t="s">
        <v>80</v>
      </c>
      <c r="G25" s="47" t="s">
        <v>200</v>
      </c>
      <c r="H25" s="336" t="s">
        <v>81</v>
      </c>
      <c r="I25" s="45" t="s">
        <v>303</v>
      </c>
      <c r="J25" s="22">
        <f t="shared" si="0"/>
        <v>200000</v>
      </c>
      <c r="K25" s="19">
        <v>0</v>
      </c>
      <c r="L25" s="19">
        <v>200000</v>
      </c>
      <c r="M25" s="20">
        <f>N25+O25</f>
        <v>0</v>
      </c>
      <c r="N25" s="19">
        <v>0</v>
      </c>
      <c r="O25" s="19">
        <f>200000-195000-5000</f>
        <v>0</v>
      </c>
      <c r="P25" s="20">
        <f t="shared" si="2"/>
        <v>0</v>
      </c>
      <c r="Q25" s="19">
        <v>0</v>
      </c>
      <c r="R25" s="19">
        <f>200000-195000-5000</f>
        <v>0</v>
      </c>
      <c r="S25" s="253">
        <f t="shared" si="3"/>
        <v>0</v>
      </c>
      <c r="T25" s="254">
        <v>0</v>
      </c>
      <c r="U25" s="255">
        <v>0</v>
      </c>
      <c r="V25" s="24">
        <f t="shared" si="4"/>
        <v>0</v>
      </c>
      <c r="W25" s="23">
        <v>0</v>
      </c>
      <c r="X25" s="23">
        <v>0</v>
      </c>
      <c r="Y25" s="22" t="e">
        <f t="shared" si="5"/>
        <v>#DIV/0!</v>
      </c>
      <c r="Z25" s="23" t="e">
        <f t="shared" si="5"/>
        <v>#DIV/0!</v>
      </c>
      <c r="AA25" s="23" t="e">
        <f t="shared" si="5"/>
        <v>#DIV/0!</v>
      </c>
      <c r="AB25" s="22">
        <v>0</v>
      </c>
      <c r="AC25" s="23">
        <v>0</v>
      </c>
      <c r="AD25" s="23">
        <v>0</v>
      </c>
      <c r="AE25" s="248" t="s">
        <v>284</v>
      </c>
    </row>
    <row r="26" spans="2:31" ht="241.5" customHeight="1" x14ac:dyDescent="0.25">
      <c r="B26" s="35">
        <v>18</v>
      </c>
      <c r="C26" s="287"/>
      <c r="D26" s="148">
        <v>21021</v>
      </c>
      <c r="E26" s="45" t="s">
        <v>163</v>
      </c>
      <c r="F26" s="335"/>
      <c r="G26" s="47" t="s">
        <v>200</v>
      </c>
      <c r="H26" s="336"/>
      <c r="I26" s="29" t="s">
        <v>270</v>
      </c>
      <c r="J26" s="59">
        <f t="shared" si="0"/>
        <v>200000</v>
      </c>
      <c r="K26" s="61">
        <v>200000</v>
      </c>
      <c r="L26" s="19">
        <v>0</v>
      </c>
      <c r="M26" s="20">
        <f>N26+O26</f>
        <v>0</v>
      </c>
      <c r="N26" s="19">
        <f>200000-200000</f>
        <v>0</v>
      </c>
      <c r="O26" s="19">
        <v>0</v>
      </c>
      <c r="P26" s="20">
        <f t="shared" si="2"/>
        <v>0</v>
      </c>
      <c r="Q26" s="23">
        <v>0</v>
      </c>
      <c r="R26" s="23">
        <v>0</v>
      </c>
      <c r="S26" s="262">
        <f t="shared" si="3"/>
        <v>0</v>
      </c>
      <c r="T26" s="228">
        <v>0</v>
      </c>
      <c r="U26" s="229">
        <v>0</v>
      </c>
      <c r="V26" s="63">
        <f t="shared" si="4"/>
        <v>0</v>
      </c>
      <c r="W26" s="60">
        <v>0</v>
      </c>
      <c r="X26" s="60">
        <v>0</v>
      </c>
      <c r="Y26" s="59" t="e">
        <f t="shared" si="5"/>
        <v>#DIV/0!</v>
      </c>
      <c r="Z26" s="60" t="e">
        <f t="shared" si="5"/>
        <v>#DIV/0!</v>
      </c>
      <c r="AA26" s="60" t="e">
        <f t="shared" si="5"/>
        <v>#DIV/0!</v>
      </c>
      <c r="AB26" s="59">
        <v>0</v>
      </c>
      <c r="AC26" s="17">
        <v>0</v>
      </c>
      <c r="AD26" s="17">
        <v>0</v>
      </c>
      <c r="AE26" s="248" t="s">
        <v>283</v>
      </c>
    </row>
    <row r="27" spans="2:31" ht="294" customHeight="1" thickBot="1" x14ac:dyDescent="0.3">
      <c r="B27" s="26">
        <v>19</v>
      </c>
      <c r="C27" s="287"/>
      <c r="D27" s="32">
        <v>21014</v>
      </c>
      <c r="E27" s="40" t="s">
        <v>211</v>
      </c>
      <c r="F27" s="125" t="s">
        <v>212</v>
      </c>
      <c r="G27" s="197" t="s">
        <v>240</v>
      </c>
      <c r="H27" s="30" t="s">
        <v>213</v>
      </c>
      <c r="I27" s="29" t="s">
        <v>339</v>
      </c>
      <c r="J27" s="16">
        <f t="shared" si="0"/>
        <v>0</v>
      </c>
      <c r="K27" s="68">
        <v>0</v>
      </c>
      <c r="L27" s="68">
        <v>0</v>
      </c>
      <c r="M27" s="18">
        <f>N27+O27</f>
        <v>207955</v>
      </c>
      <c r="N27" s="68">
        <f>100000+55955</f>
        <v>155955</v>
      </c>
      <c r="O27" s="68">
        <f>22000+30000</f>
        <v>52000</v>
      </c>
      <c r="P27" s="18">
        <f t="shared" ref="P27" si="7">Q27+R27</f>
        <v>152000</v>
      </c>
      <c r="Q27" s="68">
        <v>100000</v>
      </c>
      <c r="R27" s="69">
        <f>22000+30000</f>
        <v>52000</v>
      </c>
      <c r="S27" s="225">
        <f t="shared" si="3"/>
        <v>292779.5</v>
      </c>
      <c r="T27" s="226">
        <v>241654.6</v>
      </c>
      <c r="U27" s="227">
        <v>51124.9</v>
      </c>
      <c r="V27" s="116">
        <f t="shared" si="4"/>
        <v>292779.5</v>
      </c>
      <c r="W27" s="68">
        <v>241654.6</v>
      </c>
      <c r="X27" s="68">
        <v>51124.9</v>
      </c>
      <c r="Y27" s="16">
        <f t="shared" si="5"/>
        <v>192.61809210526314</v>
      </c>
      <c r="Z27" s="17">
        <f t="shared" si="5"/>
        <v>241.65459999999999</v>
      </c>
      <c r="AA27" s="17">
        <f t="shared" si="5"/>
        <v>98.317115384615377</v>
      </c>
      <c r="AB27" s="16">
        <f t="shared" si="6"/>
        <v>140.78983433915994</v>
      </c>
      <c r="AC27" s="17">
        <f t="shared" si="6"/>
        <v>154.95149241768459</v>
      </c>
      <c r="AD27" s="17">
        <f t="shared" si="6"/>
        <v>98.317115384615377</v>
      </c>
      <c r="AE27" s="248" t="s">
        <v>355</v>
      </c>
    </row>
    <row r="28" spans="2:31" ht="165" customHeight="1" x14ac:dyDescent="0.3">
      <c r="B28" s="278" t="s">
        <v>110</v>
      </c>
      <c r="C28" s="279"/>
      <c r="D28" s="279"/>
      <c r="E28" s="279"/>
      <c r="F28" s="279"/>
      <c r="G28" s="279"/>
      <c r="H28" s="279"/>
      <c r="I28" s="279"/>
      <c r="J28" s="80">
        <f>SUM(J9:J27)</f>
        <v>41600148.899999999</v>
      </c>
      <c r="K28" s="81">
        <f t="shared" ref="K28:X28" si="8">SUM(K9:K27)</f>
        <v>29232027.799999997</v>
      </c>
      <c r="L28" s="81">
        <f t="shared" si="8"/>
        <v>12368121.1</v>
      </c>
      <c r="M28" s="80">
        <f t="shared" si="8"/>
        <v>37120101</v>
      </c>
      <c r="N28" s="81">
        <f t="shared" si="8"/>
        <v>24754783.799999997</v>
      </c>
      <c r="O28" s="81">
        <f t="shared" si="8"/>
        <v>12365317.200000001</v>
      </c>
      <c r="P28" s="80">
        <f t="shared" si="8"/>
        <v>33192104.000000004</v>
      </c>
      <c r="Q28" s="81">
        <f t="shared" si="8"/>
        <v>21567393</v>
      </c>
      <c r="R28" s="90">
        <f t="shared" si="8"/>
        <v>11624711</v>
      </c>
      <c r="S28" s="91">
        <f t="shared" si="8"/>
        <v>36375568.700000003</v>
      </c>
      <c r="T28" s="92">
        <f t="shared" si="8"/>
        <v>24138297.600000001</v>
      </c>
      <c r="U28" s="93">
        <f t="shared" si="8"/>
        <v>12237271.1</v>
      </c>
      <c r="V28" s="94">
        <f t="shared" si="8"/>
        <v>36375568.700000003</v>
      </c>
      <c r="W28" s="81">
        <f t="shared" si="8"/>
        <v>24138297.600000001</v>
      </c>
      <c r="X28" s="81">
        <f t="shared" si="8"/>
        <v>12237271.1</v>
      </c>
      <c r="Y28" s="80">
        <f t="shared" si="5"/>
        <v>109.59103014379563</v>
      </c>
      <c r="Z28" s="81">
        <f t="shared" si="5"/>
        <v>111.92033084388086</v>
      </c>
      <c r="AA28" s="81">
        <f t="shared" si="5"/>
        <v>105.26946519358631</v>
      </c>
      <c r="AB28" s="80">
        <f t="shared" si="6"/>
        <v>97.994261114752902</v>
      </c>
      <c r="AC28" s="81">
        <f t="shared" si="6"/>
        <v>97.509628017837926</v>
      </c>
      <c r="AD28" s="81">
        <f t="shared" si="6"/>
        <v>98.964473794493514</v>
      </c>
      <c r="AE28" s="204"/>
    </row>
    <row r="29" spans="2:31" ht="165" customHeight="1" x14ac:dyDescent="0.3">
      <c r="B29" s="280" t="s">
        <v>15</v>
      </c>
      <c r="C29" s="281"/>
      <c r="D29" s="281"/>
      <c r="E29" s="281"/>
      <c r="F29" s="281"/>
      <c r="G29" s="281"/>
      <c r="H29" s="281"/>
      <c r="I29" s="281"/>
      <c r="J29" s="82">
        <f>J9+J11+J15+J17+J19+J21+J24+J25</f>
        <v>3524619.9</v>
      </c>
      <c r="K29" s="83">
        <f t="shared" ref="K29:X29" si="9">K9+K11+K15+K17+K19+K21+K24+K25</f>
        <v>620219</v>
      </c>
      <c r="L29" s="83">
        <f t="shared" si="9"/>
        <v>2904400.9</v>
      </c>
      <c r="M29" s="82">
        <f t="shared" si="9"/>
        <v>7159851.9000000004</v>
      </c>
      <c r="N29" s="83">
        <f t="shared" si="9"/>
        <v>574919</v>
      </c>
      <c r="O29" s="83">
        <f t="shared" si="9"/>
        <v>6584932.9000000004</v>
      </c>
      <c r="P29" s="82">
        <f t="shared" si="9"/>
        <v>6418211.7999999989</v>
      </c>
      <c r="Q29" s="83">
        <f t="shared" si="9"/>
        <v>559344</v>
      </c>
      <c r="R29" s="85">
        <f t="shared" si="9"/>
        <v>5858867.8000000007</v>
      </c>
      <c r="S29" s="95">
        <f t="shared" si="9"/>
        <v>7094209.9000000004</v>
      </c>
      <c r="T29" s="96">
        <f t="shared" si="9"/>
        <v>527449</v>
      </c>
      <c r="U29" s="97">
        <f t="shared" si="9"/>
        <v>6566760.9000000004</v>
      </c>
      <c r="V29" s="84">
        <f t="shared" si="9"/>
        <v>7094209.9000000004</v>
      </c>
      <c r="W29" s="83">
        <f t="shared" si="9"/>
        <v>527449</v>
      </c>
      <c r="X29" s="83">
        <f t="shared" si="9"/>
        <v>6566760.9000000004</v>
      </c>
      <c r="Y29" s="82">
        <f t="shared" si="5"/>
        <v>110.53249909889233</v>
      </c>
      <c r="Z29" s="83">
        <f t="shared" si="5"/>
        <v>94.29778454761292</v>
      </c>
      <c r="AA29" s="83">
        <f t="shared" si="5"/>
        <v>112.08242145351018</v>
      </c>
      <c r="AB29" s="82">
        <f t="shared" si="6"/>
        <v>99.083193326945775</v>
      </c>
      <c r="AC29" s="83">
        <f t="shared" si="6"/>
        <v>91.74318469210445</v>
      </c>
      <c r="AD29" s="83">
        <f t="shared" si="6"/>
        <v>99.724036671656904</v>
      </c>
      <c r="AE29" s="208"/>
    </row>
    <row r="30" spans="2:31" ht="178.5" customHeight="1" thickBot="1" x14ac:dyDescent="0.35">
      <c r="B30" s="282" t="s">
        <v>16</v>
      </c>
      <c r="C30" s="283"/>
      <c r="D30" s="283"/>
      <c r="E30" s="283"/>
      <c r="F30" s="283"/>
      <c r="G30" s="283"/>
      <c r="H30" s="283"/>
      <c r="I30" s="283"/>
      <c r="J30" s="98">
        <f>J28-J29</f>
        <v>38075529</v>
      </c>
      <c r="K30" s="99">
        <f t="shared" ref="K30:X30" si="10">K28-K29</f>
        <v>28611808.799999997</v>
      </c>
      <c r="L30" s="99">
        <f t="shared" si="10"/>
        <v>9463720.1999999993</v>
      </c>
      <c r="M30" s="98">
        <f t="shared" si="10"/>
        <v>29960249.100000001</v>
      </c>
      <c r="N30" s="99">
        <f t="shared" si="10"/>
        <v>24179864.799999997</v>
      </c>
      <c r="O30" s="99">
        <f t="shared" si="10"/>
        <v>5780384.3000000007</v>
      </c>
      <c r="P30" s="98">
        <f t="shared" si="10"/>
        <v>26773892.200000003</v>
      </c>
      <c r="Q30" s="99">
        <f t="shared" si="10"/>
        <v>21008049</v>
      </c>
      <c r="R30" s="100">
        <f t="shared" si="10"/>
        <v>5765843.1999999993</v>
      </c>
      <c r="S30" s="101">
        <f t="shared" si="10"/>
        <v>29281358.800000004</v>
      </c>
      <c r="T30" s="102">
        <f t="shared" si="10"/>
        <v>23610848.600000001</v>
      </c>
      <c r="U30" s="103">
        <f t="shared" si="10"/>
        <v>5670510.1999999993</v>
      </c>
      <c r="V30" s="104">
        <f t="shared" si="10"/>
        <v>29281358.800000004</v>
      </c>
      <c r="W30" s="99">
        <f t="shared" si="10"/>
        <v>23610848.600000001</v>
      </c>
      <c r="X30" s="99">
        <f t="shared" si="10"/>
        <v>5670510.1999999993</v>
      </c>
      <c r="Y30" s="98">
        <f t="shared" si="5"/>
        <v>109.36534210741313</v>
      </c>
      <c r="Z30" s="99">
        <f t="shared" si="5"/>
        <v>112.38953507772189</v>
      </c>
      <c r="AA30" s="99">
        <f t="shared" si="5"/>
        <v>98.346590486539768</v>
      </c>
      <c r="AB30" s="98">
        <f t="shared" si="6"/>
        <v>97.734029854911995</v>
      </c>
      <c r="AC30" s="99">
        <f t="shared" si="6"/>
        <v>97.646735394484111</v>
      </c>
      <c r="AD30" s="99">
        <f t="shared" si="6"/>
        <v>98.099190394659374</v>
      </c>
      <c r="AE30" s="209"/>
    </row>
    <row r="31" spans="2:31" ht="20.25" x14ac:dyDescent="0.35">
      <c r="B31" s="3"/>
      <c r="C31" s="3"/>
      <c r="D31" s="3"/>
      <c r="E31" s="3"/>
      <c r="F31" s="3"/>
      <c r="G31" s="3"/>
      <c r="H31" s="3"/>
      <c r="I31" s="3"/>
      <c r="J31" s="7"/>
      <c r="K31" s="1"/>
      <c r="L31" s="1"/>
      <c r="M31" s="7"/>
      <c r="N31" s="1"/>
      <c r="O31" s="1"/>
      <c r="P31" s="7"/>
      <c r="Q31" s="1"/>
      <c r="R31" s="1"/>
      <c r="S31" s="1"/>
      <c r="T31" s="1"/>
      <c r="U31" s="1"/>
      <c r="V31" s="7"/>
      <c r="W31" s="1"/>
      <c r="X31" s="1"/>
      <c r="Y31" s="7"/>
      <c r="Z31" s="1"/>
      <c r="AA31" s="1"/>
      <c r="AB31" s="7"/>
      <c r="AC31" s="1"/>
      <c r="AD31" s="1"/>
      <c r="AE31" s="3"/>
    </row>
    <row r="32" spans="2:31" ht="20.25" x14ac:dyDescent="0.35">
      <c r="B32" s="299"/>
      <c r="C32" s="299"/>
      <c r="D32" s="299"/>
      <c r="E32" s="299"/>
      <c r="F32" s="299"/>
      <c r="G32" s="299"/>
      <c r="H32" s="299"/>
      <c r="I32" s="299"/>
      <c r="J32" s="7"/>
      <c r="K32" s="1"/>
      <c r="L32" s="1"/>
      <c r="M32" s="7"/>
      <c r="N32" s="1"/>
      <c r="O32" s="1"/>
      <c r="P32" s="7"/>
      <c r="Q32" s="1"/>
      <c r="R32" s="1"/>
      <c r="S32" s="1"/>
      <c r="T32" s="1"/>
      <c r="U32" s="1"/>
      <c r="V32" s="7"/>
      <c r="W32" s="1"/>
      <c r="X32" s="1"/>
      <c r="Y32" s="7"/>
      <c r="Z32" s="1"/>
      <c r="AA32" s="1"/>
      <c r="AB32" s="7"/>
      <c r="AC32" s="1"/>
      <c r="AD32" s="1"/>
      <c r="AE32" s="3"/>
    </row>
  </sheetData>
  <mergeCells count="46">
    <mergeCell ref="B32:I32"/>
    <mergeCell ref="F25:F26"/>
    <mergeCell ref="H25:H26"/>
    <mergeCell ref="B28:I28"/>
    <mergeCell ref="B29:I29"/>
    <mergeCell ref="B30:I30"/>
    <mergeCell ref="F21:F22"/>
    <mergeCell ref="G21:G22"/>
    <mergeCell ref="H21:H22"/>
    <mergeCell ref="F23:F24"/>
    <mergeCell ref="G23:G24"/>
    <mergeCell ref="H23:H24"/>
    <mergeCell ref="F15:F16"/>
    <mergeCell ref="G15:G16"/>
    <mergeCell ref="F17:F18"/>
    <mergeCell ref="G17:G18"/>
    <mergeCell ref="H17:H18"/>
    <mergeCell ref="F19:F20"/>
    <mergeCell ref="G19:G20"/>
    <mergeCell ref="B8:AE8"/>
    <mergeCell ref="C9:C27"/>
    <mergeCell ref="F9:F10"/>
    <mergeCell ref="G9:G10"/>
    <mergeCell ref="H9:H10"/>
    <mergeCell ref="F11:F12"/>
    <mergeCell ref="G11:G12"/>
    <mergeCell ref="V6:X6"/>
    <mergeCell ref="Y6:AA6"/>
    <mergeCell ref="AB6:AD6"/>
    <mergeCell ref="AE6:AE7"/>
    <mergeCell ref="H6:H7"/>
    <mergeCell ref="I6:I7"/>
    <mergeCell ref="J6:L6"/>
    <mergeCell ref="M6:O6"/>
    <mergeCell ref="P6:R6"/>
    <mergeCell ref="S6:U6"/>
    <mergeCell ref="B1:AE1"/>
    <mergeCell ref="B2:AE3"/>
    <mergeCell ref="B4:AE4"/>
    <mergeCell ref="B5:AE5"/>
    <mergeCell ref="B6:B7"/>
    <mergeCell ref="C6:C7"/>
    <mergeCell ref="D6:D7"/>
    <mergeCell ref="E6:E7"/>
    <mergeCell ref="F6:F7"/>
    <mergeCell ref="G6:G7"/>
  </mergeCells>
  <pageMargins left="0.16" right="0.16" top="0.23" bottom="0.16" header="0.23" footer="0.16"/>
  <pageSetup scale="31" orientation="landscape" r:id="rId1"/>
  <rowBreaks count="3" manualBreakCount="3">
    <brk id="10" min="1" max="31" man="1"/>
    <brk id="16" min="1" max="31" man="1"/>
    <brk id="22" min="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14AE4-2EC4-4239-AADB-06B1ACF058E8}">
  <dimension ref="A1:AE44"/>
  <sheetViews>
    <sheetView topLeftCell="A37" zoomScale="60" zoomScaleNormal="60" workbookViewId="0">
      <selection activeCell="B16" sqref="B16:AE16"/>
    </sheetView>
  </sheetViews>
  <sheetFormatPr defaultRowHeight="18.75" x14ac:dyDescent="0.3"/>
  <cols>
    <col min="1" max="1" width="0.28515625" customWidth="1"/>
    <col min="2" max="2" width="6.28515625" style="4" customWidth="1"/>
    <col min="3" max="3" width="9" style="4" customWidth="1"/>
    <col min="4" max="4" width="11.7109375" style="4" customWidth="1"/>
    <col min="5" max="5" width="32.140625" style="4" customWidth="1"/>
    <col min="6" max="6" width="20.85546875" style="4" customWidth="1"/>
    <col min="7" max="7" width="26.85546875" style="4" customWidth="1"/>
    <col min="8" max="8" width="58" style="4" customWidth="1"/>
    <col min="9" max="9" width="120.7109375" style="4" customWidth="1"/>
    <col min="10" max="10" width="5" style="8" customWidth="1"/>
    <col min="11" max="12" width="4.7109375" style="2" customWidth="1"/>
    <col min="13" max="13" width="4.7109375" style="8" customWidth="1"/>
    <col min="14" max="15" width="4.7109375" style="2" customWidth="1"/>
    <col min="16" max="16" width="4.7109375" style="8" hidden="1" customWidth="1"/>
    <col min="17" max="18" width="4.7109375" style="2" hidden="1" customWidth="1"/>
    <col min="19" max="21" width="4.7109375" style="2" customWidth="1"/>
    <col min="22" max="22" width="4.7109375" style="8" hidden="1" customWidth="1"/>
    <col min="23" max="24" width="4.7109375" style="2" hidden="1" customWidth="1"/>
    <col min="25" max="25" width="4.7109375" style="8" hidden="1" customWidth="1"/>
    <col min="26" max="27" width="4.7109375" style="2" hidden="1" customWidth="1"/>
    <col min="28" max="28" width="4.5703125" style="8" customWidth="1"/>
    <col min="29" max="30" width="4.5703125" style="2" customWidth="1"/>
    <col min="31" max="31" width="82.140625" style="4" customWidth="1"/>
    <col min="32" max="53" width="5.7109375" customWidth="1"/>
  </cols>
  <sheetData>
    <row r="1" spans="2:31" ht="51" x14ac:dyDescent="0.25">
      <c r="B1" s="367" t="s">
        <v>0</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row>
    <row r="2" spans="2:31" ht="24.75" customHeight="1" x14ac:dyDescent="0.25">
      <c r="B2" s="368" t="s">
        <v>1</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row>
    <row r="3" spans="2:31" ht="24" customHeight="1" x14ac:dyDescent="0.25">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row>
    <row r="4" spans="2:31" ht="29.25" customHeight="1" x14ac:dyDescent="0.25">
      <c r="B4" s="368" t="s">
        <v>311</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row>
    <row r="5" spans="2:31" ht="17.25" thickBot="1" x14ac:dyDescent="0.35">
      <c r="B5" s="369" t="s">
        <v>231</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row>
    <row r="6" spans="2:31" ht="224.25" customHeight="1" x14ac:dyDescent="0.25">
      <c r="B6" s="370" t="s">
        <v>2</v>
      </c>
      <c r="C6" s="372" t="s">
        <v>3</v>
      </c>
      <c r="D6" s="372" t="s">
        <v>4</v>
      </c>
      <c r="E6" s="360" t="s">
        <v>5</v>
      </c>
      <c r="F6" s="360" t="s">
        <v>6</v>
      </c>
      <c r="G6" s="360" t="s">
        <v>7</v>
      </c>
      <c r="H6" s="360" t="s">
        <v>8</v>
      </c>
      <c r="I6" s="362" t="s">
        <v>9</v>
      </c>
      <c r="J6" s="360" t="s">
        <v>128</v>
      </c>
      <c r="K6" s="360"/>
      <c r="L6" s="360"/>
      <c r="M6" s="360" t="s">
        <v>174</v>
      </c>
      <c r="N6" s="360"/>
      <c r="O6" s="360"/>
      <c r="P6" s="360" t="s">
        <v>238</v>
      </c>
      <c r="Q6" s="360"/>
      <c r="R6" s="360"/>
      <c r="S6" s="364" t="s">
        <v>129</v>
      </c>
      <c r="T6" s="360"/>
      <c r="U6" s="365"/>
      <c r="V6" s="374" t="s">
        <v>130</v>
      </c>
      <c r="W6" s="360"/>
      <c r="X6" s="360"/>
      <c r="Y6" s="360" t="s">
        <v>239</v>
      </c>
      <c r="Z6" s="360"/>
      <c r="AA6" s="360"/>
      <c r="AB6" s="360" t="s">
        <v>131</v>
      </c>
      <c r="AC6" s="360"/>
      <c r="AD6" s="360"/>
      <c r="AE6" s="365" t="s">
        <v>10</v>
      </c>
    </row>
    <row r="7" spans="2:31" ht="162" customHeight="1" thickBot="1" x14ac:dyDescent="0.3">
      <c r="B7" s="371"/>
      <c r="C7" s="373"/>
      <c r="D7" s="373"/>
      <c r="E7" s="361"/>
      <c r="F7" s="361"/>
      <c r="G7" s="361"/>
      <c r="H7" s="361"/>
      <c r="I7" s="363"/>
      <c r="J7" s="9" t="s">
        <v>11</v>
      </c>
      <c r="K7" s="9" t="s">
        <v>12</v>
      </c>
      <c r="L7" s="9" t="s">
        <v>13</v>
      </c>
      <c r="M7" s="9" t="s">
        <v>11</v>
      </c>
      <c r="N7" s="9" t="s">
        <v>12</v>
      </c>
      <c r="O7" s="9" t="s">
        <v>13</v>
      </c>
      <c r="P7" s="9" t="s">
        <v>11</v>
      </c>
      <c r="Q7" s="9" t="s">
        <v>12</v>
      </c>
      <c r="R7" s="10" t="s">
        <v>13</v>
      </c>
      <c r="S7" s="11" t="s">
        <v>11</v>
      </c>
      <c r="T7" s="9" t="s">
        <v>12</v>
      </c>
      <c r="U7" s="13" t="s">
        <v>13</v>
      </c>
      <c r="V7" s="12" t="s">
        <v>11</v>
      </c>
      <c r="W7" s="9" t="s">
        <v>12</v>
      </c>
      <c r="X7" s="9" t="s">
        <v>13</v>
      </c>
      <c r="Y7" s="9" t="s">
        <v>11</v>
      </c>
      <c r="Z7" s="9" t="s">
        <v>12</v>
      </c>
      <c r="AA7" s="9" t="s">
        <v>13</v>
      </c>
      <c r="AB7" s="9" t="s">
        <v>11</v>
      </c>
      <c r="AC7" s="9" t="s">
        <v>12</v>
      </c>
      <c r="AD7" s="9" t="s">
        <v>13</v>
      </c>
      <c r="AE7" s="375"/>
    </row>
    <row r="8" spans="2:31" ht="45.75" customHeight="1" thickBot="1" x14ac:dyDescent="0.3">
      <c r="B8" s="357" t="s">
        <v>132</v>
      </c>
      <c r="C8" s="358"/>
      <c r="D8" s="358"/>
      <c r="E8" s="358"/>
      <c r="F8" s="358"/>
      <c r="G8" s="358"/>
      <c r="H8" s="358"/>
      <c r="I8" s="358"/>
      <c r="J8" s="358"/>
      <c r="K8" s="358"/>
      <c r="L8" s="358"/>
      <c r="M8" s="358"/>
      <c r="N8" s="358"/>
      <c r="O8" s="358"/>
      <c r="P8" s="358"/>
      <c r="Q8" s="358"/>
      <c r="R8" s="358"/>
      <c r="S8" s="358"/>
      <c r="T8" s="358"/>
      <c r="U8" s="358"/>
      <c r="V8" s="358"/>
      <c r="W8" s="358"/>
      <c r="X8" s="358"/>
      <c r="Y8" s="358"/>
      <c r="Z8" s="358"/>
      <c r="AA8" s="358"/>
      <c r="AB8" s="358"/>
      <c r="AC8" s="358"/>
      <c r="AD8" s="358"/>
      <c r="AE8" s="359"/>
    </row>
    <row r="9" spans="2:31" ht="213.75" customHeight="1" x14ac:dyDescent="0.25">
      <c r="B9" s="38">
        <v>1</v>
      </c>
      <c r="C9" s="287">
        <v>1019</v>
      </c>
      <c r="D9" s="196">
        <v>11003</v>
      </c>
      <c r="E9" s="105" t="s">
        <v>142</v>
      </c>
      <c r="F9" s="292" t="s">
        <v>50</v>
      </c>
      <c r="G9" s="293" t="s">
        <v>121</v>
      </c>
      <c r="H9" s="293" t="s">
        <v>218</v>
      </c>
      <c r="I9" s="366" t="s">
        <v>263</v>
      </c>
      <c r="J9" s="64">
        <f t="shared" ref="J9:J12" si="0">K9+L9</f>
        <v>351436.2</v>
      </c>
      <c r="K9" s="65">
        <v>105430.8</v>
      </c>
      <c r="L9" s="65">
        <v>246005.4</v>
      </c>
      <c r="M9" s="62">
        <f t="shared" ref="M9:M12" si="1">N9+O9</f>
        <v>341987.7</v>
      </c>
      <c r="N9" s="15">
        <v>105430.8</v>
      </c>
      <c r="O9" s="15">
        <f>246005.4-7908.5-1540</f>
        <v>236556.9</v>
      </c>
      <c r="P9" s="64">
        <f t="shared" ref="P9:P12" si="2">Q9+R9</f>
        <v>264615.40000000002</v>
      </c>
      <c r="Q9" s="65">
        <v>79384.800000000003</v>
      </c>
      <c r="R9" s="202">
        <v>185230.6</v>
      </c>
      <c r="S9" s="213">
        <f t="shared" ref="S9:S12" si="3">T9+U9</f>
        <v>302231.90000000002</v>
      </c>
      <c r="T9" s="214">
        <v>91305</v>
      </c>
      <c r="U9" s="215">
        <v>210926.9</v>
      </c>
      <c r="V9" s="106">
        <f t="shared" ref="V9:V12" si="4">W9+X9</f>
        <v>302231.90000000002</v>
      </c>
      <c r="W9" s="65">
        <v>91305</v>
      </c>
      <c r="X9" s="65">
        <v>210926.9</v>
      </c>
      <c r="Y9" s="64">
        <f t="shared" ref="Y9:AA42" si="5">S9/P9*100</f>
        <v>114.21553696421296</v>
      </c>
      <c r="Z9" s="65">
        <f t="shared" si="5"/>
        <v>115.01572089367234</v>
      </c>
      <c r="AA9" s="65">
        <f t="shared" si="5"/>
        <v>113.87259988360454</v>
      </c>
      <c r="AB9" s="64">
        <f t="shared" ref="AB9:AD42" si="6">S9/M9*100</f>
        <v>88.375078986758879</v>
      </c>
      <c r="AC9" s="65">
        <f t="shared" si="6"/>
        <v>86.601827928840521</v>
      </c>
      <c r="AD9" s="65">
        <f t="shared" si="6"/>
        <v>89.165397416012809</v>
      </c>
      <c r="AE9" s="191" t="s">
        <v>318</v>
      </c>
    </row>
    <row r="10" spans="2:31" ht="333" customHeight="1" x14ac:dyDescent="0.25">
      <c r="B10" s="26">
        <v>2</v>
      </c>
      <c r="C10" s="287"/>
      <c r="D10" s="28">
        <v>12004</v>
      </c>
      <c r="E10" s="29" t="s">
        <v>178</v>
      </c>
      <c r="F10" s="292"/>
      <c r="G10" s="293"/>
      <c r="H10" s="293"/>
      <c r="I10" s="366"/>
      <c r="J10" s="16">
        <f t="shared" si="0"/>
        <v>3707487</v>
      </c>
      <c r="K10" s="17">
        <v>2546343.6</v>
      </c>
      <c r="L10" s="17">
        <v>1161143.3999999999</v>
      </c>
      <c r="M10" s="20">
        <f t="shared" si="1"/>
        <v>4589397</v>
      </c>
      <c r="N10" s="19">
        <f>2546343.6+910000+78600+44000</f>
        <v>3578943.6</v>
      </c>
      <c r="O10" s="19">
        <f>1161143.4-171190+20500</f>
        <v>1010453.3999999999</v>
      </c>
      <c r="P10" s="22">
        <f t="shared" si="2"/>
        <v>4482830.4000000004</v>
      </c>
      <c r="Q10" s="17">
        <f>2463510.1+910000</f>
        <v>3373510.1</v>
      </c>
      <c r="R10" s="200">
        <v>1109320.3</v>
      </c>
      <c r="S10" s="216">
        <f t="shared" si="3"/>
        <v>4576913.0999999996</v>
      </c>
      <c r="T10" s="217">
        <v>3575088</v>
      </c>
      <c r="U10" s="218">
        <v>1001825.1</v>
      </c>
      <c r="V10" s="116">
        <f t="shared" si="4"/>
        <v>4576913.0999999996</v>
      </c>
      <c r="W10" s="68">
        <v>3575088</v>
      </c>
      <c r="X10" s="68">
        <v>1001825.1</v>
      </c>
      <c r="Y10" s="16">
        <f t="shared" si="5"/>
        <v>102.09873431749725</v>
      </c>
      <c r="Z10" s="17">
        <f t="shared" si="5"/>
        <v>105.97531633297912</v>
      </c>
      <c r="AA10" s="17">
        <f t="shared" si="5"/>
        <v>90.309814036577166</v>
      </c>
      <c r="AB10" s="16">
        <f t="shared" si="6"/>
        <v>99.727983872391064</v>
      </c>
      <c r="AC10" s="17">
        <f t="shared" si="6"/>
        <v>99.892269886566524</v>
      </c>
      <c r="AD10" s="17">
        <f t="shared" si="6"/>
        <v>99.146096198003804</v>
      </c>
      <c r="AE10" s="191" t="s">
        <v>319</v>
      </c>
    </row>
    <row r="11" spans="2:31" ht="268.5" customHeight="1" x14ac:dyDescent="0.25">
      <c r="B11" s="31">
        <v>3</v>
      </c>
      <c r="C11" s="27"/>
      <c r="D11" s="32">
        <v>11004</v>
      </c>
      <c r="E11" s="33" t="s">
        <v>179</v>
      </c>
      <c r="F11" s="355" t="s">
        <v>111</v>
      </c>
      <c r="G11" s="325" t="s">
        <v>117</v>
      </c>
      <c r="H11" s="325" t="s">
        <v>112</v>
      </c>
      <c r="I11" s="325" t="s">
        <v>267</v>
      </c>
      <c r="J11" s="22">
        <f t="shared" si="0"/>
        <v>254341</v>
      </c>
      <c r="K11" s="23">
        <v>254341</v>
      </c>
      <c r="L11" s="23">
        <v>0</v>
      </c>
      <c r="M11" s="20">
        <f t="shared" si="1"/>
        <v>196341</v>
      </c>
      <c r="N11" s="19">
        <f>254341-58000</f>
        <v>196341</v>
      </c>
      <c r="O11" s="19">
        <v>0</v>
      </c>
      <c r="P11" s="22">
        <f t="shared" si="2"/>
        <v>184852</v>
      </c>
      <c r="Q11" s="23">
        <v>184852</v>
      </c>
      <c r="R11" s="199">
        <v>0</v>
      </c>
      <c r="S11" s="253">
        <f t="shared" si="3"/>
        <v>176358.1</v>
      </c>
      <c r="T11" s="254">
        <v>176358.1</v>
      </c>
      <c r="U11" s="255">
        <v>0</v>
      </c>
      <c r="V11" s="24">
        <f t="shared" si="4"/>
        <v>176358.1</v>
      </c>
      <c r="W11" s="23">
        <v>176358.1</v>
      </c>
      <c r="X11" s="23">
        <v>0</v>
      </c>
      <c r="Y11" s="22">
        <f t="shared" si="5"/>
        <v>95.405026724081978</v>
      </c>
      <c r="Z11" s="23">
        <f t="shared" si="5"/>
        <v>95.405026724081978</v>
      </c>
      <c r="AA11" s="23" t="e">
        <f t="shared" si="5"/>
        <v>#DIV/0!</v>
      </c>
      <c r="AB11" s="22">
        <f t="shared" si="6"/>
        <v>89.822349891260615</v>
      </c>
      <c r="AC11" s="23">
        <f t="shared" si="6"/>
        <v>89.822349891260615</v>
      </c>
      <c r="AD11" s="23">
        <v>0</v>
      </c>
      <c r="AE11" s="191" t="s">
        <v>320</v>
      </c>
    </row>
    <row r="12" spans="2:31" ht="409.5" customHeight="1" thickBot="1" x14ac:dyDescent="0.3">
      <c r="B12" s="35">
        <v>4</v>
      </c>
      <c r="C12" s="27"/>
      <c r="D12" s="36">
        <v>12005</v>
      </c>
      <c r="E12" s="37" t="s">
        <v>180</v>
      </c>
      <c r="F12" s="292"/>
      <c r="G12" s="293"/>
      <c r="H12" s="293"/>
      <c r="I12" s="293"/>
      <c r="J12" s="16">
        <f t="shared" si="0"/>
        <v>173329.5</v>
      </c>
      <c r="K12" s="17">
        <v>173329.5</v>
      </c>
      <c r="L12" s="17">
        <v>0</v>
      </c>
      <c r="M12" s="18">
        <f t="shared" si="1"/>
        <v>59529.5</v>
      </c>
      <c r="N12" s="68">
        <f>173329.5-66000-47800</f>
        <v>59529.5</v>
      </c>
      <c r="O12" s="68">
        <v>0</v>
      </c>
      <c r="P12" s="16">
        <f t="shared" si="2"/>
        <v>135800</v>
      </c>
      <c r="Q12" s="17">
        <v>135800</v>
      </c>
      <c r="R12" s="200">
        <v>0</v>
      </c>
      <c r="S12" s="216">
        <f t="shared" si="3"/>
        <v>57623.6</v>
      </c>
      <c r="T12" s="217">
        <v>57623.6</v>
      </c>
      <c r="U12" s="218">
        <v>0</v>
      </c>
      <c r="V12" s="116">
        <f t="shared" si="4"/>
        <v>57623.6</v>
      </c>
      <c r="W12" s="68">
        <v>57623.6</v>
      </c>
      <c r="X12" s="17">
        <v>0</v>
      </c>
      <c r="Y12" s="16">
        <f t="shared" si="5"/>
        <v>42.432695139911637</v>
      </c>
      <c r="Z12" s="17">
        <f t="shared" si="5"/>
        <v>42.432695139911637</v>
      </c>
      <c r="AA12" s="17" t="e">
        <f t="shared" si="5"/>
        <v>#DIV/0!</v>
      </c>
      <c r="AB12" s="16">
        <f t="shared" si="6"/>
        <v>96.798394073526566</v>
      </c>
      <c r="AC12" s="17">
        <f t="shared" si="6"/>
        <v>96.798394073526566</v>
      </c>
      <c r="AD12" s="17">
        <v>0</v>
      </c>
      <c r="AE12" s="191" t="s">
        <v>331</v>
      </c>
    </row>
    <row r="13" spans="2:31" ht="163.5" customHeight="1" x14ac:dyDescent="0.4">
      <c r="B13" s="278" t="s">
        <v>14</v>
      </c>
      <c r="C13" s="279"/>
      <c r="D13" s="279"/>
      <c r="E13" s="279"/>
      <c r="F13" s="279"/>
      <c r="G13" s="279"/>
      <c r="H13" s="279"/>
      <c r="I13" s="279"/>
      <c r="J13" s="80">
        <f t="shared" ref="J13:X13" si="7">SUM(J9:J12)</f>
        <v>4486593.7</v>
      </c>
      <c r="K13" s="81">
        <f t="shared" si="7"/>
        <v>3079444.9</v>
      </c>
      <c r="L13" s="81">
        <f t="shared" si="7"/>
        <v>1407148.7999999998</v>
      </c>
      <c r="M13" s="80">
        <f t="shared" si="7"/>
        <v>5187255.2</v>
      </c>
      <c r="N13" s="81">
        <f t="shared" si="7"/>
        <v>3940244.9</v>
      </c>
      <c r="O13" s="81">
        <f t="shared" si="7"/>
        <v>1247010.2999999998</v>
      </c>
      <c r="P13" s="80">
        <f t="shared" si="7"/>
        <v>5068097.8000000007</v>
      </c>
      <c r="Q13" s="81">
        <f t="shared" si="7"/>
        <v>3773546.9</v>
      </c>
      <c r="R13" s="90">
        <f t="shared" si="7"/>
        <v>1294550.9000000001</v>
      </c>
      <c r="S13" s="133">
        <f t="shared" si="7"/>
        <v>5113126.6999999993</v>
      </c>
      <c r="T13" s="134">
        <f t="shared" si="7"/>
        <v>3900374.7</v>
      </c>
      <c r="U13" s="135">
        <f t="shared" si="7"/>
        <v>1212752</v>
      </c>
      <c r="V13" s="94">
        <f t="shared" si="7"/>
        <v>5113126.6999999993</v>
      </c>
      <c r="W13" s="81">
        <f t="shared" si="7"/>
        <v>3900374.7</v>
      </c>
      <c r="X13" s="81">
        <f t="shared" si="7"/>
        <v>1212752</v>
      </c>
      <c r="Y13" s="80">
        <f t="shared" si="5"/>
        <v>100.88847732969948</v>
      </c>
      <c r="Z13" s="81">
        <f t="shared" si="5"/>
        <v>103.3609705500149</v>
      </c>
      <c r="AA13" s="81">
        <f t="shared" si="5"/>
        <v>93.681291326590539</v>
      </c>
      <c r="AB13" s="80">
        <f t="shared" si="6"/>
        <v>98.570949430056942</v>
      </c>
      <c r="AC13" s="81">
        <f t="shared" si="6"/>
        <v>98.988128885085302</v>
      </c>
      <c r="AD13" s="81">
        <f t="shared" si="6"/>
        <v>97.252765273871447</v>
      </c>
      <c r="AE13" s="231"/>
    </row>
    <row r="14" spans="2:31" ht="156.75" customHeight="1" x14ac:dyDescent="0.4">
      <c r="B14" s="280" t="s">
        <v>15</v>
      </c>
      <c r="C14" s="281"/>
      <c r="D14" s="281"/>
      <c r="E14" s="281"/>
      <c r="F14" s="281"/>
      <c r="G14" s="281"/>
      <c r="H14" s="281"/>
      <c r="I14" s="281"/>
      <c r="J14" s="82">
        <f t="shared" ref="J14:X14" si="8">J9+J11</f>
        <v>605777.19999999995</v>
      </c>
      <c r="K14" s="83">
        <f t="shared" si="8"/>
        <v>359771.8</v>
      </c>
      <c r="L14" s="83">
        <f t="shared" si="8"/>
        <v>246005.4</v>
      </c>
      <c r="M14" s="82">
        <f t="shared" si="8"/>
        <v>538328.69999999995</v>
      </c>
      <c r="N14" s="83">
        <f t="shared" si="8"/>
        <v>301771.8</v>
      </c>
      <c r="O14" s="83">
        <f t="shared" si="8"/>
        <v>236556.9</v>
      </c>
      <c r="P14" s="82">
        <f t="shared" si="8"/>
        <v>449467.4</v>
      </c>
      <c r="Q14" s="83">
        <f t="shared" si="8"/>
        <v>264236.79999999999</v>
      </c>
      <c r="R14" s="85">
        <f t="shared" si="8"/>
        <v>185230.6</v>
      </c>
      <c r="S14" s="138">
        <f t="shared" si="8"/>
        <v>478590</v>
      </c>
      <c r="T14" s="139">
        <f t="shared" si="8"/>
        <v>267663.09999999998</v>
      </c>
      <c r="U14" s="140">
        <f t="shared" si="8"/>
        <v>210926.9</v>
      </c>
      <c r="V14" s="84">
        <f t="shared" si="8"/>
        <v>478590</v>
      </c>
      <c r="W14" s="83">
        <f t="shared" si="8"/>
        <v>267663.09999999998</v>
      </c>
      <c r="X14" s="83">
        <f t="shared" si="8"/>
        <v>210926.9</v>
      </c>
      <c r="Y14" s="82">
        <f t="shared" si="5"/>
        <v>106.47935756853555</v>
      </c>
      <c r="Z14" s="83">
        <f t="shared" si="5"/>
        <v>101.29667782837213</v>
      </c>
      <c r="AA14" s="83">
        <f t="shared" si="5"/>
        <v>113.87259988360454</v>
      </c>
      <c r="AB14" s="82">
        <f t="shared" si="6"/>
        <v>88.902932353411586</v>
      </c>
      <c r="AC14" s="83">
        <f t="shared" si="6"/>
        <v>88.697187742525969</v>
      </c>
      <c r="AD14" s="83">
        <f t="shared" si="6"/>
        <v>89.165397416012809</v>
      </c>
      <c r="AE14" s="230"/>
    </row>
    <row r="15" spans="2:31" ht="156" customHeight="1" thickBot="1" x14ac:dyDescent="0.45">
      <c r="B15" s="282" t="s">
        <v>16</v>
      </c>
      <c r="C15" s="283"/>
      <c r="D15" s="283"/>
      <c r="E15" s="283"/>
      <c r="F15" s="283"/>
      <c r="G15" s="283"/>
      <c r="H15" s="283"/>
      <c r="I15" s="283"/>
      <c r="J15" s="98">
        <f>J13-J14</f>
        <v>3880816.5</v>
      </c>
      <c r="K15" s="99">
        <f t="shared" ref="K15:X15" si="9">K13-K14</f>
        <v>2719673.1</v>
      </c>
      <c r="L15" s="99">
        <f t="shared" si="9"/>
        <v>1161143.3999999999</v>
      </c>
      <c r="M15" s="98">
        <f t="shared" si="9"/>
        <v>4648926.5</v>
      </c>
      <c r="N15" s="99">
        <f t="shared" si="9"/>
        <v>3638473.1</v>
      </c>
      <c r="O15" s="99">
        <f t="shared" si="9"/>
        <v>1010453.3999999998</v>
      </c>
      <c r="P15" s="98">
        <f t="shared" si="9"/>
        <v>4618630.4000000004</v>
      </c>
      <c r="Q15" s="99">
        <f t="shared" si="9"/>
        <v>3509310.1</v>
      </c>
      <c r="R15" s="100">
        <f t="shared" si="9"/>
        <v>1109320.3</v>
      </c>
      <c r="S15" s="145">
        <f t="shared" si="9"/>
        <v>4634536.6999999993</v>
      </c>
      <c r="T15" s="146">
        <f t="shared" si="9"/>
        <v>3632711.6</v>
      </c>
      <c r="U15" s="141">
        <f t="shared" si="9"/>
        <v>1001825.1</v>
      </c>
      <c r="V15" s="147">
        <f t="shared" si="9"/>
        <v>4634536.6999999993</v>
      </c>
      <c r="W15" s="100">
        <f t="shared" si="9"/>
        <v>3632711.6</v>
      </c>
      <c r="X15" s="100">
        <f t="shared" si="9"/>
        <v>1001825.1</v>
      </c>
      <c r="Y15" s="98">
        <f t="shared" si="5"/>
        <v>100.34439430355802</v>
      </c>
      <c r="Z15" s="99">
        <f t="shared" si="5"/>
        <v>103.51640340931969</v>
      </c>
      <c r="AA15" s="99">
        <f t="shared" si="5"/>
        <v>90.309814036577166</v>
      </c>
      <c r="AB15" s="98">
        <f t="shared" si="6"/>
        <v>99.690470477431717</v>
      </c>
      <c r="AC15" s="99">
        <f t="shared" si="6"/>
        <v>99.841650608877657</v>
      </c>
      <c r="AD15" s="99">
        <f t="shared" si="6"/>
        <v>99.146096198003804</v>
      </c>
      <c r="AE15" s="232"/>
    </row>
    <row r="16" spans="2:31" ht="57.75" customHeight="1" thickBot="1" x14ac:dyDescent="0.3">
      <c r="B16" s="284" t="s">
        <v>363</v>
      </c>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6"/>
    </row>
    <row r="17" spans="1:31" ht="265.5" customHeight="1" x14ac:dyDescent="0.25">
      <c r="B17" s="38">
        <v>5</v>
      </c>
      <c r="C17" s="287">
        <v>1004</v>
      </c>
      <c r="D17" s="39">
        <v>11005</v>
      </c>
      <c r="E17" s="40" t="s">
        <v>133</v>
      </c>
      <c r="F17" s="333" t="s">
        <v>51</v>
      </c>
      <c r="G17" s="326" t="s">
        <v>185</v>
      </c>
      <c r="H17" s="333" t="s">
        <v>106</v>
      </c>
      <c r="I17" s="346" t="s">
        <v>184</v>
      </c>
      <c r="J17" s="243">
        <f>K17+L17</f>
        <v>329707.10000000003</v>
      </c>
      <c r="K17" s="61">
        <v>265603.20000000001</v>
      </c>
      <c r="L17" s="15">
        <v>64103.9</v>
      </c>
      <c r="M17" s="62">
        <f>N17+O17</f>
        <v>219907.1</v>
      </c>
      <c r="N17" s="15">
        <f>265603.2-80000-8000-4000</f>
        <v>173603.20000000001</v>
      </c>
      <c r="O17" s="15">
        <f>64103.9-17000-800</f>
        <v>46303.9</v>
      </c>
      <c r="P17" s="246">
        <f>Q17+R17</f>
        <v>199757</v>
      </c>
      <c r="Q17" s="61">
        <v>160706.6</v>
      </c>
      <c r="R17" s="247">
        <v>39050.400000000001</v>
      </c>
      <c r="S17" s="256">
        <f>T17+U17</f>
        <v>206970.59999999998</v>
      </c>
      <c r="T17" s="257">
        <v>163514.4</v>
      </c>
      <c r="U17" s="258">
        <v>43456.2</v>
      </c>
      <c r="V17" s="233">
        <f>W17+X17</f>
        <v>206970.59999999998</v>
      </c>
      <c r="W17" s="61">
        <v>163514.4</v>
      </c>
      <c r="X17" s="61">
        <v>43456.2</v>
      </c>
      <c r="Y17" s="64">
        <f t="shared" si="5"/>
        <v>103.6111875929254</v>
      </c>
      <c r="Z17" s="65">
        <f t="shared" si="5"/>
        <v>101.74715910858669</v>
      </c>
      <c r="AA17" s="65">
        <f t="shared" si="5"/>
        <v>111.28234281851147</v>
      </c>
      <c r="AB17" s="64">
        <f t="shared" si="6"/>
        <v>94.117288618693976</v>
      </c>
      <c r="AC17" s="65">
        <f t="shared" si="6"/>
        <v>94.188586385504408</v>
      </c>
      <c r="AD17" s="65">
        <f t="shared" si="6"/>
        <v>93.849978079600191</v>
      </c>
      <c r="AE17" s="235" t="s">
        <v>321</v>
      </c>
    </row>
    <row r="18" spans="1:31" ht="233.25" customHeight="1" x14ac:dyDescent="0.25">
      <c r="B18" s="43">
        <v>6</v>
      </c>
      <c r="C18" s="287"/>
      <c r="D18" s="44">
        <v>31005</v>
      </c>
      <c r="E18" s="45" t="s">
        <v>134</v>
      </c>
      <c r="F18" s="335"/>
      <c r="G18" s="336"/>
      <c r="H18" s="335"/>
      <c r="I18" s="347"/>
      <c r="J18" s="22">
        <f t="shared" ref="J18:J39" si="10">K18+L18</f>
        <v>1178220.8999999999</v>
      </c>
      <c r="K18" s="19">
        <v>893687.3</v>
      </c>
      <c r="L18" s="19">
        <v>284533.59999999998</v>
      </c>
      <c r="M18" s="20">
        <f t="shared" ref="M18:M39" si="11">N18+O18</f>
        <v>1221745.8999999999</v>
      </c>
      <c r="N18" s="19">
        <f>893687.3+160000-52200</f>
        <v>1001487.3</v>
      </c>
      <c r="O18" s="19">
        <f>284533.6-54105-10170</f>
        <v>220258.59999999998</v>
      </c>
      <c r="P18" s="205">
        <f t="shared" ref="P18:P22" si="12">Q18+R18</f>
        <v>1130630.3</v>
      </c>
      <c r="Q18" s="19">
        <v>893687.3</v>
      </c>
      <c r="R18" s="201">
        <v>236943</v>
      </c>
      <c r="S18" s="222">
        <f t="shared" ref="S18:S39" si="13">T18+U18</f>
        <v>1208862.5</v>
      </c>
      <c r="T18" s="223">
        <v>988687.6</v>
      </c>
      <c r="U18" s="224">
        <v>220174.9</v>
      </c>
      <c r="V18" s="67">
        <f t="shared" ref="V18:V39" si="14">W18+X18</f>
        <v>1208862.5</v>
      </c>
      <c r="W18" s="19">
        <v>988687.6</v>
      </c>
      <c r="X18" s="19">
        <v>220174.9</v>
      </c>
      <c r="Y18" s="20">
        <f t="shared" si="5"/>
        <v>106.91934401545757</v>
      </c>
      <c r="Z18" s="19">
        <f t="shared" si="5"/>
        <v>110.63014994170778</v>
      </c>
      <c r="AA18" s="19">
        <f t="shared" si="5"/>
        <v>92.923150293530512</v>
      </c>
      <c r="AB18" s="20">
        <f t="shared" si="6"/>
        <v>98.945492675686495</v>
      </c>
      <c r="AC18" s="23">
        <f t="shared" si="6"/>
        <v>98.721930872213747</v>
      </c>
      <c r="AD18" s="23">
        <f t="shared" si="6"/>
        <v>99.961999213651595</v>
      </c>
      <c r="AE18" s="235" t="s">
        <v>322</v>
      </c>
    </row>
    <row r="19" spans="1:31" ht="225.75" customHeight="1" x14ac:dyDescent="0.25">
      <c r="B19" s="31">
        <v>7</v>
      </c>
      <c r="C19" s="287"/>
      <c r="D19" s="44">
        <v>11006</v>
      </c>
      <c r="E19" s="45" t="s">
        <v>135</v>
      </c>
      <c r="F19" s="335" t="s">
        <v>52</v>
      </c>
      <c r="G19" s="336" t="s">
        <v>120</v>
      </c>
      <c r="H19" s="337" t="s">
        <v>53</v>
      </c>
      <c r="I19" s="346" t="s">
        <v>186</v>
      </c>
      <c r="J19" s="22">
        <f t="shared" si="10"/>
        <v>72426</v>
      </c>
      <c r="K19" s="19">
        <v>54758.400000000001</v>
      </c>
      <c r="L19" s="19">
        <v>17667.599999999999</v>
      </c>
      <c r="M19" s="20">
        <f t="shared" si="11"/>
        <v>89147</v>
      </c>
      <c r="N19" s="19">
        <f>54758.4+10200+4000</f>
        <v>68958.399999999994</v>
      </c>
      <c r="O19" s="19">
        <f>17667.6+1721+800</f>
        <v>20188.599999999999</v>
      </c>
      <c r="P19" s="205">
        <f t="shared" si="12"/>
        <v>55568.7</v>
      </c>
      <c r="Q19" s="19">
        <v>42261.1</v>
      </c>
      <c r="R19" s="201">
        <v>13307.6</v>
      </c>
      <c r="S19" s="222">
        <f t="shared" si="13"/>
        <v>80521.8</v>
      </c>
      <c r="T19" s="223">
        <v>62078.9</v>
      </c>
      <c r="U19" s="224">
        <v>18442.900000000001</v>
      </c>
      <c r="V19" s="67">
        <f t="shared" si="14"/>
        <v>80521.8</v>
      </c>
      <c r="W19" s="19">
        <v>62078.9</v>
      </c>
      <c r="X19" s="19">
        <v>18442.900000000001</v>
      </c>
      <c r="Y19" s="20">
        <f t="shared" si="5"/>
        <v>144.90495548753165</v>
      </c>
      <c r="Z19" s="19">
        <f t="shared" si="5"/>
        <v>146.89371549723032</v>
      </c>
      <c r="AA19" s="19">
        <f t="shared" si="5"/>
        <v>138.58922720851243</v>
      </c>
      <c r="AB19" s="20">
        <f t="shared" si="6"/>
        <v>90.324744523091084</v>
      </c>
      <c r="AC19" s="23">
        <f t="shared" si="6"/>
        <v>90.023695445369967</v>
      </c>
      <c r="AD19" s="23">
        <f t="shared" si="6"/>
        <v>91.353040825020074</v>
      </c>
      <c r="AE19" s="235" t="s">
        <v>321</v>
      </c>
    </row>
    <row r="20" spans="1:31" ht="219.75" customHeight="1" x14ac:dyDescent="0.25">
      <c r="B20" s="43">
        <v>8</v>
      </c>
      <c r="C20" s="287"/>
      <c r="D20" s="44">
        <v>31001</v>
      </c>
      <c r="E20" s="45" t="s">
        <v>30</v>
      </c>
      <c r="F20" s="335"/>
      <c r="G20" s="336"/>
      <c r="H20" s="337"/>
      <c r="I20" s="347"/>
      <c r="J20" s="22">
        <f t="shared" si="10"/>
        <v>2599133.9</v>
      </c>
      <c r="K20" s="23">
        <v>2127708.2999999998</v>
      </c>
      <c r="L20" s="23">
        <v>471425.6</v>
      </c>
      <c r="M20" s="20">
        <f t="shared" si="11"/>
        <v>2015933.9</v>
      </c>
      <c r="N20" s="19">
        <f>2127708.3-405000-200000</f>
        <v>1522708.2999999998</v>
      </c>
      <c r="O20" s="19">
        <f>471425.6+101800-80000</f>
        <v>493225.6</v>
      </c>
      <c r="P20" s="126">
        <f t="shared" si="12"/>
        <v>1984505.4</v>
      </c>
      <c r="Q20" s="23">
        <v>1513079.8</v>
      </c>
      <c r="R20" s="199">
        <v>471425.6</v>
      </c>
      <c r="S20" s="253">
        <f t="shared" si="13"/>
        <v>1983326.2000000002</v>
      </c>
      <c r="T20" s="254">
        <v>1510514.1</v>
      </c>
      <c r="U20" s="255">
        <v>472812.1</v>
      </c>
      <c r="V20" s="67">
        <f t="shared" si="14"/>
        <v>1983326.2000000002</v>
      </c>
      <c r="W20" s="19">
        <v>1510514.1</v>
      </c>
      <c r="X20" s="19">
        <v>472812.1</v>
      </c>
      <c r="Y20" s="22">
        <f t="shared" si="5"/>
        <v>99.940579652743708</v>
      </c>
      <c r="Z20" s="23">
        <f t="shared" si="5"/>
        <v>99.830431944171096</v>
      </c>
      <c r="AA20" s="23">
        <f t="shared" si="5"/>
        <v>100.29410791437716</v>
      </c>
      <c r="AB20" s="22">
        <f t="shared" si="6"/>
        <v>98.382501529440034</v>
      </c>
      <c r="AC20" s="23">
        <f t="shared" si="6"/>
        <v>99.19917688765473</v>
      </c>
      <c r="AD20" s="23">
        <f t="shared" si="6"/>
        <v>95.861224559309164</v>
      </c>
      <c r="AE20" s="235" t="s">
        <v>360</v>
      </c>
    </row>
    <row r="21" spans="1:31" ht="261.75" customHeight="1" x14ac:dyDescent="0.25">
      <c r="B21" s="31">
        <v>9</v>
      </c>
      <c r="C21" s="287"/>
      <c r="D21" s="44">
        <v>11007</v>
      </c>
      <c r="E21" s="45" t="s">
        <v>136</v>
      </c>
      <c r="F21" s="345" t="s">
        <v>54</v>
      </c>
      <c r="G21" s="328" t="s">
        <v>323</v>
      </c>
      <c r="H21" s="350" t="s">
        <v>55</v>
      </c>
      <c r="I21" s="352" t="s">
        <v>224</v>
      </c>
      <c r="J21" s="22">
        <f t="shared" si="10"/>
        <v>150385.4</v>
      </c>
      <c r="K21" s="23">
        <v>51715.199999999997</v>
      </c>
      <c r="L21" s="23">
        <v>98670.2</v>
      </c>
      <c r="M21" s="20">
        <f t="shared" si="11"/>
        <v>81862.399999999994</v>
      </c>
      <c r="N21" s="19">
        <f>51715.2-41000-6900</f>
        <v>3815.1999999999971</v>
      </c>
      <c r="O21" s="19">
        <f>98670.2-20623</f>
        <v>78047.199999999997</v>
      </c>
      <c r="P21" s="126">
        <f t="shared" si="12"/>
        <v>105336.8</v>
      </c>
      <c r="Q21" s="23">
        <v>33400</v>
      </c>
      <c r="R21" s="199">
        <v>71936.800000000003</v>
      </c>
      <c r="S21" s="253">
        <f t="shared" si="13"/>
        <v>73740</v>
      </c>
      <c r="T21" s="254">
        <v>3695.9</v>
      </c>
      <c r="U21" s="255">
        <v>70044.100000000006</v>
      </c>
      <c r="V21" s="67">
        <f t="shared" si="14"/>
        <v>73740</v>
      </c>
      <c r="W21" s="19">
        <v>3695.9</v>
      </c>
      <c r="X21" s="19">
        <v>70044.100000000006</v>
      </c>
      <c r="Y21" s="22">
        <f t="shared" si="5"/>
        <v>70.004025183981284</v>
      </c>
      <c r="Z21" s="23">
        <f t="shared" si="5"/>
        <v>11.065568862275448</v>
      </c>
      <c r="AA21" s="23">
        <f t="shared" si="5"/>
        <v>97.36894051445158</v>
      </c>
      <c r="AB21" s="22">
        <f t="shared" si="6"/>
        <v>90.077984520365888</v>
      </c>
      <c r="AC21" s="23">
        <f t="shared" si="6"/>
        <v>96.873034179073258</v>
      </c>
      <c r="AD21" s="23">
        <f t="shared" si="6"/>
        <v>89.745820477864697</v>
      </c>
      <c r="AE21" s="235" t="s">
        <v>318</v>
      </c>
    </row>
    <row r="22" spans="1:31" ht="281.25" customHeight="1" x14ac:dyDescent="0.25">
      <c r="B22" s="43">
        <v>10</v>
      </c>
      <c r="C22" s="287"/>
      <c r="D22" s="44">
        <v>31004</v>
      </c>
      <c r="E22" s="45" t="s">
        <v>31</v>
      </c>
      <c r="F22" s="348"/>
      <c r="G22" s="349"/>
      <c r="H22" s="351"/>
      <c r="I22" s="353"/>
      <c r="J22" s="22">
        <f t="shared" si="10"/>
        <v>6657754.9000000004</v>
      </c>
      <c r="K22" s="23">
        <v>4353968.7</v>
      </c>
      <c r="L22" s="19">
        <v>2303786.2000000002</v>
      </c>
      <c r="M22" s="20">
        <f t="shared" si="11"/>
        <v>683768.70000000019</v>
      </c>
      <c r="N22" s="19">
        <f>4353968.7-39510.5-910000-2842458.2</f>
        <v>562000</v>
      </c>
      <c r="O22" s="19">
        <f>2303786.2-26242.4-1131584.1-1024191</f>
        <v>121768.70000000019</v>
      </c>
      <c r="P22" s="126">
        <f t="shared" si="12"/>
        <v>3110662.5</v>
      </c>
      <c r="Q22" s="23">
        <f>3408944.1-39510.5-910000</f>
        <v>2459433.6</v>
      </c>
      <c r="R22" s="199">
        <f>1157471.3-26242.4-480000</f>
        <v>651228.90000000014</v>
      </c>
      <c r="S22" s="253">
        <f t="shared" si="13"/>
        <v>671679.9</v>
      </c>
      <c r="T22" s="254">
        <v>549911.80000000005</v>
      </c>
      <c r="U22" s="255">
        <v>121768.1</v>
      </c>
      <c r="V22" s="67">
        <f t="shared" si="14"/>
        <v>671679.9</v>
      </c>
      <c r="W22" s="19">
        <v>549911.80000000005</v>
      </c>
      <c r="X22" s="19">
        <v>121768.1</v>
      </c>
      <c r="Y22" s="22">
        <f t="shared" si="5"/>
        <v>21.592824679630144</v>
      </c>
      <c r="Z22" s="23">
        <f t="shared" si="5"/>
        <v>22.359286300715745</v>
      </c>
      <c r="AA22" s="23">
        <f t="shared" si="5"/>
        <v>18.698202736395757</v>
      </c>
      <c r="AB22" s="22">
        <f t="shared" si="6"/>
        <v>98.232033727194562</v>
      </c>
      <c r="AC22" s="23">
        <f t="shared" si="6"/>
        <v>97.849074733096103</v>
      </c>
      <c r="AD22" s="23">
        <f t="shared" si="6"/>
        <v>99.999507262539396</v>
      </c>
      <c r="AE22" s="235" t="s">
        <v>332</v>
      </c>
    </row>
    <row r="23" spans="1:31" ht="319.5" customHeight="1" x14ac:dyDescent="0.25">
      <c r="B23" s="51">
        <v>11</v>
      </c>
      <c r="C23" s="287"/>
      <c r="D23" s="52">
        <v>31006</v>
      </c>
      <c r="E23" s="45" t="s">
        <v>138</v>
      </c>
      <c r="F23" s="53" t="s">
        <v>188</v>
      </c>
      <c r="G23" s="54" t="s">
        <v>255</v>
      </c>
      <c r="H23" s="341"/>
      <c r="I23" s="354"/>
      <c r="J23" s="22">
        <f>K23+L23</f>
        <v>3199619.1</v>
      </c>
      <c r="K23" s="23">
        <v>2836098.6</v>
      </c>
      <c r="L23" s="23">
        <v>363520.5</v>
      </c>
      <c r="M23" s="22">
        <f>N23+O23</f>
        <v>747739.10000000009</v>
      </c>
      <c r="N23" s="23">
        <f>2836098.6-1850000-225000-145700</f>
        <v>615398.60000000009</v>
      </c>
      <c r="O23" s="23">
        <f>363520.5-140000-57000-34180</f>
        <v>132340.5</v>
      </c>
      <c r="P23" s="126">
        <f>Q23+R23</f>
        <v>0</v>
      </c>
      <c r="Q23" s="23">
        <v>0</v>
      </c>
      <c r="R23" s="245">
        <v>0</v>
      </c>
      <c r="S23" s="253">
        <f>T23+U23</f>
        <v>731410.3</v>
      </c>
      <c r="T23" s="254">
        <v>599077.1</v>
      </c>
      <c r="U23" s="224">
        <v>132333.20000000001</v>
      </c>
      <c r="V23" s="67">
        <f>W23+X23</f>
        <v>731410.3</v>
      </c>
      <c r="W23" s="19">
        <v>599077.1</v>
      </c>
      <c r="X23" s="19">
        <v>132333.20000000001</v>
      </c>
      <c r="Y23" s="22" t="e">
        <f>S23/P23*100</f>
        <v>#DIV/0!</v>
      </c>
      <c r="Z23" s="23" t="e">
        <f t="shared" si="5"/>
        <v>#DIV/0!</v>
      </c>
      <c r="AA23" s="23" t="e">
        <f t="shared" si="5"/>
        <v>#DIV/0!</v>
      </c>
      <c r="AB23" s="22">
        <f>S23/M23*100</f>
        <v>97.81624366038902</v>
      </c>
      <c r="AC23" s="23">
        <f t="shared" si="6"/>
        <v>97.347816520869543</v>
      </c>
      <c r="AD23" s="23">
        <f t="shared" si="6"/>
        <v>99.99448392593348</v>
      </c>
      <c r="AE23" s="235" t="s">
        <v>361</v>
      </c>
    </row>
    <row r="24" spans="1:31" ht="300.75" customHeight="1" x14ac:dyDescent="0.25">
      <c r="B24" s="31">
        <v>12</v>
      </c>
      <c r="C24" s="287"/>
      <c r="D24" s="44">
        <v>11010</v>
      </c>
      <c r="E24" s="45" t="s">
        <v>32</v>
      </c>
      <c r="F24" s="53" t="s">
        <v>56</v>
      </c>
      <c r="G24" s="356" t="s">
        <v>210</v>
      </c>
      <c r="H24" s="356" t="s">
        <v>102</v>
      </c>
      <c r="I24" s="350" t="s">
        <v>245</v>
      </c>
      <c r="J24" s="20">
        <f t="shared" si="10"/>
        <v>424085</v>
      </c>
      <c r="K24" s="19">
        <v>0</v>
      </c>
      <c r="L24" s="19">
        <v>424085</v>
      </c>
      <c r="M24" s="20">
        <f t="shared" si="11"/>
        <v>114476.30000000002</v>
      </c>
      <c r="N24" s="19">
        <v>0</v>
      </c>
      <c r="O24" s="19">
        <f>424085-18741.2-45848.1-118258.8-48860.6-77900</f>
        <v>114476.30000000002</v>
      </c>
      <c r="P24" s="205">
        <f t="shared" ref="P24:P27" si="15">Q24+R24</f>
        <v>255092.9</v>
      </c>
      <c r="Q24" s="19">
        <v>0</v>
      </c>
      <c r="R24" s="201">
        <v>255092.9</v>
      </c>
      <c r="S24" s="222">
        <f t="shared" si="13"/>
        <v>74727.899999999994</v>
      </c>
      <c r="T24" s="223">
        <v>0</v>
      </c>
      <c r="U24" s="224">
        <v>74727.899999999994</v>
      </c>
      <c r="V24" s="67">
        <f t="shared" si="14"/>
        <v>74727.899999999994</v>
      </c>
      <c r="W24" s="19">
        <v>0</v>
      </c>
      <c r="X24" s="19">
        <v>74727.899999999994</v>
      </c>
      <c r="Y24" s="22">
        <f t="shared" si="5"/>
        <v>29.294386476456225</v>
      </c>
      <c r="Z24" s="23" t="e">
        <f t="shared" si="5"/>
        <v>#DIV/0!</v>
      </c>
      <c r="AA24" s="23">
        <f t="shared" si="5"/>
        <v>29.294386476456225</v>
      </c>
      <c r="AB24" s="22">
        <f t="shared" si="6"/>
        <v>65.278053186554757</v>
      </c>
      <c r="AC24" s="23">
        <v>0</v>
      </c>
      <c r="AD24" s="23">
        <f t="shared" si="6"/>
        <v>65.278053186554757</v>
      </c>
      <c r="AE24" s="235" t="s">
        <v>324</v>
      </c>
    </row>
    <row r="25" spans="1:31" ht="337.5" customHeight="1" x14ac:dyDescent="0.25">
      <c r="B25" s="43">
        <v>13</v>
      </c>
      <c r="C25" s="287"/>
      <c r="D25" s="44">
        <v>12002</v>
      </c>
      <c r="E25" s="45" t="s">
        <v>33</v>
      </c>
      <c r="F25" s="55" t="s">
        <v>57</v>
      </c>
      <c r="G25" s="356"/>
      <c r="H25" s="356"/>
      <c r="I25" s="341"/>
      <c r="J25" s="20">
        <f t="shared" si="10"/>
        <v>1486847</v>
      </c>
      <c r="K25" s="19">
        <v>0</v>
      </c>
      <c r="L25" s="19">
        <v>1486847</v>
      </c>
      <c r="M25" s="20">
        <f t="shared" si="11"/>
        <v>-9.1858964879065752E-11</v>
      </c>
      <c r="N25" s="19">
        <v>0</v>
      </c>
      <c r="O25" s="19">
        <f>1486847-90903.6-1200000-20630-120836-31101.6-20100-3275.8</f>
        <v>-9.1858964879065752E-11</v>
      </c>
      <c r="P25" s="205">
        <f t="shared" si="15"/>
        <v>1395943.4</v>
      </c>
      <c r="Q25" s="19">
        <v>0</v>
      </c>
      <c r="R25" s="201">
        <f>1486847-90903.6</f>
        <v>1395943.4</v>
      </c>
      <c r="S25" s="222">
        <f t="shared" si="13"/>
        <v>0</v>
      </c>
      <c r="T25" s="223">
        <v>0</v>
      </c>
      <c r="U25" s="224">
        <v>0</v>
      </c>
      <c r="V25" s="67">
        <f t="shared" si="14"/>
        <v>0</v>
      </c>
      <c r="W25" s="19">
        <v>0</v>
      </c>
      <c r="X25" s="19">
        <v>0</v>
      </c>
      <c r="Y25" s="22">
        <f t="shared" si="5"/>
        <v>0</v>
      </c>
      <c r="Z25" s="23" t="e">
        <f t="shared" si="5"/>
        <v>#DIV/0!</v>
      </c>
      <c r="AA25" s="23">
        <f t="shared" si="5"/>
        <v>0</v>
      </c>
      <c r="AB25" s="22">
        <f t="shared" si="6"/>
        <v>0</v>
      </c>
      <c r="AC25" s="23">
        <v>0</v>
      </c>
      <c r="AD25" s="23">
        <f t="shared" si="6"/>
        <v>0</v>
      </c>
      <c r="AE25" s="248" t="s">
        <v>325</v>
      </c>
    </row>
    <row r="26" spans="1:31" ht="258.75" customHeight="1" x14ac:dyDescent="0.25">
      <c r="B26" s="31">
        <v>14</v>
      </c>
      <c r="C26" s="287"/>
      <c r="D26" s="32">
        <v>11009</v>
      </c>
      <c r="E26" s="45" t="s">
        <v>34</v>
      </c>
      <c r="F26" s="53" t="s">
        <v>58</v>
      </c>
      <c r="G26" s="53" t="s">
        <v>59</v>
      </c>
      <c r="H26" s="56" t="s">
        <v>107</v>
      </c>
      <c r="I26" s="57" t="s">
        <v>187</v>
      </c>
      <c r="J26" s="22">
        <f t="shared" si="10"/>
        <v>25150.799999999999</v>
      </c>
      <c r="K26" s="23">
        <v>20030.3</v>
      </c>
      <c r="L26" s="23">
        <v>5120.5</v>
      </c>
      <c r="M26" s="20">
        <f t="shared" si="11"/>
        <v>15596</v>
      </c>
      <c r="N26" s="19">
        <f>20030.3-7030.3-455</f>
        <v>12545</v>
      </c>
      <c r="O26" s="19">
        <f>5120.5-2069.5</f>
        <v>3051</v>
      </c>
      <c r="P26" s="205">
        <f t="shared" si="15"/>
        <v>16800</v>
      </c>
      <c r="Q26" s="19">
        <f>0+13000</f>
        <v>13000</v>
      </c>
      <c r="R26" s="201">
        <v>3800</v>
      </c>
      <c r="S26" s="222">
        <f t="shared" si="13"/>
        <v>15594.8</v>
      </c>
      <c r="T26" s="254">
        <v>12544.5</v>
      </c>
      <c r="U26" s="255">
        <v>3050.3</v>
      </c>
      <c r="V26" s="67">
        <f t="shared" si="14"/>
        <v>15594.8</v>
      </c>
      <c r="W26" s="19">
        <v>12544.5</v>
      </c>
      <c r="X26" s="19">
        <v>3050.3</v>
      </c>
      <c r="Y26" s="22">
        <f t="shared" si="5"/>
        <v>92.826190476190476</v>
      </c>
      <c r="Z26" s="23">
        <f t="shared" si="5"/>
        <v>96.496153846153845</v>
      </c>
      <c r="AA26" s="23">
        <f t="shared" si="5"/>
        <v>80.271052631578954</v>
      </c>
      <c r="AB26" s="22">
        <f t="shared" si="6"/>
        <v>99.992305719415228</v>
      </c>
      <c r="AC26" s="23">
        <f t="shared" si="6"/>
        <v>99.996014348345952</v>
      </c>
      <c r="AD26" s="23">
        <f t="shared" si="6"/>
        <v>99.977056702720418</v>
      </c>
      <c r="AE26" s="235" t="s">
        <v>116</v>
      </c>
    </row>
    <row r="27" spans="1:31" ht="336.75" customHeight="1" thickBot="1" x14ac:dyDescent="0.3">
      <c r="B27" s="31">
        <v>15</v>
      </c>
      <c r="C27" s="287"/>
      <c r="D27" s="32">
        <v>11011</v>
      </c>
      <c r="E27" s="45" t="s">
        <v>137</v>
      </c>
      <c r="F27" s="53" t="s">
        <v>103</v>
      </c>
      <c r="G27" s="53" t="s">
        <v>124</v>
      </c>
      <c r="H27" s="53" t="s">
        <v>60</v>
      </c>
      <c r="I27" s="219" t="s">
        <v>246</v>
      </c>
      <c r="J27" s="22">
        <f t="shared" si="10"/>
        <v>309870.40000000002</v>
      </c>
      <c r="K27" s="23">
        <v>254688</v>
      </c>
      <c r="L27" s="19">
        <v>55182.400000000001</v>
      </c>
      <c r="M27" s="20">
        <f t="shared" si="11"/>
        <v>0</v>
      </c>
      <c r="N27" s="19">
        <f>254688-254688</f>
        <v>0</v>
      </c>
      <c r="O27" s="19">
        <f>55182.4-29087.9-26094.5</f>
        <v>0</v>
      </c>
      <c r="P27" s="205">
        <f t="shared" si="15"/>
        <v>117000</v>
      </c>
      <c r="Q27" s="19">
        <f>130000-13000</f>
        <v>117000</v>
      </c>
      <c r="R27" s="201">
        <v>0</v>
      </c>
      <c r="S27" s="222">
        <f t="shared" si="13"/>
        <v>0</v>
      </c>
      <c r="T27" s="223">
        <v>0</v>
      </c>
      <c r="U27" s="224">
        <v>0</v>
      </c>
      <c r="V27" s="67">
        <f t="shared" si="14"/>
        <v>0</v>
      </c>
      <c r="W27" s="19">
        <v>0</v>
      </c>
      <c r="X27" s="19">
        <v>0</v>
      </c>
      <c r="Y27" s="22">
        <f t="shared" si="5"/>
        <v>0</v>
      </c>
      <c r="Z27" s="23">
        <f t="shared" si="5"/>
        <v>0</v>
      </c>
      <c r="AA27" s="23" t="e">
        <f t="shared" si="5"/>
        <v>#DIV/0!</v>
      </c>
      <c r="AB27" s="22">
        <v>0</v>
      </c>
      <c r="AC27" s="23">
        <v>0</v>
      </c>
      <c r="AD27" s="23">
        <v>0</v>
      </c>
      <c r="AE27" s="248" t="s">
        <v>287</v>
      </c>
    </row>
    <row r="28" spans="1:31" ht="168.75" customHeight="1" x14ac:dyDescent="0.3">
      <c r="B28" s="278" t="s">
        <v>17</v>
      </c>
      <c r="C28" s="279"/>
      <c r="D28" s="279"/>
      <c r="E28" s="279"/>
      <c r="F28" s="279"/>
      <c r="G28" s="279"/>
      <c r="H28" s="279"/>
      <c r="I28" s="279"/>
      <c r="J28" s="80">
        <f>SUM(J17:J27)</f>
        <v>16433200.5</v>
      </c>
      <c r="K28" s="81">
        <f>SUM(K17:K27)</f>
        <v>10858258</v>
      </c>
      <c r="L28" s="81">
        <f>SUM(L17:L27)</f>
        <v>5574942.5</v>
      </c>
      <c r="M28" s="80">
        <f>SUM(M17:M27)</f>
        <v>5190176.3999999994</v>
      </c>
      <c r="N28" s="81">
        <f>SUM(N17:N27)</f>
        <v>3960516</v>
      </c>
      <c r="O28" s="81">
        <f>SUM(O17:O27)</f>
        <v>1229660.4000000001</v>
      </c>
      <c r="P28" s="80">
        <f>SUM(P17:P27)</f>
        <v>8371297</v>
      </c>
      <c r="Q28" s="81">
        <f>SUM(Q17:Q27)</f>
        <v>5232568.4000000004</v>
      </c>
      <c r="R28" s="90">
        <f>SUM(R17:R27)</f>
        <v>3138728.6</v>
      </c>
      <c r="S28" s="133">
        <f>SUM(S17:S27)</f>
        <v>5046834.0000000009</v>
      </c>
      <c r="T28" s="134">
        <f>SUM(T17:T27)</f>
        <v>3890024.3000000003</v>
      </c>
      <c r="U28" s="135">
        <f>SUM(U17:U27)</f>
        <v>1156809.7</v>
      </c>
      <c r="V28" s="94">
        <f>SUM(V17:V27)</f>
        <v>5046834.0000000009</v>
      </c>
      <c r="W28" s="81">
        <f>SUM(W17:W27)</f>
        <v>3890024.3000000003</v>
      </c>
      <c r="X28" s="81">
        <f>SUM(X17:X27)</f>
        <v>1156809.7</v>
      </c>
      <c r="Y28" s="80">
        <f t="shared" si="5"/>
        <v>60.287360489061626</v>
      </c>
      <c r="Z28" s="81">
        <f t="shared" si="5"/>
        <v>74.34254084475991</v>
      </c>
      <c r="AA28" s="81">
        <f t="shared" si="5"/>
        <v>36.855996405678397</v>
      </c>
      <c r="AB28" s="80">
        <f t="shared" si="6"/>
        <v>97.238197915585317</v>
      </c>
      <c r="AC28" s="81">
        <f t="shared" si="6"/>
        <v>98.220138487005244</v>
      </c>
      <c r="AD28" s="81">
        <f t="shared" si="6"/>
        <v>94.075543133697721</v>
      </c>
      <c r="AE28" s="204"/>
    </row>
    <row r="29" spans="1:31" ht="156.75" customHeight="1" x14ac:dyDescent="0.3">
      <c r="B29" s="280" t="s">
        <v>15</v>
      </c>
      <c r="C29" s="281"/>
      <c r="D29" s="281"/>
      <c r="E29" s="281"/>
      <c r="F29" s="281"/>
      <c r="G29" s="281"/>
      <c r="H29" s="281"/>
      <c r="I29" s="281"/>
      <c r="J29" s="82">
        <f>J17+J19+J21+J24+J26+J27</f>
        <v>1311624.7000000002</v>
      </c>
      <c r="K29" s="83">
        <f>K17+K19+K21+K24+K26+K27</f>
        <v>646795.10000000009</v>
      </c>
      <c r="L29" s="83">
        <f>L17+L19+L21+L24+L26+L27</f>
        <v>664829.6</v>
      </c>
      <c r="M29" s="82">
        <f>M17+M19+M21+M24+M26+M27</f>
        <v>520988.80000000005</v>
      </c>
      <c r="N29" s="83">
        <f>N17+N19+N21+N24+N26+N27</f>
        <v>258921.8</v>
      </c>
      <c r="O29" s="83">
        <f>O17+O19+O21+O24+O26+O27</f>
        <v>262067.00000000003</v>
      </c>
      <c r="P29" s="82">
        <f>P17+P19+P21+P24+P26+P27</f>
        <v>749555.4</v>
      </c>
      <c r="Q29" s="83">
        <f>Q17+Q19+Q21+Q24+Q26+Q27</f>
        <v>366367.7</v>
      </c>
      <c r="R29" s="85">
        <f>R17+R19+R21+R24+R26+R27</f>
        <v>383187.7</v>
      </c>
      <c r="S29" s="138">
        <f>S17+S19+S21+S24+S26+S27</f>
        <v>451555.09999999992</v>
      </c>
      <c r="T29" s="139">
        <f>T17+T19+T21+T24+T26+T27</f>
        <v>241833.69999999998</v>
      </c>
      <c r="U29" s="140">
        <f>U17+U19+U21+U24+U26+U27</f>
        <v>209721.4</v>
      </c>
      <c r="V29" s="84">
        <f>V17+V19+V21+V24+V26+V27</f>
        <v>451555.09999999992</v>
      </c>
      <c r="W29" s="83">
        <f>W17+W19+W21+W24+W26+W27</f>
        <v>241833.69999999998</v>
      </c>
      <c r="X29" s="83">
        <f>X17+X19+X21+X24+X26+X27</f>
        <v>209721.4</v>
      </c>
      <c r="Y29" s="82">
        <f t="shared" si="5"/>
        <v>60.243058751894772</v>
      </c>
      <c r="Z29" s="83">
        <f t="shared" si="5"/>
        <v>66.008466357705657</v>
      </c>
      <c r="AA29" s="83">
        <f t="shared" si="5"/>
        <v>54.730723350462455</v>
      </c>
      <c r="AB29" s="82">
        <f t="shared" si="6"/>
        <v>86.672707743429385</v>
      </c>
      <c r="AC29" s="83">
        <f t="shared" si="6"/>
        <v>93.400285337117225</v>
      </c>
      <c r="AD29" s="83">
        <f t="shared" si="6"/>
        <v>80.025871246665915</v>
      </c>
      <c r="AE29" s="208"/>
    </row>
    <row r="30" spans="1:31" ht="166.5" customHeight="1" thickBot="1" x14ac:dyDescent="0.35">
      <c r="B30" s="282" t="s">
        <v>16</v>
      </c>
      <c r="C30" s="283"/>
      <c r="D30" s="283"/>
      <c r="E30" s="283"/>
      <c r="F30" s="283"/>
      <c r="G30" s="283"/>
      <c r="H30" s="283"/>
      <c r="I30" s="283"/>
      <c r="J30" s="98">
        <f>J28-J29</f>
        <v>15121575.800000001</v>
      </c>
      <c r="K30" s="99">
        <f t="shared" ref="K30:X30" si="16">K28-K29</f>
        <v>10211462.9</v>
      </c>
      <c r="L30" s="99">
        <f t="shared" si="16"/>
        <v>4910112.9000000004</v>
      </c>
      <c r="M30" s="98">
        <f t="shared" si="16"/>
        <v>4669187.5999999996</v>
      </c>
      <c r="N30" s="99">
        <f t="shared" si="16"/>
        <v>3701594.2</v>
      </c>
      <c r="O30" s="99">
        <f t="shared" si="16"/>
        <v>967593.40000000014</v>
      </c>
      <c r="P30" s="98">
        <f t="shared" si="16"/>
        <v>7621741.5999999996</v>
      </c>
      <c r="Q30" s="99">
        <f t="shared" si="16"/>
        <v>4866200.7</v>
      </c>
      <c r="R30" s="100">
        <f t="shared" si="16"/>
        <v>2755540.9</v>
      </c>
      <c r="S30" s="142">
        <f t="shared" si="16"/>
        <v>4595278.9000000013</v>
      </c>
      <c r="T30" s="143">
        <f t="shared" si="16"/>
        <v>3648190.6</v>
      </c>
      <c r="U30" s="144">
        <f t="shared" si="16"/>
        <v>947088.29999999993</v>
      </c>
      <c r="V30" s="104">
        <f t="shared" si="16"/>
        <v>4595278.9000000013</v>
      </c>
      <c r="W30" s="99">
        <f t="shared" si="16"/>
        <v>3648190.6</v>
      </c>
      <c r="X30" s="99">
        <f t="shared" si="16"/>
        <v>947088.29999999993</v>
      </c>
      <c r="Y30" s="98">
        <f t="shared" si="5"/>
        <v>60.291717315632972</v>
      </c>
      <c r="Z30" s="99">
        <f t="shared" si="5"/>
        <v>74.969998668571151</v>
      </c>
      <c r="AA30" s="99">
        <f t="shared" si="5"/>
        <v>34.370322719579299</v>
      </c>
      <c r="AB30" s="98">
        <f t="shared" si="6"/>
        <v>98.417097226935198</v>
      </c>
      <c r="AC30" s="99">
        <f t="shared" si="6"/>
        <v>98.557281076353533</v>
      </c>
      <c r="AD30" s="99">
        <f t="shared" si="6"/>
        <v>97.880814399932845</v>
      </c>
      <c r="AE30" s="209"/>
    </row>
    <row r="31" spans="1:31" ht="60" customHeight="1" thickBot="1" x14ac:dyDescent="0.3">
      <c r="B31" s="284" t="s">
        <v>364</v>
      </c>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6"/>
    </row>
    <row r="32" spans="1:31" ht="210.75" customHeight="1" x14ac:dyDescent="0.25">
      <c r="A32" s="5"/>
      <c r="B32" s="38">
        <v>16</v>
      </c>
      <c r="C32" s="287">
        <v>1072</v>
      </c>
      <c r="D32" s="39">
        <v>11005</v>
      </c>
      <c r="E32" s="40" t="s">
        <v>143</v>
      </c>
      <c r="F32" s="333" t="s">
        <v>62</v>
      </c>
      <c r="G32" s="289" t="s">
        <v>205</v>
      </c>
      <c r="H32" s="341" t="s">
        <v>61</v>
      </c>
      <c r="I32" s="293" t="s">
        <v>206</v>
      </c>
      <c r="J32" s="64">
        <f t="shared" si="10"/>
        <v>169564.3</v>
      </c>
      <c r="K32" s="65">
        <v>0</v>
      </c>
      <c r="L32" s="65">
        <v>169564.3</v>
      </c>
      <c r="M32" s="62">
        <f t="shared" si="11"/>
        <v>169564.3</v>
      </c>
      <c r="N32" s="15">
        <v>0</v>
      </c>
      <c r="O32" s="15">
        <v>169564.3</v>
      </c>
      <c r="P32" s="62">
        <f t="shared" ref="P32:P39" si="17">Q32+R32</f>
        <v>127173.3</v>
      </c>
      <c r="Q32" s="15">
        <v>0</v>
      </c>
      <c r="R32" s="203">
        <v>127173.3</v>
      </c>
      <c r="S32" s="213">
        <f t="shared" si="13"/>
        <v>162348.1</v>
      </c>
      <c r="T32" s="214">
        <v>0</v>
      </c>
      <c r="U32" s="215">
        <v>162348.1</v>
      </c>
      <c r="V32" s="106">
        <f t="shared" si="14"/>
        <v>162348.1</v>
      </c>
      <c r="W32" s="65">
        <v>0</v>
      </c>
      <c r="X32" s="65">
        <v>162348.1</v>
      </c>
      <c r="Y32" s="64">
        <f t="shared" si="5"/>
        <v>127.65895042434221</v>
      </c>
      <c r="Z32" s="65" t="e">
        <f t="shared" si="5"/>
        <v>#DIV/0!</v>
      </c>
      <c r="AA32" s="65">
        <f t="shared" si="5"/>
        <v>127.65895042434221</v>
      </c>
      <c r="AB32" s="64">
        <f t="shared" si="6"/>
        <v>95.744269283097921</v>
      </c>
      <c r="AC32" s="65">
        <v>0</v>
      </c>
      <c r="AD32" s="65">
        <f t="shared" si="6"/>
        <v>95.744269283097921</v>
      </c>
      <c r="AE32" s="235" t="s">
        <v>326</v>
      </c>
    </row>
    <row r="33" spans="1:31" ht="264" customHeight="1" x14ac:dyDescent="0.25">
      <c r="A33" s="6"/>
      <c r="B33" s="43">
        <v>17</v>
      </c>
      <c r="C33" s="287"/>
      <c r="D33" s="44">
        <v>31003</v>
      </c>
      <c r="E33" s="29" t="s">
        <v>144</v>
      </c>
      <c r="F33" s="339"/>
      <c r="G33" s="340"/>
      <c r="H33" s="342"/>
      <c r="I33" s="293"/>
      <c r="J33" s="22">
        <f t="shared" si="10"/>
        <v>1471083.4</v>
      </c>
      <c r="K33" s="65">
        <v>804780</v>
      </c>
      <c r="L33" s="65">
        <v>666303.4</v>
      </c>
      <c r="M33" s="20">
        <f t="shared" si="11"/>
        <v>1471083.4</v>
      </c>
      <c r="N33" s="19">
        <v>804780</v>
      </c>
      <c r="O33" s="19">
        <v>666303.4</v>
      </c>
      <c r="P33" s="20">
        <f t="shared" si="17"/>
        <v>1471083.4</v>
      </c>
      <c r="Q33" s="15">
        <v>804780</v>
      </c>
      <c r="R33" s="203">
        <v>666303.4</v>
      </c>
      <c r="S33" s="222">
        <f t="shared" si="13"/>
        <v>1399243.3</v>
      </c>
      <c r="T33" s="214">
        <v>755922.5</v>
      </c>
      <c r="U33" s="215">
        <v>643320.80000000005</v>
      </c>
      <c r="V33" s="67">
        <f t="shared" si="14"/>
        <v>1399243.3</v>
      </c>
      <c r="W33" s="15">
        <v>755922.5</v>
      </c>
      <c r="X33" s="15">
        <v>643320.80000000005</v>
      </c>
      <c r="Y33" s="22">
        <f t="shared" si="5"/>
        <v>95.116517527150407</v>
      </c>
      <c r="Z33" s="23">
        <f t="shared" si="5"/>
        <v>93.929086209895871</v>
      </c>
      <c r="AA33" s="23">
        <f t="shared" si="5"/>
        <v>96.550730493045663</v>
      </c>
      <c r="AB33" s="22">
        <f t="shared" si="6"/>
        <v>95.116517527150407</v>
      </c>
      <c r="AC33" s="23">
        <f t="shared" si="6"/>
        <v>93.929086209895871</v>
      </c>
      <c r="AD33" s="23">
        <f t="shared" si="6"/>
        <v>96.550730493045663</v>
      </c>
      <c r="AE33" s="235" t="s">
        <v>327</v>
      </c>
    </row>
    <row r="34" spans="1:31" ht="265.5" customHeight="1" x14ac:dyDescent="0.25">
      <c r="A34" s="6"/>
      <c r="B34" s="31">
        <v>18</v>
      </c>
      <c r="C34" s="287"/>
      <c r="D34" s="32">
        <v>11004</v>
      </c>
      <c r="E34" s="29" t="s">
        <v>145</v>
      </c>
      <c r="F34" s="343" t="s">
        <v>115</v>
      </c>
      <c r="G34" s="343" t="s">
        <v>125</v>
      </c>
      <c r="H34" s="337" t="s">
        <v>61</v>
      </c>
      <c r="I34" s="293"/>
      <c r="J34" s="22">
        <f t="shared" si="10"/>
        <v>4828.7</v>
      </c>
      <c r="K34" s="23">
        <v>4023.9</v>
      </c>
      <c r="L34" s="23">
        <v>804.8</v>
      </c>
      <c r="M34" s="20">
        <f t="shared" si="11"/>
        <v>0</v>
      </c>
      <c r="N34" s="19">
        <f>4023.9-4023.9</f>
        <v>0</v>
      </c>
      <c r="O34" s="19">
        <f>804.8-804.8</f>
        <v>0</v>
      </c>
      <c r="P34" s="20">
        <f t="shared" si="17"/>
        <v>0</v>
      </c>
      <c r="Q34" s="19">
        <v>0</v>
      </c>
      <c r="R34" s="201">
        <v>0</v>
      </c>
      <c r="S34" s="253">
        <f t="shared" si="13"/>
        <v>0</v>
      </c>
      <c r="T34" s="254">
        <v>0</v>
      </c>
      <c r="U34" s="255">
        <v>0</v>
      </c>
      <c r="V34" s="67">
        <f t="shared" si="14"/>
        <v>0</v>
      </c>
      <c r="W34" s="19">
        <v>0</v>
      </c>
      <c r="X34" s="19">
        <v>0</v>
      </c>
      <c r="Y34" s="22" t="e">
        <f t="shared" si="5"/>
        <v>#DIV/0!</v>
      </c>
      <c r="Z34" s="23" t="e">
        <f t="shared" si="5"/>
        <v>#DIV/0!</v>
      </c>
      <c r="AA34" s="23" t="e">
        <f t="shared" si="5"/>
        <v>#DIV/0!</v>
      </c>
      <c r="AB34" s="22">
        <v>0</v>
      </c>
      <c r="AC34" s="23">
        <v>0</v>
      </c>
      <c r="AD34" s="23">
        <v>0</v>
      </c>
      <c r="AE34" s="248" t="s">
        <v>285</v>
      </c>
    </row>
    <row r="35" spans="1:31" ht="297" customHeight="1" x14ac:dyDescent="0.25">
      <c r="A35" s="6"/>
      <c r="B35" s="43">
        <v>19</v>
      </c>
      <c r="C35" s="287"/>
      <c r="D35" s="32">
        <v>31004</v>
      </c>
      <c r="E35" s="29" t="s">
        <v>146</v>
      </c>
      <c r="F35" s="343"/>
      <c r="G35" s="343"/>
      <c r="H35" s="337"/>
      <c r="I35" s="326"/>
      <c r="J35" s="22">
        <f t="shared" si="10"/>
        <v>1038166.2</v>
      </c>
      <c r="K35" s="23">
        <v>804780</v>
      </c>
      <c r="L35" s="23">
        <v>233386.2</v>
      </c>
      <c r="M35" s="20">
        <f t="shared" si="11"/>
        <v>1032835.8999999999</v>
      </c>
      <c r="N35" s="19">
        <f>804780-5330.3</f>
        <v>799449.7</v>
      </c>
      <c r="O35" s="19">
        <v>233386.2</v>
      </c>
      <c r="P35" s="20">
        <f t="shared" si="17"/>
        <v>813469.7</v>
      </c>
      <c r="Q35" s="19">
        <f>634125-5330.3</f>
        <v>628794.69999999995</v>
      </c>
      <c r="R35" s="201">
        <v>184675</v>
      </c>
      <c r="S35" s="253">
        <f t="shared" si="13"/>
        <v>1032233.5</v>
      </c>
      <c r="T35" s="254">
        <v>799487.1</v>
      </c>
      <c r="U35" s="255">
        <v>232746.4</v>
      </c>
      <c r="V35" s="24">
        <f t="shared" si="14"/>
        <v>1032233.5</v>
      </c>
      <c r="W35" s="23">
        <v>799487.1</v>
      </c>
      <c r="X35" s="23">
        <v>232746.4</v>
      </c>
      <c r="Y35" s="22">
        <f t="shared" si="5"/>
        <v>126.89267959212249</v>
      </c>
      <c r="Z35" s="23">
        <f t="shared" si="5"/>
        <v>127.14596672013934</v>
      </c>
      <c r="AA35" s="23">
        <f t="shared" si="5"/>
        <v>126.03026939217543</v>
      </c>
      <c r="AB35" s="22">
        <f t="shared" si="6"/>
        <v>99.941675148975762</v>
      </c>
      <c r="AC35" s="23">
        <f t="shared" si="6"/>
        <v>100.00467821802923</v>
      </c>
      <c r="AD35" s="23">
        <f t="shared" si="6"/>
        <v>99.725862111812944</v>
      </c>
      <c r="AE35" s="235" t="s">
        <v>328</v>
      </c>
    </row>
    <row r="36" spans="1:31" ht="296.25" customHeight="1" x14ac:dyDescent="0.25">
      <c r="A36" s="6"/>
      <c r="B36" s="43">
        <v>20</v>
      </c>
      <c r="C36" s="287"/>
      <c r="D36" s="32">
        <v>12001</v>
      </c>
      <c r="E36" s="29" t="s">
        <v>147</v>
      </c>
      <c r="F36" s="70" t="s">
        <v>63</v>
      </c>
      <c r="G36" s="71" t="s">
        <v>214</v>
      </c>
      <c r="H36" s="72" t="s">
        <v>64</v>
      </c>
      <c r="I36" s="73" t="s">
        <v>276</v>
      </c>
      <c r="J36" s="22">
        <f t="shared" si="10"/>
        <v>1500000</v>
      </c>
      <c r="K36" s="19">
        <v>1200000</v>
      </c>
      <c r="L36" s="19">
        <v>300000</v>
      </c>
      <c r="M36" s="20">
        <f t="shared" si="11"/>
        <v>167491.49999999991</v>
      </c>
      <c r="N36" s="19">
        <f>1200000-29569.6-1031303.4+14.6</f>
        <v>139141.59999999989</v>
      </c>
      <c r="O36" s="19">
        <f>300000-271650.1</f>
        <v>28349.900000000023</v>
      </c>
      <c r="P36" s="20">
        <f t="shared" si="17"/>
        <v>187476.9</v>
      </c>
      <c r="Q36" s="19">
        <f>175696.6-29569.6</f>
        <v>146127</v>
      </c>
      <c r="R36" s="201">
        <v>41349.9</v>
      </c>
      <c r="S36" s="222">
        <f t="shared" si="13"/>
        <v>137396.4</v>
      </c>
      <c r="T36" s="223">
        <v>114349.7</v>
      </c>
      <c r="U36" s="224">
        <v>23046.7</v>
      </c>
      <c r="V36" s="67">
        <f t="shared" si="14"/>
        <v>137396.4</v>
      </c>
      <c r="W36" s="19">
        <v>114349.7</v>
      </c>
      <c r="X36" s="19">
        <v>23046.7</v>
      </c>
      <c r="Y36" s="20">
        <f t="shared" si="5"/>
        <v>73.287108971825333</v>
      </c>
      <c r="Z36" s="19">
        <f t="shared" si="5"/>
        <v>78.253642379573932</v>
      </c>
      <c r="AA36" s="19">
        <f t="shared" si="5"/>
        <v>55.735805890703482</v>
      </c>
      <c r="AB36" s="20">
        <f t="shared" si="6"/>
        <v>82.031864303561704</v>
      </c>
      <c r="AC36" s="23">
        <f t="shared" si="6"/>
        <v>82.18225174929718</v>
      </c>
      <c r="AD36" s="23">
        <f t="shared" si="6"/>
        <v>81.293761177288033</v>
      </c>
      <c r="AE36" s="235" t="s">
        <v>351</v>
      </c>
    </row>
    <row r="37" spans="1:31" ht="303" customHeight="1" x14ac:dyDescent="0.25">
      <c r="A37" s="6"/>
      <c r="B37" s="43">
        <v>21</v>
      </c>
      <c r="C37" s="287"/>
      <c r="D37" s="44">
        <v>31001</v>
      </c>
      <c r="E37" s="29" t="s">
        <v>148</v>
      </c>
      <c r="F37" s="75" t="s">
        <v>104</v>
      </c>
      <c r="G37" s="75" t="s">
        <v>242</v>
      </c>
      <c r="H37" s="325" t="s">
        <v>66</v>
      </c>
      <c r="I37" s="334" t="s">
        <v>269</v>
      </c>
      <c r="J37" s="22">
        <f t="shared" si="10"/>
        <v>3671091.3000000003</v>
      </c>
      <c r="K37" s="23">
        <v>3079485.7</v>
      </c>
      <c r="L37" s="19">
        <v>591605.6</v>
      </c>
      <c r="M37" s="20">
        <f t="shared" si="11"/>
        <v>2779478</v>
      </c>
      <c r="N37" s="19">
        <f>3079485.7-726975-172000</f>
        <v>2180510.7000000002</v>
      </c>
      <c r="O37" s="19">
        <f>591605.6+230000-168600-54038.3</f>
        <v>598967.29999999993</v>
      </c>
      <c r="P37" s="20">
        <f t="shared" si="17"/>
        <v>1715430</v>
      </c>
      <c r="Q37" s="19">
        <v>1203654</v>
      </c>
      <c r="R37" s="201">
        <v>511776</v>
      </c>
      <c r="S37" s="222">
        <f>T37+U37</f>
        <v>2751693</v>
      </c>
      <c r="T37" s="223">
        <v>2177096.7000000002</v>
      </c>
      <c r="U37" s="255">
        <v>574596.30000000005</v>
      </c>
      <c r="V37" s="67">
        <f t="shared" si="14"/>
        <v>2751693</v>
      </c>
      <c r="W37" s="19">
        <v>2177096.7000000002</v>
      </c>
      <c r="X37" s="19">
        <v>574596.30000000005</v>
      </c>
      <c r="Y37" s="22">
        <f t="shared" si="5"/>
        <v>160.40835242475649</v>
      </c>
      <c r="Z37" s="23">
        <f t="shared" si="5"/>
        <v>180.87396378028905</v>
      </c>
      <c r="AA37" s="23">
        <f t="shared" si="5"/>
        <v>112.27496013881073</v>
      </c>
      <c r="AB37" s="22">
        <f t="shared" si="6"/>
        <v>99.000351864630701</v>
      </c>
      <c r="AC37" s="23">
        <f t="shared" si="6"/>
        <v>99.843431174174015</v>
      </c>
      <c r="AD37" s="23">
        <f t="shared" si="6"/>
        <v>95.931163520946825</v>
      </c>
      <c r="AE37" s="338" t="s">
        <v>352</v>
      </c>
    </row>
    <row r="38" spans="1:31" ht="304.5" customHeight="1" x14ac:dyDescent="0.25">
      <c r="A38" s="6"/>
      <c r="B38" s="43">
        <v>22</v>
      </c>
      <c r="C38" s="287"/>
      <c r="D38" s="44">
        <v>31002</v>
      </c>
      <c r="E38" s="29" t="s">
        <v>141</v>
      </c>
      <c r="F38" s="46" t="s">
        <v>67</v>
      </c>
      <c r="G38" s="75" t="s">
        <v>127</v>
      </c>
      <c r="H38" s="293"/>
      <c r="I38" s="288"/>
      <c r="J38" s="22">
        <f t="shared" si="10"/>
        <v>1930871.2000000002</v>
      </c>
      <c r="K38" s="23">
        <v>1551559.3</v>
      </c>
      <c r="L38" s="19">
        <v>379311.9</v>
      </c>
      <c r="M38" s="20">
        <f t="shared" si="11"/>
        <v>2194871.2000000002</v>
      </c>
      <c r="N38" s="19">
        <f>1551559.3+317000-98000</f>
        <v>1770559.3</v>
      </c>
      <c r="O38" s="19">
        <f>379311.9+53000-8000</f>
        <v>424311.9</v>
      </c>
      <c r="P38" s="20">
        <f t="shared" si="17"/>
        <v>1874128.8</v>
      </c>
      <c r="Q38" s="19">
        <v>1510538.3</v>
      </c>
      <c r="R38" s="201">
        <v>363590.5</v>
      </c>
      <c r="S38" s="222">
        <f t="shared" si="13"/>
        <v>2177729.1</v>
      </c>
      <c r="T38" s="223">
        <v>1756937.8</v>
      </c>
      <c r="U38" s="255">
        <v>420791.3</v>
      </c>
      <c r="V38" s="67">
        <f t="shared" si="14"/>
        <v>2177729.1</v>
      </c>
      <c r="W38" s="19">
        <v>1756937.8</v>
      </c>
      <c r="X38" s="19">
        <v>420791.3</v>
      </c>
      <c r="Y38" s="22">
        <f t="shared" si="5"/>
        <v>116.1995429556389</v>
      </c>
      <c r="Z38" s="23">
        <f t="shared" si="5"/>
        <v>116.31203260453576</v>
      </c>
      <c r="AA38" s="23">
        <f t="shared" si="5"/>
        <v>115.73220422425779</v>
      </c>
      <c r="AB38" s="22">
        <f t="shared" si="6"/>
        <v>99.218992895801804</v>
      </c>
      <c r="AC38" s="23">
        <f t="shared" si="6"/>
        <v>99.230666829402438</v>
      </c>
      <c r="AD38" s="23">
        <f t="shared" si="6"/>
        <v>99.17028016419053</v>
      </c>
      <c r="AE38" s="338"/>
    </row>
    <row r="39" spans="1:31" ht="261.75" customHeight="1" thickBot="1" x14ac:dyDescent="0.3">
      <c r="A39" s="6"/>
      <c r="B39" s="26">
        <v>23</v>
      </c>
      <c r="C39" s="287"/>
      <c r="D39" s="28">
        <v>31005</v>
      </c>
      <c r="E39" s="29" t="s">
        <v>35</v>
      </c>
      <c r="F39" s="77" t="s">
        <v>68</v>
      </c>
      <c r="G39" s="76" t="s">
        <v>216</v>
      </c>
      <c r="H39" s="293"/>
      <c r="I39" s="288"/>
      <c r="J39" s="16">
        <f t="shared" si="10"/>
        <v>39579.1</v>
      </c>
      <c r="K39" s="17">
        <v>0</v>
      </c>
      <c r="L39" s="17">
        <v>39579.1</v>
      </c>
      <c r="M39" s="20">
        <f t="shared" si="11"/>
        <v>38120.1</v>
      </c>
      <c r="N39" s="19">
        <v>0</v>
      </c>
      <c r="O39" s="19">
        <f>39579.1-1459</f>
        <v>38120.1</v>
      </c>
      <c r="P39" s="20">
        <f t="shared" si="17"/>
        <v>39579.1</v>
      </c>
      <c r="Q39" s="19">
        <v>0</v>
      </c>
      <c r="R39" s="201">
        <v>39579.1</v>
      </c>
      <c r="S39" s="225">
        <f t="shared" si="13"/>
        <v>38119.300000000003</v>
      </c>
      <c r="T39" s="217">
        <v>0</v>
      </c>
      <c r="U39" s="218">
        <v>38119.300000000003</v>
      </c>
      <c r="V39" s="116">
        <f t="shared" si="14"/>
        <v>38119.300000000003</v>
      </c>
      <c r="W39" s="68">
        <v>0</v>
      </c>
      <c r="X39" s="68">
        <v>38119.300000000003</v>
      </c>
      <c r="Y39" s="16">
        <f t="shared" si="5"/>
        <v>96.311689755451752</v>
      </c>
      <c r="Z39" s="17" t="e">
        <f t="shared" si="5"/>
        <v>#DIV/0!</v>
      </c>
      <c r="AA39" s="17">
        <f t="shared" si="5"/>
        <v>96.311689755451752</v>
      </c>
      <c r="AB39" s="16">
        <f t="shared" si="6"/>
        <v>99.997901369618674</v>
      </c>
      <c r="AC39" s="17">
        <v>0</v>
      </c>
      <c r="AD39" s="17">
        <f t="shared" si="6"/>
        <v>99.997901369618674</v>
      </c>
      <c r="AE39" s="338"/>
    </row>
    <row r="40" spans="1:31" ht="163.5" customHeight="1" x14ac:dyDescent="0.3">
      <c r="B40" s="278" t="s">
        <v>18</v>
      </c>
      <c r="C40" s="279"/>
      <c r="D40" s="279"/>
      <c r="E40" s="279"/>
      <c r="F40" s="279"/>
      <c r="G40" s="279"/>
      <c r="H40" s="279"/>
      <c r="I40" s="279"/>
      <c r="J40" s="80">
        <f>SUM(J32:J39)</f>
        <v>9825184.2000000011</v>
      </c>
      <c r="K40" s="81">
        <f>SUM(K32:K39)</f>
        <v>7444628.8999999994</v>
      </c>
      <c r="L40" s="81">
        <f>SUM(L32:L39)</f>
        <v>2380555.2999999998</v>
      </c>
      <c r="M40" s="80">
        <f>SUM(M32:M39)</f>
        <v>7853444.3999999994</v>
      </c>
      <c r="N40" s="81">
        <f>SUM(N32:N39)</f>
        <v>5694441.2999999998</v>
      </c>
      <c r="O40" s="81">
        <f>SUM(O32:O39)</f>
        <v>2159003.0999999996</v>
      </c>
      <c r="P40" s="80">
        <f>SUM(P32:P39)</f>
        <v>6228341.1999999993</v>
      </c>
      <c r="Q40" s="81">
        <f>SUM(Q32:Q39)</f>
        <v>4293894</v>
      </c>
      <c r="R40" s="90">
        <f>SUM(R32:R39)</f>
        <v>1934447.2000000002</v>
      </c>
      <c r="S40" s="133">
        <f>SUM(S32:S39)</f>
        <v>7698762.7000000002</v>
      </c>
      <c r="T40" s="134">
        <f>SUM(T32:T39)</f>
        <v>5603793.7999999998</v>
      </c>
      <c r="U40" s="135">
        <f>SUM(U32:U39)</f>
        <v>2094968.9000000001</v>
      </c>
      <c r="V40" s="94">
        <f>SUM(V32:V39)</f>
        <v>7698762.7000000002</v>
      </c>
      <c r="W40" s="81">
        <f>SUM(W32:W39)</f>
        <v>5603793.7999999998</v>
      </c>
      <c r="X40" s="81">
        <f>SUM(X32:X39)</f>
        <v>2094968.9000000001</v>
      </c>
      <c r="Y40" s="80">
        <f t="shared" si="5"/>
        <v>123.60855728327795</v>
      </c>
      <c r="Z40" s="81">
        <f t="shared" si="5"/>
        <v>130.50610471520721</v>
      </c>
      <c r="AA40" s="81">
        <f t="shared" si="5"/>
        <v>108.29806572130786</v>
      </c>
      <c r="AB40" s="80">
        <f t="shared" si="6"/>
        <v>98.030396700841237</v>
      </c>
      <c r="AC40" s="81">
        <f t="shared" si="6"/>
        <v>98.408140584397628</v>
      </c>
      <c r="AD40" s="14">
        <f t="shared" si="6"/>
        <v>97.034084851476152</v>
      </c>
      <c r="AE40" s="204"/>
    </row>
    <row r="41" spans="1:31" ht="171" customHeight="1" x14ac:dyDescent="0.3">
      <c r="B41" s="280" t="s">
        <v>15</v>
      </c>
      <c r="C41" s="281"/>
      <c r="D41" s="281"/>
      <c r="E41" s="281"/>
      <c r="F41" s="281"/>
      <c r="G41" s="281"/>
      <c r="H41" s="281"/>
      <c r="I41" s="281"/>
      <c r="J41" s="82">
        <f>J32+J34</f>
        <v>174393</v>
      </c>
      <c r="K41" s="83">
        <f>K32+K34</f>
        <v>4023.9</v>
      </c>
      <c r="L41" s="83">
        <f>L32+L34</f>
        <v>170369.09999999998</v>
      </c>
      <c r="M41" s="82">
        <f>M32+M34</f>
        <v>169564.3</v>
      </c>
      <c r="N41" s="83">
        <f>N32+N34</f>
        <v>0</v>
      </c>
      <c r="O41" s="83">
        <f>O32+O34</f>
        <v>169564.3</v>
      </c>
      <c r="P41" s="82" t="e">
        <f>P32+P34+#REF!+#REF!+#REF!</f>
        <v>#REF!</v>
      </c>
      <c r="Q41" s="83" t="e">
        <f>Q32+Q34+#REF!+#REF!+#REF!</f>
        <v>#REF!</v>
      </c>
      <c r="R41" s="85" t="e">
        <f>R32+R34+#REF!+#REF!+#REF!</f>
        <v>#REF!</v>
      </c>
      <c r="S41" s="138">
        <f>S32+S34</f>
        <v>162348.1</v>
      </c>
      <c r="T41" s="139">
        <f>T32+T34</f>
        <v>0</v>
      </c>
      <c r="U41" s="140">
        <f>U32+U34</f>
        <v>162348.1</v>
      </c>
      <c r="V41" s="84">
        <f>V32+V34</f>
        <v>162348.1</v>
      </c>
      <c r="W41" s="83">
        <f>W32+W34</f>
        <v>0</v>
      </c>
      <c r="X41" s="83">
        <f>X32+X34</f>
        <v>162348.1</v>
      </c>
      <c r="Y41" s="82" t="e">
        <f t="shared" si="5"/>
        <v>#REF!</v>
      </c>
      <c r="Z41" s="83" t="e">
        <f t="shared" si="5"/>
        <v>#REF!</v>
      </c>
      <c r="AA41" s="83" t="e">
        <f t="shared" si="5"/>
        <v>#REF!</v>
      </c>
      <c r="AB41" s="82">
        <f t="shared" si="6"/>
        <v>95.744269283097921</v>
      </c>
      <c r="AC41" s="83">
        <v>0</v>
      </c>
      <c r="AD41" s="23">
        <f t="shared" si="6"/>
        <v>95.744269283097921</v>
      </c>
      <c r="AE41" s="208"/>
    </row>
    <row r="42" spans="1:31" ht="165.75" customHeight="1" thickBot="1" x14ac:dyDescent="0.35">
      <c r="B42" s="282" t="s">
        <v>16</v>
      </c>
      <c r="C42" s="283"/>
      <c r="D42" s="283"/>
      <c r="E42" s="283"/>
      <c r="F42" s="283"/>
      <c r="G42" s="283"/>
      <c r="H42" s="283"/>
      <c r="I42" s="283"/>
      <c r="J42" s="98">
        <f>J40-J41</f>
        <v>9650791.2000000011</v>
      </c>
      <c r="K42" s="99">
        <f t="shared" ref="K42:X42" si="18">K40-K41</f>
        <v>7440604.9999999991</v>
      </c>
      <c r="L42" s="99">
        <f t="shared" si="18"/>
        <v>2210186.1999999997</v>
      </c>
      <c r="M42" s="98">
        <f t="shared" si="18"/>
        <v>7683880.0999999996</v>
      </c>
      <c r="N42" s="99">
        <f t="shared" si="18"/>
        <v>5694441.2999999998</v>
      </c>
      <c r="O42" s="99">
        <f t="shared" si="18"/>
        <v>1989438.7999999996</v>
      </c>
      <c r="P42" s="98" t="e">
        <f t="shared" si="18"/>
        <v>#REF!</v>
      </c>
      <c r="Q42" s="99" t="e">
        <f t="shared" si="18"/>
        <v>#REF!</v>
      </c>
      <c r="R42" s="100" t="e">
        <f t="shared" si="18"/>
        <v>#REF!</v>
      </c>
      <c r="S42" s="142">
        <f t="shared" si="18"/>
        <v>7536414.6000000006</v>
      </c>
      <c r="T42" s="143">
        <f t="shared" si="18"/>
        <v>5603793.7999999998</v>
      </c>
      <c r="U42" s="144">
        <f t="shared" si="18"/>
        <v>1932620.8</v>
      </c>
      <c r="V42" s="104">
        <f t="shared" si="18"/>
        <v>7536414.6000000006</v>
      </c>
      <c r="W42" s="99">
        <f t="shared" si="18"/>
        <v>5603793.7999999998</v>
      </c>
      <c r="X42" s="99">
        <f t="shared" si="18"/>
        <v>1932620.8</v>
      </c>
      <c r="Y42" s="98" t="e">
        <f t="shared" si="5"/>
        <v>#REF!</v>
      </c>
      <c r="Z42" s="99" t="e">
        <f t="shared" si="5"/>
        <v>#REF!</v>
      </c>
      <c r="AA42" s="99" t="e">
        <f t="shared" si="5"/>
        <v>#REF!</v>
      </c>
      <c r="AB42" s="98">
        <f t="shared" si="6"/>
        <v>98.080845899716735</v>
      </c>
      <c r="AC42" s="99">
        <f t="shared" si="6"/>
        <v>98.408140584397628</v>
      </c>
      <c r="AD42" s="25">
        <f t="shared" si="6"/>
        <v>97.144018705174574</v>
      </c>
      <c r="AE42" s="209"/>
    </row>
    <row r="43" spans="1:31" ht="20.25" x14ac:dyDescent="0.35">
      <c r="B43" s="3"/>
      <c r="C43" s="3"/>
      <c r="D43" s="3"/>
      <c r="E43" s="3"/>
      <c r="F43" s="3"/>
      <c r="G43" s="3"/>
      <c r="H43" s="3"/>
      <c r="I43" s="3"/>
      <c r="J43" s="7"/>
      <c r="K43" s="1"/>
      <c r="L43" s="1"/>
      <c r="M43" s="7"/>
      <c r="N43" s="1"/>
      <c r="O43" s="1"/>
      <c r="P43" s="7"/>
      <c r="Q43" s="1"/>
      <c r="R43" s="1"/>
      <c r="S43" s="1"/>
      <c r="T43" s="1"/>
      <c r="U43" s="1"/>
      <c r="V43" s="7"/>
      <c r="W43" s="1"/>
      <c r="X43" s="1"/>
      <c r="Y43" s="7"/>
      <c r="Z43" s="1"/>
      <c r="AA43" s="1"/>
      <c r="AB43" s="7"/>
      <c r="AC43" s="1"/>
      <c r="AD43" s="1"/>
      <c r="AE43" s="3"/>
    </row>
    <row r="44" spans="1:31" ht="20.25" x14ac:dyDescent="0.35">
      <c r="B44" s="299"/>
      <c r="C44" s="299"/>
      <c r="D44" s="299"/>
      <c r="E44" s="299"/>
      <c r="F44" s="299"/>
      <c r="G44" s="299"/>
      <c r="H44" s="299"/>
      <c r="I44" s="299"/>
      <c r="J44" s="7"/>
      <c r="K44" s="1"/>
      <c r="L44" s="1"/>
      <c r="M44" s="7"/>
      <c r="N44" s="1"/>
      <c r="O44" s="1"/>
      <c r="P44" s="7"/>
      <c r="Q44" s="1"/>
      <c r="R44" s="1"/>
      <c r="S44" s="1"/>
      <c r="T44" s="1"/>
      <c r="U44" s="1"/>
      <c r="V44" s="7"/>
      <c r="W44" s="1"/>
      <c r="X44" s="1"/>
      <c r="Y44" s="7"/>
      <c r="Z44" s="1"/>
      <c r="AA44" s="1"/>
      <c r="AB44" s="7"/>
      <c r="AC44" s="1"/>
      <c r="AD44" s="1"/>
      <c r="AE44" s="3"/>
    </row>
  </sheetData>
  <mergeCells count="69">
    <mergeCell ref="B44:I44"/>
    <mergeCell ref="B40:I40"/>
    <mergeCell ref="B41:I41"/>
    <mergeCell ref="B42:I42"/>
    <mergeCell ref="G34:G35"/>
    <mergeCell ref="H34:H35"/>
    <mergeCell ref="H37:H39"/>
    <mergeCell ref="I37:I39"/>
    <mergeCell ref="AE37:AE39"/>
    <mergeCell ref="B28:I28"/>
    <mergeCell ref="B29:I29"/>
    <mergeCell ref="B30:I30"/>
    <mergeCell ref="B31:AE31"/>
    <mergeCell ref="C32:C39"/>
    <mergeCell ref="F32:F33"/>
    <mergeCell ref="G32:G33"/>
    <mergeCell ref="H32:H33"/>
    <mergeCell ref="I32:I35"/>
    <mergeCell ref="F34:F35"/>
    <mergeCell ref="I19:I20"/>
    <mergeCell ref="F21:F22"/>
    <mergeCell ref="G21:G22"/>
    <mergeCell ref="H21:H23"/>
    <mergeCell ref="I21:I23"/>
    <mergeCell ref="G24:G25"/>
    <mergeCell ref="H24:H25"/>
    <mergeCell ref="I24:I25"/>
    <mergeCell ref="B15:I15"/>
    <mergeCell ref="B16:AE16"/>
    <mergeCell ref="C17:C27"/>
    <mergeCell ref="F17:F18"/>
    <mergeCell ref="G17:G18"/>
    <mergeCell ref="H17:H18"/>
    <mergeCell ref="I17:I18"/>
    <mergeCell ref="F19:F20"/>
    <mergeCell ref="G19:G20"/>
    <mergeCell ref="H19:H20"/>
    <mergeCell ref="F11:F12"/>
    <mergeCell ref="G11:G12"/>
    <mergeCell ref="H11:H12"/>
    <mergeCell ref="I11:I12"/>
    <mergeCell ref="B13:I13"/>
    <mergeCell ref="B14:I14"/>
    <mergeCell ref="V6:X6"/>
    <mergeCell ref="Y6:AA6"/>
    <mergeCell ref="AB6:AD6"/>
    <mergeCell ref="AE6:AE7"/>
    <mergeCell ref="B8:AE8"/>
    <mergeCell ref="C9:C10"/>
    <mergeCell ref="F9:F10"/>
    <mergeCell ref="G9:G10"/>
    <mergeCell ref="H9:H10"/>
    <mergeCell ref="I9:I10"/>
    <mergeCell ref="H6:H7"/>
    <mergeCell ref="I6:I7"/>
    <mergeCell ref="J6:L6"/>
    <mergeCell ref="M6:O6"/>
    <mergeCell ref="P6:R6"/>
    <mergeCell ref="S6:U6"/>
    <mergeCell ref="B1:AE1"/>
    <mergeCell ref="B2:AE3"/>
    <mergeCell ref="B4:AE4"/>
    <mergeCell ref="B5:AE5"/>
    <mergeCell ref="B6:B7"/>
    <mergeCell ref="C6:C7"/>
    <mergeCell ref="D6:D7"/>
    <mergeCell ref="E6:E7"/>
    <mergeCell ref="F6:F7"/>
    <mergeCell ref="G6:G7"/>
  </mergeCells>
  <pageMargins left="0.16" right="0.16" top="0.23" bottom="0.16" header="0.23" footer="0.16"/>
  <pageSetup scale="31" orientation="landscape" r:id="rId1"/>
  <rowBreaks count="4" manualBreakCount="4">
    <brk id="12" min="1" max="31" man="1"/>
    <brk id="20" min="1" max="31" man="1"/>
    <brk id="25" max="16383" man="1"/>
    <brk id="30" min="1"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63459-2E1B-41D2-8BC3-F36913BAC942}">
  <dimension ref="A1:AE21"/>
  <sheetViews>
    <sheetView view="pageBreakPreview" topLeftCell="A18" zoomScale="60" zoomScaleNormal="60" workbookViewId="0">
      <selection activeCell="B13" sqref="B13:AE13"/>
    </sheetView>
  </sheetViews>
  <sheetFormatPr defaultRowHeight="18.75" x14ac:dyDescent="0.3"/>
  <cols>
    <col min="1" max="1" width="0.28515625" customWidth="1"/>
    <col min="2" max="2" width="6.28515625" style="4" customWidth="1"/>
    <col min="3" max="3" width="9" style="4" customWidth="1"/>
    <col min="4" max="4" width="11.7109375" style="4" customWidth="1"/>
    <col min="5" max="5" width="32.140625" style="4" customWidth="1"/>
    <col min="6" max="6" width="20.85546875" style="4" customWidth="1"/>
    <col min="7" max="7" width="26.85546875" style="4" customWidth="1"/>
    <col min="8" max="8" width="58" style="4" customWidth="1"/>
    <col min="9" max="9" width="120.7109375" style="4" customWidth="1"/>
    <col min="10" max="10" width="5" style="8" customWidth="1"/>
    <col min="11" max="12" width="4.7109375" style="2" customWidth="1"/>
    <col min="13" max="13" width="4.7109375" style="8" customWidth="1"/>
    <col min="14" max="15" width="4.7109375" style="2" customWidth="1"/>
    <col min="16" max="16" width="4.7109375" style="8" hidden="1" customWidth="1"/>
    <col min="17" max="18" width="4.7109375" style="2" hidden="1" customWidth="1"/>
    <col min="19" max="21" width="4.7109375" style="2" customWidth="1"/>
    <col min="22" max="22" width="4.7109375" style="8" hidden="1" customWidth="1"/>
    <col min="23" max="24" width="4.7109375" style="2" hidden="1" customWidth="1"/>
    <col min="25" max="25" width="4.7109375" style="8" hidden="1" customWidth="1"/>
    <col min="26" max="27" width="4.7109375" style="2" hidden="1" customWidth="1"/>
    <col min="28" max="28" width="4.5703125" style="8" customWidth="1"/>
    <col min="29" max="30" width="4.5703125" style="2" customWidth="1"/>
    <col min="31" max="31" width="82.140625" style="4" customWidth="1"/>
    <col min="32" max="53" width="5.7109375" customWidth="1"/>
  </cols>
  <sheetData>
    <row r="1" spans="1:31" ht="51" x14ac:dyDescent="0.25">
      <c r="B1" s="367" t="s">
        <v>0</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row>
    <row r="2" spans="1:31" ht="24.75" customHeight="1" x14ac:dyDescent="0.25">
      <c r="B2" s="368" t="s">
        <v>1</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row>
    <row r="3" spans="1:31" ht="24" customHeight="1" x14ac:dyDescent="0.25">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row>
    <row r="4" spans="1:31" ht="29.25" customHeight="1" x14ac:dyDescent="0.25">
      <c r="B4" s="368" t="s">
        <v>311</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row>
    <row r="5" spans="1:31" ht="17.25" thickBot="1" x14ac:dyDescent="0.35">
      <c r="B5" s="369" t="s">
        <v>231</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row>
    <row r="6" spans="1:31" ht="224.25" customHeight="1" x14ac:dyDescent="0.25">
      <c r="B6" s="370" t="s">
        <v>2</v>
      </c>
      <c r="C6" s="372" t="s">
        <v>3</v>
      </c>
      <c r="D6" s="372" t="s">
        <v>4</v>
      </c>
      <c r="E6" s="360" t="s">
        <v>5</v>
      </c>
      <c r="F6" s="360" t="s">
        <v>6</v>
      </c>
      <c r="G6" s="360" t="s">
        <v>7</v>
      </c>
      <c r="H6" s="360" t="s">
        <v>8</v>
      </c>
      <c r="I6" s="362" t="s">
        <v>9</v>
      </c>
      <c r="J6" s="360" t="s">
        <v>128</v>
      </c>
      <c r="K6" s="360"/>
      <c r="L6" s="360"/>
      <c r="M6" s="360" t="s">
        <v>174</v>
      </c>
      <c r="N6" s="360"/>
      <c r="O6" s="360"/>
      <c r="P6" s="360" t="s">
        <v>238</v>
      </c>
      <c r="Q6" s="360"/>
      <c r="R6" s="360"/>
      <c r="S6" s="364" t="s">
        <v>129</v>
      </c>
      <c r="T6" s="360"/>
      <c r="U6" s="365"/>
      <c r="V6" s="374" t="s">
        <v>130</v>
      </c>
      <c r="W6" s="360"/>
      <c r="X6" s="360"/>
      <c r="Y6" s="360" t="s">
        <v>239</v>
      </c>
      <c r="Z6" s="360"/>
      <c r="AA6" s="360"/>
      <c r="AB6" s="360" t="s">
        <v>131</v>
      </c>
      <c r="AC6" s="360"/>
      <c r="AD6" s="360"/>
      <c r="AE6" s="365" t="s">
        <v>10</v>
      </c>
    </row>
    <row r="7" spans="1:31" ht="162" customHeight="1" thickBot="1" x14ac:dyDescent="0.3">
      <c r="B7" s="371"/>
      <c r="C7" s="373"/>
      <c r="D7" s="373"/>
      <c r="E7" s="361"/>
      <c r="F7" s="361"/>
      <c r="G7" s="361"/>
      <c r="H7" s="361"/>
      <c r="I7" s="363"/>
      <c r="J7" s="9" t="s">
        <v>11</v>
      </c>
      <c r="K7" s="9" t="s">
        <v>12</v>
      </c>
      <c r="L7" s="9" t="s">
        <v>13</v>
      </c>
      <c r="M7" s="9" t="s">
        <v>11</v>
      </c>
      <c r="N7" s="9" t="s">
        <v>12</v>
      </c>
      <c r="O7" s="9" t="s">
        <v>13</v>
      </c>
      <c r="P7" s="9" t="s">
        <v>11</v>
      </c>
      <c r="Q7" s="9" t="s">
        <v>12</v>
      </c>
      <c r="R7" s="10" t="s">
        <v>13</v>
      </c>
      <c r="S7" s="11" t="s">
        <v>11</v>
      </c>
      <c r="T7" s="9" t="s">
        <v>12</v>
      </c>
      <c r="U7" s="13" t="s">
        <v>13</v>
      </c>
      <c r="V7" s="12" t="s">
        <v>11</v>
      </c>
      <c r="W7" s="9" t="s">
        <v>12</v>
      </c>
      <c r="X7" s="9" t="s">
        <v>13</v>
      </c>
      <c r="Y7" s="9" t="s">
        <v>11</v>
      </c>
      <c r="Z7" s="9" t="s">
        <v>12</v>
      </c>
      <c r="AA7" s="9" t="s">
        <v>13</v>
      </c>
      <c r="AB7" s="9" t="s">
        <v>11</v>
      </c>
      <c r="AC7" s="9" t="s">
        <v>12</v>
      </c>
      <c r="AD7" s="9" t="s">
        <v>13</v>
      </c>
      <c r="AE7" s="375"/>
    </row>
    <row r="8" spans="1:31" ht="57.75" customHeight="1" thickBot="1" x14ac:dyDescent="0.3">
      <c r="B8" s="284" t="s">
        <v>365</v>
      </c>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6"/>
    </row>
    <row r="9" spans="1:31" ht="249.75" customHeight="1" thickBot="1" x14ac:dyDescent="0.3">
      <c r="B9" s="51">
        <v>1</v>
      </c>
      <c r="C9" s="27"/>
      <c r="D9" s="206">
        <v>31022</v>
      </c>
      <c r="E9" s="29" t="s">
        <v>181</v>
      </c>
      <c r="F9" s="123"/>
      <c r="G9" s="123" t="s">
        <v>189</v>
      </c>
      <c r="H9" s="123"/>
      <c r="I9" s="198" t="s">
        <v>268</v>
      </c>
      <c r="J9" s="18">
        <f t="shared" ref="J9:J16" si="0">K9+L9</f>
        <v>2000000</v>
      </c>
      <c r="K9" s="68">
        <v>1600000</v>
      </c>
      <c r="L9" s="68">
        <v>400000</v>
      </c>
      <c r="M9" s="18">
        <f t="shared" ref="M9:M16" si="1">N9+O9</f>
        <v>0</v>
      </c>
      <c r="N9" s="68">
        <f>1600000-1600000</f>
        <v>0</v>
      </c>
      <c r="O9" s="68">
        <f>400000-400000</f>
        <v>0</v>
      </c>
      <c r="P9" s="207">
        <f t="shared" ref="P9:P16" si="2">Q9+R9</f>
        <v>0</v>
      </c>
      <c r="Q9" s="68">
        <v>0</v>
      </c>
      <c r="R9" s="68">
        <v>0</v>
      </c>
      <c r="S9" s="225">
        <f t="shared" ref="S9:S16" si="3">T9+U9</f>
        <v>0</v>
      </c>
      <c r="T9" s="226">
        <v>0</v>
      </c>
      <c r="U9" s="227">
        <v>0</v>
      </c>
      <c r="V9" s="21">
        <f t="shared" ref="V9:V16" si="4">W9+X9</f>
        <v>0</v>
      </c>
      <c r="W9" s="17">
        <v>0</v>
      </c>
      <c r="X9" s="17">
        <v>0</v>
      </c>
      <c r="Y9" s="16" t="e">
        <f t="shared" ref="Y9:AA19" si="5">S9/P9*100</f>
        <v>#DIV/0!</v>
      </c>
      <c r="Z9" s="17" t="e">
        <f t="shared" si="5"/>
        <v>#DIV/0!</v>
      </c>
      <c r="AA9" s="17" t="e">
        <f t="shared" si="5"/>
        <v>#DIV/0!</v>
      </c>
      <c r="AB9" s="16">
        <v>0</v>
      </c>
      <c r="AC9" s="17">
        <v>0</v>
      </c>
      <c r="AD9" s="17">
        <v>0</v>
      </c>
      <c r="AE9" s="248" t="s">
        <v>286</v>
      </c>
    </row>
    <row r="10" spans="1:31" ht="141" customHeight="1" x14ac:dyDescent="0.3">
      <c r="B10" s="278" t="s">
        <v>17</v>
      </c>
      <c r="C10" s="279"/>
      <c r="D10" s="279"/>
      <c r="E10" s="279"/>
      <c r="F10" s="279"/>
      <c r="G10" s="279"/>
      <c r="H10" s="279"/>
      <c r="I10" s="279"/>
      <c r="J10" s="80">
        <f>SUM(J9:J9)</f>
        <v>2000000</v>
      </c>
      <c r="K10" s="81">
        <f>SUM(K9:K9)</f>
        <v>1600000</v>
      </c>
      <c r="L10" s="81">
        <f>SUM(L9:L9)</f>
        <v>400000</v>
      </c>
      <c r="M10" s="80">
        <f>SUM(M9:M9)</f>
        <v>0</v>
      </c>
      <c r="N10" s="81">
        <f>SUM(N9:N9)</f>
        <v>0</v>
      </c>
      <c r="O10" s="81">
        <f>SUM(O9:O9)</f>
        <v>0</v>
      </c>
      <c r="P10" s="80">
        <f>SUM(P9:P9)</f>
        <v>0</v>
      </c>
      <c r="Q10" s="81">
        <f>SUM(Q9:Q9)</f>
        <v>0</v>
      </c>
      <c r="R10" s="90">
        <f>SUM(R9:R9)</f>
        <v>0</v>
      </c>
      <c r="S10" s="133">
        <f>SUM(S9:S9)</f>
        <v>0</v>
      </c>
      <c r="T10" s="134">
        <f>SUM(T9:T9)</f>
        <v>0</v>
      </c>
      <c r="U10" s="135">
        <f>SUM(U9:U9)</f>
        <v>0</v>
      </c>
      <c r="V10" s="94">
        <f>SUM(V9:V9)</f>
        <v>0</v>
      </c>
      <c r="W10" s="81">
        <f>SUM(W9:W9)</f>
        <v>0</v>
      </c>
      <c r="X10" s="81">
        <f>SUM(X9:X9)</f>
        <v>0</v>
      </c>
      <c r="Y10" s="80" t="e">
        <f t="shared" si="5"/>
        <v>#DIV/0!</v>
      </c>
      <c r="Z10" s="81" t="e">
        <f t="shared" si="5"/>
        <v>#DIV/0!</v>
      </c>
      <c r="AA10" s="81" t="e">
        <f t="shared" si="5"/>
        <v>#DIV/0!</v>
      </c>
      <c r="AB10" s="80">
        <v>0</v>
      </c>
      <c r="AC10" s="81">
        <v>0</v>
      </c>
      <c r="AD10" s="81">
        <v>0</v>
      </c>
      <c r="AE10" s="204"/>
    </row>
    <row r="11" spans="1:31" ht="95.25" customHeight="1" x14ac:dyDescent="0.3">
      <c r="B11" s="280" t="s">
        <v>15</v>
      </c>
      <c r="C11" s="281"/>
      <c r="D11" s="281"/>
      <c r="E11" s="281"/>
      <c r="F11" s="281"/>
      <c r="G11" s="281"/>
      <c r="H11" s="281"/>
      <c r="I11" s="281"/>
      <c r="J11" s="82">
        <v>0</v>
      </c>
      <c r="K11" s="83">
        <v>0</v>
      </c>
      <c r="L11" s="83">
        <v>0</v>
      </c>
      <c r="M11" s="82">
        <v>0</v>
      </c>
      <c r="N11" s="83">
        <v>0</v>
      </c>
      <c r="O11" s="83">
        <v>0</v>
      </c>
      <c r="P11" s="82" t="e">
        <f>#REF!+#REF!+#REF!+#REF!+#REF!+#REF!</f>
        <v>#REF!</v>
      </c>
      <c r="Q11" s="83" t="e">
        <f>#REF!+#REF!+#REF!+#REF!+#REF!+#REF!</f>
        <v>#REF!</v>
      </c>
      <c r="R11" s="85" t="e">
        <f>#REF!+#REF!+#REF!+#REF!+#REF!+#REF!</f>
        <v>#REF!</v>
      </c>
      <c r="S11" s="138">
        <v>0</v>
      </c>
      <c r="T11" s="139">
        <v>0</v>
      </c>
      <c r="U11" s="140">
        <v>0</v>
      </c>
      <c r="V11" s="84" t="e">
        <f>#REF!+#REF!+#REF!+#REF!+#REF!+#REF!</f>
        <v>#REF!</v>
      </c>
      <c r="W11" s="83" t="e">
        <f>#REF!+#REF!+#REF!+#REF!+#REF!+#REF!</f>
        <v>#REF!</v>
      </c>
      <c r="X11" s="83" t="e">
        <f>#REF!+#REF!+#REF!+#REF!+#REF!+#REF!</f>
        <v>#REF!</v>
      </c>
      <c r="Y11" s="82" t="e">
        <f t="shared" si="5"/>
        <v>#REF!</v>
      </c>
      <c r="Z11" s="83" t="e">
        <f t="shared" si="5"/>
        <v>#REF!</v>
      </c>
      <c r="AA11" s="83" t="e">
        <f t="shared" si="5"/>
        <v>#REF!</v>
      </c>
      <c r="AB11" s="82">
        <v>0</v>
      </c>
      <c r="AC11" s="83">
        <v>0</v>
      </c>
      <c r="AD11" s="83">
        <v>0</v>
      </c>
      <c r="AE11" s="208"/>
    </row>
    <row r="12" spans="1:31" ht="134.25" customHeight="1" thickBot="1" x14ac:dyDescent="0.35">
      <c r="B12" s="282" t="s">
        <v>16</v>
      </c>
      <c r="C12" s="283"/>
      <c r="D12" s="283"/>
      <c r="E12" s="283"/>
      <c r="F12" s="283"/>
      <c r="G12" s="283"/>
      <c r="H12" s="283"/>
      <c r="I12" s="283"/>
      <c r="J12" s="98">
        <f>J10-J11</f>
        <v>2000000</v>
      </c>
      <c r="K12" s="99">
        <f t="shared" ref="K12:X12" si="6">K10-K11</f>
        <v>1600000</v>
      </c>
      <c r="L12" s="99">
        <f t="shared" si="6"/>
        <v>400000</v>
      </c>
      <c r="M12" s="98">
        <f t="shared" si="6"/>
        <v>0</v>
      </c>
      <c r="N12" s="99">
        <f t="shared" si="6"/>
        <v>0</v>
      </c>
      <c r="O12" s="99">
        <f t="shared" si="6"/>
        <v>0</v>
      </c>
      <c r="P12" s="98" t="e">
        <f t="shared" si="6"/>
        <v>#REF!</v>
      </c>
      <c r="Q12" s="99" t="e">
        <f t="shared" si="6"/>
        <v>#REF!</v>
      </c>
      <c r="R12" s="100" t="e">
        <f t="shared" si="6"/>
        <v>#REF!</v>
      </c>
      <c r="S12" s="142">
        <f t="shared" si="6"/>
        <v>0</v>
      </c>
      <c r="T12" s="143">
        <f t="shared" si="6"/>
        <v>0</v>
      </c>
      <c r="U12" s="144">
        <f t="shared" si="6"/>
        <v>0</v>
      </c>
      <c r="V12" s="104" t="e">
        <f t="shared" si="6"/>
        <v>#REF!</v>
      </c>
      <c r="W12" s="99" t="e">
        <f t="shared" si="6"/>
        <v>#REF!</v>
      </c>
      <c r="X12" s="99" t="e">
        <f t="shared" si="6"/>
        <v>#REF!</v>
      </c>
      <c r="Y12" s="98" t="e">
        <f t="shared" si="5"/>
        <v>#REF!</v>
      </c>
      <c r="Z12" s="99" t="e">
        <f t="shared" si="5"/>
        <v>#REF!</v>
      </c>
      <c r="AA12" s="99" t="e">
        <f t="shared" si="5"/>
        <v>#REF!</v>
      </c>
      <c r="AB12" s="98">
        <v>0</v>
      </c>
      <c r="AC12" s="99">
        <v>0</v>
      </c>
      <c r="AD12" s="99">
        <v>0</v>
      </c>
      <c r="AE12" s="209"/>
    </row>
    <row r="13" spans="1:31" ht="60" customHeight="1" thickBot="1" x14ac:dyDescent="0.3">
      <c r="B13" s="284" t="s">
        <v>366</v>
      </c>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6"/>
    </row>
    <row r="14" spans="1:31" ht="261.75" customHeight="1" x14ac:dyDescent="0.25">
      <c r="A14" s="6"/>
      <c r="B14" s="31">
        <v>2</v>
      </c>
      <c r="C14" s="287"/>
      <c r="D14" s="44">
        <v>11007</v>
      </c>
      <c r="E14" s="29" t="s">
        <v>140</v>
      </c>
      <c r="F14" s="54" t="s">
        <v>104</v>
      </c>
      <c r="G14" s="54" t="s">
        <v>123</v>
      </c>
      <c r="H14" s="48" t="s">
        <v>65</v>
      </c>
      <c r="I14" s="74" t="s">
        <v>312</v>
      </c>
      <c r="J14" s="22">
        <f t="shared" si="0"/>
        <v>44825.200000000004</v>
      </c>
      <c r="K14" s="19">
        <v>37354.300000000003</v>
      </c>
      <c r="L14" s="19">
        <v>7470.9</v>
      </c>
      <c r="M14" s="20">
        <f t="shared" si="1"/>
        <v>104495.5</v>
      </c>
      <c r="N14" s="19">
        <f>37354.3+39510.5+42.5</f>
        <v>76907.3</v>
      </c>
      <c r="O14" s="19">
        <f>7470.9+14328+5789.3</f>
        <v>27588.2</v>
      </c>
      <c r="P14" s="20">
        <f t="shared" ref="P14" si="7">Q14+R14</f>
        <v>98663.700000000012</v>
      </c>
      <c r="Q14" s="19">
        <f>37354.3+39510.5</f>
        <v>76864.800000000003</v>
      </c>
      <c r="R14" s="201">
        <f>7470.9+14328</f>
        <v>21798.9</v>
      </c>
      <c r="S14" s="222">
        <f>T14+U14</f>
        <v>102064.70000000001</v>
      </c>
      <c r="T14" s="223">
        <v>74581.3</v>
      </c>
      <c r="U14" s="224">
        <v>27483.4</v>
      </c>
      <c r="V14" s="67">
        <f t="shared" si="4"/>
        <v>102064.70000000001</v>
      </c>
      <c r="W14" s="19">
        <v>74581.3</v>
      </c>
      <c r="X14" s="19">
        <v>27483.4</v>
      </c>
      <c r="Y14" s="22">
        <f t="shared" si="5"/>
        <v>103.44706310426226</v>
      </c>
      <c r="Z14" s="23">
        <f t="shared" si="5"/>
        <v>97.029199321405898</v>
      </c>
      <c r="AA14" s="23">
        <f t="shared" si="5"/>
        <v>126.07700388551714</v>
      </c>
      <c r="AB14" s="22">
        <f t="shared" ref="AB10:AD19" si="8">S14/M14*100</f>
        <v>97.673775425736039</v>
      </c>
      <c r="AC14" s="23">
        <f t="shared" si="8"/>
        <v>96.975579691394714</v>
      </c>
      <c r="AD14" s="23">
        <f t="shared" si="8"/>
        <v>99.620127445792036</v>
      </c>
      <c r="AE14" s="248" t="s">
        <v>329</v>
      </c>
    </row>
    <row r="15" spans="1:31" ht="406.5" customHeight="1" x14ac:dyDescent="0.25">
      <c r="B15" s="31">
        <v>3</v>
      </c>
      <c r="C15" s="287"/>
      <c r="D15" s="36">
        <v>11009</v>
      </c>
      <c r="E15" s="29" t="s">
        <v>219</v>
      </c>
      <c r="F15" s="46" t="s">
        <v>226</v>
      </c>
      <c r="G15" s="79" t="s">
        <v>220</v>
      </c>
      <c r="H15" s="234" t="s">
        <v>221</v>
      </c>
      <c r="I15" s="45" t="s">
        <v>248</v>
      </c>
      <c r="J15" s="16">
        <f t="shared" si="0"/>
        <v>0</v>
      </c>
      <c r="K15" s="23">
        <v>0</v>
      </c>
      <c r="L15" s="23">
        <v>0</v>
      </c>
      <c r="M15" s="20">
        <f t="shared" si="1"/>
        <v>41484</v>
      </c>
      <c r="N15" s="19">
        <v>29569.599999999999</v>
      </c>
      <c r="O15" s="19">
        <v>11914.4</v>
      </c>
      <c r="P15" s="20">
        <f t="shared" si="2"/>
        <v>41484</v>
      </c>
      <c r="Q15" s="19">
        <v>29569.599999999999</v>
      </c>
      <c r="R15" s="66">
        <v>11914.4</v>
      </c>
      <c r="S15" s="225">
        <f t="shared" si="3"/>
        <v>39160.65</v>
      </c>
      <c r="T15" s="254">
        <v>27892.65</v>
      </c>
      <c r="U15" s="255">
        <v>11268</v>
      </c>
      <c r="V15" s="21">
        <f t="shared" si="4"/>
        <v>39160.699999999997</v>
      </c>
      <c r="W15" s="19">
        <v>27892.7</v>
      </c>
      <c r="X15" s="23">
        <v>11268</v>
      </c>
      <c r="Y15" s="16">
        <f t="shared" si="5"/>
        <v>94.399407000289273</v>
      </c>
      <c r="Z15" s="17">
        <f t="shared" si="5"/>
        <v>94.328803906715024</v>
      </c>
      <c r="AA15" s="17">
        <f t="shared" si="5"/>
        <v>94.574632377627083</v>
      </c>
      <c r="AB15" s="16">
        <f t="shared" si="8"/>
        <v>94.399407000289273</v>
      </c>
      <c r="AC15" s="23">
        <f t="shared" si="8"/>
        <v>94.328803906715024</v>
      </c>
      <c r="AD15" s="17">
        <f t="shared" si="8"/>
        <v>94.574632377627083</v>
      </c>
      <c r="AE15" s="235" t="s">
        <v>330</v>
      </c>
    </row>
    <row r="16" spans="1:31" ht="327" customHeight="1" thickBot="1" x14ac:dyDescent="0.3">
      <c r="B16" s="78">
        <v>4</v>
      </c>
      <c r="C16" s="287"/>
      <c r="D16" s="36">
        <v>11011</v>
      </c>
      <c r="E16" s="29" t="s">
        <v>227</v>
      </c>
      <c r="F16" s="193" t="s">
        <v>225</v>
      </c>
      <c r="G16" s="79" t="s">
        <v>241</v>
      </c>
      <c r="H16" s="234" t="s">
        <v>243</v>
      </c>
      <c r="I16" s="79" t="s">
        <v>244</v>
      </c>
      <c r="J16" s="16">
        <f t="shared" si="0"/>
        <v>0</v>
      </c>
      <c r="K16" s="17">
        <v>0</v>
      </c>
      <c r="L16" s="17">
        <v>0</v>
      </c>
      <c r="M16" s="18">
        <f t="shared" si="1"/>
        <v>5330.3</v>
      </c>
      <c r="N16" s="68">
        <v>5330.3</v>
      </c>
      <c r="O16" s="68">
        <v>0</v>
      </c>
      <c r="P16" s="18">
        <f t="shared" si="2"/>
        <v>5330.3</v>
      </c>
      <c r="Q16" s="68">
        <v>5330.3</v>
      </c>
      <c r="R16" s="69">
        <v>0</v>
      </c>
      <c r="S16" s="225">
        <f t="shared" si="3"/>
        <v>5027.97</v>
      </c>
      <c r="T16" s="217">
        <v>5027.97</v>
      </c>
      <c r="U16" s="218">
        <v>0</v>
      </c>
      <c r="V16" s="21">
        <f t="shared" si="4"/>
        <v>5027.97</v>
      </c>
      <c r="W16" s="17">
        <v>5027.97</v>
      </c>
      <c r="X16" s="17">
        <v>0</v>
      </c>
      <c r="Y16" s="16">
        <f t="shared" si="5"/>
        <v>94.328086599253325</v>
      </c>
      <c r="Z16" s="17">
        <f t="shared" si="5"/>
        <v>94.328086599253325</v>
      </c>
      <c r="AA16" s="17" t="e">
        <f t="shared" si="5"/>
        <v>#DIV/0!</v>
      </c>
      <c r="AB16" s="16">
        <f t="shared" si="8"/>
        <v>94.328086599253325</v>
      </c>
      <c r="AC16" s="17">
        <f t="shared" si="8"/>
        <v>94.328086599253325</v>
      </c>
      <c r="AD16" s="17">
        <v>0</v>
      </c>
      <c r="AE16" s="235" t="s">
        <v>264</v>
      </c>
    </row>
    <row r="17" spans="2:31" ht="132" customHeight="1" x14ac:dyDescent="0.3">
      <c r="B17" s="278" t="s">
        <v>18</v>
      </c>
      <c r="C17" s="279"/>
      <c r="D17" s="279"/>
      <c r="E17" s="279"/>
      <c r="F17" s="279"/>
      <c r="G17" s="279"/>
      <c r="H17" s="279"/>
      <c r="I17" s="279"/>
      <c r="J17" s="80">
        <f>SUM(J14:J16)</f>
        <v>44825.200000000004</v>
      </c>
      <c r="K17" s="81">
        <f>SUM(K14:K16)</f>
        <v>37354.300000000003</v>
      </c>
      <c r="L17" s="81">
        <f>SUM(L14:L16)</f>
        <v>7470.9</v>
      </c>
      <c r="M17" s="80">
        <f>SUM(M14:M16)</f>
        <v>151309.79999999999</v>
      </c>
      <c r="N17" s="81">
        <f>SUM(N14:N16)</f>
        <v>111807.2</v>
      </c>
      <c r="O17" s="81">
        <f>SUM(O14:O16)</f>
        <v>39502.6</v>
      </c>
      <c r="P17" s="80">
        <f>SUM(P14:P16)</f>
        <v>145478</v>
      </c>
      <c r="Q17" s="81">
        <f>SUM(Q14:Q16)</f>
        <v>111764.7</v>
      </c>
      <c r="R17" s="90">
        <f>SUM(R14:R16)</f>
        <v>33713.300000000003</v>
      </c>
      <c r="S17" s="133">
        <f>SUM(S14:S16)</f>
        <v>146253.32</v>
      </c>
      <c r="T17" s="134">
        <f>SUM(T14:T16)</f>
        <v>107501.92000000001</v>
      </c>
      <c r="U17" s="135">
        <f>SUM(U14:U16)</f>
        <v>38751.4</v>
      </c>
      <c r="V17" s="94">
        <f>SUM(V14:V16)</f>
        <v>146253.37000000002</v>
      </c>
      <c r="W17" s="81">
        <f>SUM(W14:W16)</f>
        <v>107501.97</v>
      </c>
      <c r="X17" s="81">
        <f>SUM(X14:X16)</f>
        <v>38751.4</v>
      </c>
      <c r="Y17" s="80">
        <f t="shared" si="5"/>
        <v>100.53294656236682</v>
      </c>
      <c r="Z17" s="81">
        <f t="shared" si="5"/>
        <v>96.185933483470194</v>
      </c>
      <c r="AA17" s="81">
        <f t="shared" si="5"/>
        <v>114.94395386983771</v>
      </c>
      <c r="AB17" s="80">
        <f t="shared" si="8"/>
        <v>96.658193983469687</v>
      </c>
      <c r="AC17" s="81">
        <f t="shared" si="8"/>
        <v>96.149371417940898</v>
      </c>
      <c r="AD17" s="14">
        <f t="shared" si="8"/>
        <v>98.098353019801237</v>
      </c>
      <c r="AE17" s="204"/>
    </row>
    <row r="18" spans="2:31" ht="135" customHeight="1" x14ac:dyDescent="0.3">
      <c r="B18" s="280" t="s">
        <v>15</v>
      </c>
      <c r="C18" s="281"/>
      <c r="D18" s="281"/>
      <c r="E18" s="281"/>
      <c r="F18" s="281"/>
      <c r="G18" s="281"/>
      <c r="H18" s="281"/>
      <c r="I18" s="281"/>
      <c r="J18" s="82">
        <f>J14+J15+J16</f>
        <v>44825.200000000004</v>
      </c>
      <c r="K18" s="83">
        <f>K14+K15+K16</f>
        <v>37354.300000000003</v>
      </c>
      <c r="L18" s="83">
        <f>L14+L15+L16</f>
        <v>7470.9</v>
      </c>
      <c r="M18" s="82">
        <f>M14+M15+M16</f>
        <v>151309.79999999999</v>
      </c>
      <c r="N18" s="83">
        <f>N14+N15+N16</f>
        <v>111807.2</v>
      </c>
      <c r="O18" s="83">
        <f>O14+O15+O16</f>
        <v>39502.6</v>
      </c>
      <c r="P18" s="82" t="e">
        <f>#REF!+#REF!+P14+P15+P16</f>
        <v>#REF!</v>
      </c>
      <c r="Q18" s="83" t="e">
        <f>#REF!+#REF!+Q14+Q15+Q16</f>
        <v>#REF!</v>
      </c>
      <c r="R18" s="85" t="e">
        <f>#REF!+#REF!+R14+R15+R16</f>
        <v>#REF!</v>
      </c>
      <c r="S18" s="138">
        <f>S14+S15+S16</f>
        <v>146253.32</v>
      </c>
      <c r="T18" s="139">
        <f>T14+T15+T16</f>
        <v>107501.92000000001</v>
      </c>
      <c r="U18" s="140">
        <f>U14+U15+U16</f>
        <v>38751.4</v>
      </c>
      <c r="V18" s="84" t="e">
        <f>#REF!+#REF!+V14+V15+V16</f>
        <v>#REF!</v>
      </c>
      <c r="W18" s="83" t="e">
        <f>#REF!+#REF!+W14+W15+W16</f>
        <v>#REF!</v>
      </c>
      <c r="X18" s="83" t="e">
        <f>#REF!+#REF!+X14+X15+X16</f>
        <v>#REF!</v>
      </c>
      <c r="Y18" s="82" t="e">
        <f t="shared" si="5"/>
        <v>#REF!</v>
      </c>
      <c r="Z18" s="83" t="e">
        <f t="shared" si="5"/>
        <v>#REF!</v>
      </c>
      <c r="AA18" s="83" t="e">
        <f t="shared" si="5"/>
        <v>#REF!</v>
      </c>
      <c r="AB18" s="82">
        <f t="shared" si="8"/>
        <v>96.658193983469687</v>
      </c>
      <c r="AC18" s="83">
        <f t="shared" si="8"/>
        <v>96.149371417940898</v>
      </c>
      <c r="AD18" s="23">
        <f t="shared" si="8"/>
        <v>98.098353019801237</v>
      </c>
      <c r="AE18" s="208"/>
    </row>
    <row r="19" spans="2:31" ht="85.5" customHeight="1" thickBot="1" x14ac:dyDescent="0.35">
      <c r="B19" s="282" t="s">
        <v>16</v>
      </c>
      <c r="C19" s="283"/>
      <c r="D19" s="283"/>
      <c r="E19" s="283"/>
      <c r="F19" s="283"/>
      <c r="G19" s="283"/>
      <c r="H19" s="283"/>
      <c r="I19" s="283"/>
      <c r="J19" s="98">
        <f>J17-J18</f>
        <v>0</v>
      </c>
      <c r="K19" s="99">
        <f t="shared" ref="K19:X19" si="9">K17-K18</f>
        <v>0</v>
      </c>
      <c r="L19" s="99">
        <f t="shared" si="9"/>
        <v>0</v>
      </c>
      <c r="M19" s="98">
        <f t="shared" si="9"/>
        <v>0</v>
      </c>
      <c r="N19" s="99">
        <f t="shared" si="9"/>
        <v>0</v>
      </c>
      <c r="O19" s="99">
        <f t="shared" si="9"/>
        <v>0</v>
      </c>
      <c r="P19" s="98" t="e">
        <f t="shared" si="9"/>
        <v>#REF!</v>
      </c>
      <c r="Q19" s="99" t="e">
        <f t="shared" si="9"/>
        <v>#REF!</v>
      </c>
      <c r="R19" s="100" t="e">
        <f t="shared" si="9"/>
        <v>#REF!</v>
      </c>
      <c r="S19" s="142">
        <f t="shared" si="9"/>
        <v>0</v>
      </c>
      <c r="T19" s="143">
        <f t="shared" si="9"/>
        <v>0</v>
      </c>
      <c r="U19" s="144">
        <f t="shared" si="9"/>
        <v>0</v>
      </c>
      <c r="V19" s="104" t="e">
        <f t="shared" si="9"/>
        <v>#REF!</v>
      </c>
      <c r="W19" s="99" t="e">
        <f t="shared" si="9"/>
        <v>#REF!</v>
      </c>
      <c r="X19" s="99" t="e">
        <f t="shared" si="9"/>
        <v>#REF!</v>
      </c>
      <c r="Y19" s="98" t="e">
        <f t="shared" si="5"/>
        <v>#REF!</v>
      </c>
      <c r="Z19" s="99" t="e">
        <f t="shared" si="5"/>
        <v>#REF!</v>
      </c>
      <c r="AA19" s="99" t="e">
        <f t="shared" si="5"/>
        <v>#REF!</v>
      </c>
      <c r="AB19" s="98">
        <v>0</v>
      </c>
      <c r="AC19" s="99">
        <v>0</v>
      </c>
      <c r="AD19" s="25">
        <v>0</v>
      </c>
      <c r="AE19" s="209"/>
    </row>
    <row r="20" spans="2:31" ht="20.25" x14ac:dyDescent="0.35">
      <c r="B20" s="3"/>
      <c r="C20" s="3"/>
      <c r="D20" s="3"/>
      <c r="E20" s="3"/>
      <c r="F20" s="3"/>
      <c r="G20" s="3"/>
      <c r="H20" s="3"/>
      <c r="I20" s="3"/>
      <c r="J20" s="7"/>
      <c r="K20" s="1"/>
      <c r="L20" s="1"/>
      <c r="M20" s="7"/>
      <c r="N20" s="1"/>
      <c r="O20" s="1"/>
      <c r="P20" s="7"/>
      <c r="Q20" s="1"/>
      <c r="R20" s="1"/>
      <c r="S20" s="1"/>
      <c r="T20" s="1"/>
      <c r="U20" s="1"/>
      <c r="V20" s="7"/>
      <c r="W20" s="1"/>
      <c r="X20" s="1"/>
      <c r="Y20" s="7"/>
      <c r="Z20" s="1"/>
      <c r="AA20" s="1"/>
      <c r="AB20" s="7"/>
      <c r="AC20" s="1"/>
      <c r="AD20" s="1"/>
      <c r="AE20" s="3"/>
    </row>
    <row r="21" spans="2:31" ht="20.25" x14ac:dyDescent="0.35">
      <c r="B21" s="299"/>
      <c r="C21" s="299"/>
      <c r="D21" s="299"/>
      <c r="E21" s="299"/>
      <c r="F21" s="299"/>
      <c r="G21" s="299"/>
      <c r="H21" s="299"/>
      <c r="I21" s="299"/>
      <c r="J21" s="7"/>
      <c r="K21" s="1"/>
      <c r="L21" s="1"/>
      <c r="M21" s="7"/>
      <c r="N21" s="1"/>
      <c r="O21" s="1"/>
      <c r="P21" s="7"/>
      <c r="Q21" s="1"/>
      <c r="R21" s="1"/>
      <c r="S21" s="1"/>
      <c r="T21" s="1"/>
      <c r="U21" s="1"/>
      <c r="V21" s="7"/>
      <c r="W21" s="1"/>
      <c r="X21" s="1"/>
      <c r="Y21" s="7"/>
      <c r="Z21" s="1"/>
      <c r="AA21" s="1"/>
      <c r="AB21" s="7"/>
      <c r="AC21" s="1"/>
      <c r="AD21" s="1"/>
      <c r="AE21" s="3"/>
    </row>
  </sheetData>
  <mergeCells count="30">
    <mergeCell ref="B17:I17"/>
    <mergeCell ref="B18:I18"/>
    <mergeCell ref="B19:I19"/>
    <mergeCell ref="B21:I21"/>
    <mergeCell ref="B10:I10"/>
    <mergeCell ref="B11:I11"/>
    <mergeCell ref="B12:I12"/>
    <mergeCell ref="B13:AE13"/>
    <mergeCell ref="C14:C16"/>
    <mergeCell ref="B8:AE8"/>
    <mergeCell ref="V6:X6"/>
    <mergeCell ref="Y6:AA6"/>
    <mergeCell ref="AB6:AD6"/>
    <mergeCell ref="AE6:AE7"/>
    <mergeCell ref="H6:H7"/>
    <mergeCell ref="I6:I7"/>
    <mergeCell ref="J6:L6"/>
    <mergeCell ref="M6:O6"/>
    <mergeCell ref="P6:R6"/>
    <mergeCell ref="S6:U6"/>
    <mergeCell ref="B1:AE1"/>
    <mergeCell ref="B2:AE3"/>
    <mergeCell ref="B4:AE4"/>
    <mergeCell ref="B5:AE5"/>
    <mergeCell ref="B6:B7"/>
    <mergeCell ref="C6:C7"/>
    <mergeCell ref="D6:D7"/>
    <mergeCell ref="E6:E7"/>
    <mergeCell ref="F6:F7"/>
    <mergeCell ref="G6:G7"/>
  </mergeCells>
  <pageMargins left="0.16" right="0.16" top="0.23" bottom="0.16" header="0.23" footer="0.16"/>
  <pageSetup scale="31" orientation="landscape" r:id="rId1"/>
  <rowBreaks count="1" manualBreakCount="1">
    <brk id="12" min="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C0466-5910-4362-8633-49674EE87F6A}">
  <dimension ref="B1:AE25"/>
  <sheetViews>
    <sheetView view="pageBreakPreview" zoomScale="60" zoomScaleNormal="60" workbookViewId="0">
      <selection activeCell="B21" sqref="B21:I21"/>
    </sheetView>
  </sheetViews>
  <sheetFormatPr defaultRowHeight="18.75" x14ac:dyDescent="0.3"/>
  <cols>
    <col min="1" max="1" width="0.28515625" customWidth="1"/>
    <col min="2" max="2" width="6.28515625" style="4" customWidth="1"/>
    <col min="3" max="3" width="9" style="4" customWidth="1"/>
    <col min="4" max="4" width="11.7109375" style="4" customWidth="1"/>
    <col min="5" max="5" width="32.140625" style="4" customWidth="1"/>
    <col min="6" max="6" width="20.85546875" style="4" customWidth="1"/>
    <col min="7" max="7" width="26.85546875" style="4" customWidth="1"/>
    <col min="8" max="8" width="58" style="4" customWidth="1"/>
    <col min="9" max="9" width="122.5703125" style="4" customWidth="1"/>
    <col min="10" max="10" width="5" style="8" customWidth="1"/>
    <col min="11" max="12" width="4.7109375" style="2" customWidth="1"/>
    <col min="13" max="13" width="4.7109375" style="8" customWidth="1"/>
    <col min="14" max="15" width="4.7109375" style="2" customWidth="1"/>
    <col min="16" max="16" width="4.7109375" style="8" hidden="1" customWidth="1"/>
    <col min="17" max="18" width="4.7109375" style="2" hidden="1" customWidth="1"/>
    <col min="19" max="21" width="4.7109375" style="2" customWidth="1"/>
    <col min="22" max="22" width="4.7109375" style="8" hidden="1" customWidth="1"/>
    <col min="23" max="24" width="4.7109375" style="2" hidden="1" customWidth="1"/>
    <col min="25" max="25" width="4.7109375" style="8" hidden="1" customWidth="1"/>
    <col min="26" max="27" width="4.7109375" style="2" hidden="1" customWidth="1"/>
    <col min="28" max="28" width="4.5703125" style="8" customWidth="1"/>
    <col min="29" max="30" width="4.5703125" style="2" customWidth="1"/>
    <col min="31" max="31" width="84.28515625" style="4" customWidth="1"/>
    <col min="32" max="53" width="5.7109375" customWidth="1"/>
  </cols>
  <sheetData>
    <row r="1" spans="2:31" ht="51" x14ac:dyDescent="0.25">
      <c r="B1" s="367" t="s">
        <v>0</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row>
    <row r="2" spans="2:31" ht="24.75" customHeight="1" x14ac:dyDescent="0.25">
      <c r="B2" s="368" t="s">
        <v>1</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row>
    <row r="3" spans="2:31" ht="24" customHeight="1" x14ac:dyDescent="0.25">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row>
    <row r="4" spans="2:31" ht="29.25" customHeight="1" x14ac:dyDescent="0.25">
      <c r="B4" s="368" t="s">
        <v>311</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row>
    <row r="5" spans="2:31" ht="17.25" thickBot="1" x14ac:dyDescent="0.35">
      <c r="B5" s="369" t="s">
        <v>231</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row>
    <row r="6" spans="2:31" ht="224.25" customHeight="1" x14ac:dyDescent="0.25">
      <c r="B6" s="370" t="s">
        <v>2</v>
      </c>
      <c r="C6" s="372" t="s">
        <v>3</v>
      </c>
      <c r="D6" s="372" t="s">
        <v>4</v>
      </c>
      <c r="E6" s="360" t="s">
        <v>5</v>
      </c>
      <c r="F6" s="360" t="s">
        <v>6</v>
      </c>
      <c r="G6" s="360" t="s">
        <v>7</v>
      </c>
      <c r="H6" s="360" t="s">
        <v>8</v>
      </c>
      <c r="I6" s="362" t="s">
        <v>9</v>
      </c>
      <c r="J6" s="360" t="s">
        <v>128</v>
      </c>
      <c r="K6" s="360"/>
      <c r="L6" s="360"/>
      <c r="M6" s="360" t="s">
        <v>174</v>
      </c>
      <c r="N6" s="360"/>
      <c r="O6" s="360"/>
      <c r="P6" s="360" t="s">
        <v>238</v>
      </c>
      <c r="Q6" s="360"/>
      <c r="R6" s="360"/>
      <c r="S6" s="364" t="s">
        <v>129</v>
      </c>
      <c r="T6" s="360"/>
      <c r="U6" s="365"/>
      <c r="V6" s="374" t="s">
        <v>130</v>
      </c>
      <c r="W6" s="360"/>
      <c r="X6" s="360"/>
      <c r="Y6" s="360" t="s">
        <v>239</v>
      </c>
      <c r="Z6" s="360"/>
      <c r="AA6" s="360"/>
      <c r="AB6" s="360" t="s">
        <v>131</v>
      </c>
      <c r="AC6" s="360"/>
      <c r="AD6" s="360"/>
      <c r="AE6" s="365" t="s">
        <v>10</v>
      </c>
    </row>
    <row r="7" spans="2:31" ht="162" customHeight="1" thickBot="1" x14ac:dyDescent="0.3">
      <c r="B7" s="371"/>
      <c r="C7" s="373"/>
      <c r="D7" s="373"/>
      <c r="E7" s="361"/>
      <c r="F7" s="361"/>
      <c r="G7" s="361"/>
      <c r="H7" s="361"/>
      <c r="I7" s="363"/>
      <c r="J7" s="9" t="s">
        <v>11</v>
      </c>
      <c r="K7" s="9" t="s">
        <v>12</v>
      </c>
      <c r="L7" s="9" t="s">
        <v>13</v>
      </c>
      <c r="M7" s="9" t="s">
        <v>11</v>
      </c>
      <c r="N7" s="9" t="s">
        <v>12</v>
      </c>
      <c r="O7" s="9" t="s">
        <v>13</v>
      </c>
      <c r="P7" s="9" t="s">
        <v>11</v>
      </c>
      <c r="Q7" s="9" t="s">
        <v>12</v>
      </c>
      <c r="R7" s="10" t="s">
        <v>13</v>
      </c>
      <c r="S7" s="11" t="s">
        <v>11</v>
      </c>
      <c r="T7" s="9" t="s">
        <v>12</v>
      </c>
      <c r="U7" s="13" t="s">
        <v>13</v>
      </c>
      <c r="V7" s="12" t="s">
        <v>11</v>
      </c>
      <c r="W7" s="9" t="s">
        <v>12</v>
      </c>
      <c r="X7" s="9" t="s">
        <v>13</v>
      </c>
      <c r="Y7" s="9" t="s">
        <v>11</v>
      </c>
      <c r="Z7" s="9" t="s">
        <v>12</v>
      </c>
      <c r="AA7" s="9" t="s">
        <v>13</v>
      </c>
      <c r="AB7" s="9" t="s">
        <v>11</v>
      </c>
      <c r="AC7" s="9" t="s">
        <v>12</v>
      </c>
      <c r="AD7" s="9" t="s">
        <v>13</v>
      </c>
      <c r="AE7" s="375"/>
    </row>
    <row r="8" spans="2:31" ht="50.25" customHeight="1" thickBot="1" x14ac:dyDescent="0.3">
      <c r="B8" s="284" t="s">
        <v>249</v>
      </c>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6"/>
    </row>
    <row r="9" spans="2:31" ht="409.5" customHeight="1" x14ac:dyDescent="0.25">
      <c r="B9" s="118">
        <v>1</v>
      </c>
      <c r="C9" s="287">
        <v>1167</v>
      </c>
      <c r="D9" s="119">
        <v>42003</v>
      </c>
      <c r="E9" s="40" t="s">
        <v>47</v>
      </c>
      <c r="F9" s="41" t="s">
        <v>95</v>
      </c>
      <c r="G9" s="124" t="s">
        <v>194</v>
      </c>
      <c r="H9" s="42" t="s">
        <v>193</v>
      </c>
      <c r="I9" s="42" t="s">
        <v>314</v>
      </c>
      <c r="J9" s="64">
        <f t="shared" ref="J9:J14" si="0">K9+L9</f>
        <v>1026998.3</v>
      </c>
      <c r="K9" s="61">
        <v>862593.5</v>
      </c>
      <c r="L9" s="15">
        <v>164404.79999999999</v>
      </c>
      <c r="M9" s="62">
        <f t="shared" ref="M9:M14" si="1">N9+O9</f>
        <v>16316.299999999974</v>
      </c>
      <c r="N9" s="15">
        <f>862593.5-850330.9</f>
        <v>12262.599999999977</v>
      </c>
      <c r="O9" s="15">
        <f>164404.8-76389.7-83961.4</f>
        <v>4053.6999999999971</v>
      </c>
      <c r="P9" s="15">
        <f t="shared" ref="P9:P14" si="2">Q9+R9</f>
        <v>16316.3</v>
      </c>
      <c r="Q9" s="15">
        <f>966.1+11296.5</f>
        <v>12262.6</v>
      </c>
      <c r="R9" s="203">
        <f>0+4053.7</f>
        <v>4053.7</v>
      </c>
      <c r="S9" s="259">
        <f t="shared" ref="S9:S14" si="3">T9+U9</f>
        <v>15827.4</v>
      </c>
      <c r="T9" s="260">
        <v>11905.4</v>
      </c>
      <c r="U9" s="261">
        <v>3922</v>
      </c>
      <c r="V9" s="131">
        <f t="shared" ref="V9:V14" si="4">W9+X9</f>
        <v>15827.4</v>
      </c>
      <c r="W9" s="15">
        <v>11905.4</v>
      </c>
      <c r="X9" s="61">
        <v>3922</v>
      </c>
      <c r="Y9" s="62">
        <f t="shared" ref="Y9:AA10" si="5">S9/P9*100</f>
        <v>97.003609887045471</v>
      </c>
      <c r="Z9" s="15">
        <f t="shared" si="5"/>
        <v>97.087077781220941</v>
      </c>
      <c r="AA9" s="15">
        <f t="shared" si="5"/>
        <v>96.751116264153737</v>
      </c>
      <c r="AB9" s="62">
        <f t="shared" ref="AB9:AD10" si="6">S9/M9*100</f>
        <v>97.003609887045627</v>
      </c>
      <c r="AC9" s="15">
        <f t="shared" si="6"/>
        <v>97.087077781221126</v>
      </c>
      <c r="AD9" s="65">
        <f t="shared" si="6"/>
        <v>96.751116264153808</v>
      </c>
      <c r="AE9" s="251" t="s">
        <v>275</v>
      </c>
    </row>
    <row r="10" spans="2:31" ht="366" customHeight="1" x14ac:dyDescent="0.25">
      <c r="B10" s="43">
        <v>2</v>
      </c>
      <c r="C10" s="287"/>
      <c r="D10" s="112">
        <v>42005</v>
      </c>
      <c r="E10" s="29" t="s">
        <v>48</v>
      </c>
      <c r="F10" s="70" t="s">
        <v>96</v>
      </c>
      <c r="G10" s="53" t="s">
        <v>183</v>
      </c>
      <c r="H10" s="47" t="s">
        <v>195</v>
      </c>
      <c r="I10" s="47" t="s">
        <v>315</v>
      </c>
      <c r="J10" s="22">
        <f t="shared" si="0"/>
        <v>1945151.4000000001</v>
      </c>
      <c r="K10" s="19">
        <v>1556121.1</v>
      </c>
      <c r="L10" s="19">
        <v>389030.3</v>
      </c>
      <c r="M10" s="20">
        <f t="shared" si="1"/>
        <v>1945151.4000000001</v>
      </c>
      <c r="N10" s="19">
        <v>1556121.1</v>
      </c>
      <c r="O10" s="19">
        <v>389030.3</v>
      </c>
      <c r="P10" s="19">
        <f t="shared" si="2"/>
        <v>1719247.6999999997</v>
      </c>
      <c r="Q10" s="19">
        <f>1447246.4-11296.5-50937.6</f>
        <v>1385012.2999999998</v>
      </c>
      <c r="R10" s="201">
        <f>351023.5-4053.7-12734.4</f>
        <v>334235.39999999997</v>
      </c>
      <c r="S10" s="222">
        <f t="shared" si="3"/>
        <v>1522001.1</v>
      </c>
      <c r="T10" s="223">
        <v>1222075</v>
      </c>
      <c r="U10" s="224">
        <v>299926.09999999998</v>
      </c>
      <c r="V10" s="131">
        <f t="shared" si="4"/>
        <v>1522001.1</v>
      </c>
      <c r="W10" s="15">
        <v>1222075</v>
      </c>
      <c r="X10" s="19">
        <v>299926.09999999998</v>
      </c>
      <c r="Y10" s="20">
        <f t="shared" si="5"/>
        <v>88.527156383574066</v>
      </c>
      <c r="Z10" s="19">
        <f t="shared" si="5"/>
        <v>88.235678484588192</v>
      </c>
      <c r="AA10" s="19">
        <f t="shared" si="5"/>
        <v>89.734989172301908</v>
      </c>
      <c r="AB10" s="20">
        <f t="shared" si="6"/>
        <v>78.245893867181749</v>
      </c>
      <c r="AC10" s="19">
        <f t="shared" si="6"/>
        <v>78.533412341751557</v>
      </c>
      <c r="AD10" s="23">
        <f t="shared" si="6"/>
        <v>77.095820042809009</v>
      </c>
      <c r="AE10" s="191" t="s">
        <v>350</v>
      </c>
    </row>
    <row r="11" spans="2:31" ht="372.75" customHeight="1" x14ac:dyDescent="0.25">
      <c r="B11" s="43">
        <v>3</v>
      </c>
      <c r="C11" s="287"/>
      <c r="D11" s="112">
        <v>42008</v>
      </c>
      <c r="E11" s="45" t="s">
        <v>49</v>
      </c>
      <c r="F11" s="46" t="s">
        <v>108</v>
      </c>
      <c r="G11" s="53" t="s">
        <v>109</v>
      </c>
      <c r="H11" s="293" t="s">
        <v>99</v>
      </c>
      <c r="I11" s="293" t="s">
        <v>316</v>
      </c>
      <c r="J11" s="22">
        <f t="shared" si="0"/>
        <v>21055477.600000001</v>
      </c>
      <c r="K11" s="19">
        <v>21027663</v>
      </c>
      <c r="L11" s="19">
        <v>27814.6</v>
      </c>
      <c r="M11" s="20">
        <f t="shared" si="1"/>
        <v>139072.99999999852</v>
      </c>
      <c r="N11" s="19">
        <f>21027663-20916404.6</f>
        <v>111258.39999999851</v>
      </c>
      <c r="O11" s="19">
        <v>27814.6</v>
      </c>
      <c r="P11" s="19">
        <f t="shared" si="2"/>
        <v>63672</v>
      </c>
      <c r="Q11" s="19">
        <f>0+50937.6</f>
        <v>50937.599999999999</v>
      </c>
      <c r="R11" s="201">
        <f>0+12734.4</f>
        <v>12734.4</v>
      </c>
      <c r="S11" s="222">
        <f t="shared" si="3"/>
        <v>64559.3</v>
      </c>
      <c r="T11" s="223">
        <v>51588.1</v>
      </c>
      <c r="U11" s="224">
        <v>12971.2</v>
      </c>
      <c r="V11" s="67">
        <f t="shared" si="4"/>
        <v>64559.3</v>
      </c>
      <c r="W11" s="205">
        <v>51588.1</v>
      </c>
      <c r="X11" s="19">
        <v>12971.2</v>
      </c>
      <c r="Y11" s="20">
        <f t="shared" ref="Y11:AA17" si="7">S11/P11*100</f>
        <v>101.39354818444528</v>
      </c>
      <c r="Z11" s="19">
        <f t="shared" si="7"/>
        <v>101.27705270762659</v>
      </c>
      <c r="AA11" s="19">
        <f t="shared" si="7"/>
        <v>101.85953009172006</v>
      </c>
      <c r="AB11" s="20">
        <f t="shared" ref="AB11:AD17" si="8">S11/M11*100</f>
        <v>46.421160110158475</v>
      </c>
      <c r="AC11" s="19">
        <f t="shared" si="8"/>
        <v>46.367824811430587</v>
      </c>
      <c r="AD11" s="23">
        <f t="shared" si="8"/>
        <v>46.634501305070003</v>
      </c>
      <c r="AE11" s="320" t="s">
        <v>317</v>
      </c>
    </row>
    <row r="12" spans="2:31" ht="267.75" customHeight="1" x14ac:dyDescent="0.25">
      <c r="B12" s="31">
        <v>4</v>
      </c>
      <c r="C12" s="287"/>
      <c r="D12" s="36">
        <v>11006</v>
      </c>
      <c r="E12" s="40" t="s">
        <v>171</v>
      </c>
      <c r="F12" s="318" t="s">
        <v>97</v>
      </c>
      <c r="G12" s="319" t="s">
        <v>98</v>
      </c>
      <c r="H12" s="293"/>
      <c r="I12" s="293"/>
      <c r="J12" s="22">
        <f t="shared" si="0"/>
        <v>176620.30000000002</v>
      </c>
      <c r="K12" s="68">
        <v>141296.20000000001</v>
      </c>
      <c r="L12" s="19">
        <v>35324.1</v>
      </c>
      <c r="M12" s="20">
        <f t="shared" si="1"/>
        <v>176620.30000000002</v>
      </c>
      <c r="N12" s="19">
        <v>141296.20000000001</v>
      </c>
      <c r="O12" s="19">
        <v>35324.1</v>
      </c>
      <c r="P12" s="19">
        <f t="shared" si="2"/>
        <v>63672</v>
      </c>
      <c r="Q12" s="19">
        <f>0+50937.6</f>
        <v>50937.599999999999</v>
      </c>
      <c r="R12" s="201">
        <f>0+12734.4</f>
        <v>12734.4</v>
      </c>
      <c r="S12" s="222">
        <f t="shared" si="3"/>
        <v>64559.3</v>
      </c>
      <c r="T12" s="223">
        <v>51588.1</v>
      </c>
      <c r="U12" s="224">
        <v>12971.2</v>
      </c>
      <c r="V12" s="67">
        <f t="shared" si="4"/>
        <v>64559.3</v>
      </c>
      <c r="W12" s="68">
        <v>51588.1</v>
      </c>
      <c r="X12" s="68">
        <v>12971.2</v>
      </c>
      <c r="Y12" s="20">
        <f t="shared" si="7"/>
        <v>101.39354818444528</v>
      </c>
      <c r="Z12" s="19">
        <f t="shared" si="7"/>
        <v>101.27705270762659</v>
      </c>
      <c r="AA12" s="19">
        <f t="shared" si="7"/>
        <v>101.85953009172006</v>
      </c>
      <c r="AB12" s="20">
        <f t="shared" si="8"/>
        <v>36.552593331570606</v>
      </c>
      <c r="AC12" s="19">
        <f t="shared" si="8"/>
        <v>36.51060679621957</v>
      </c>
      <c r="AD12" s="23">
        <f t="shared" si="8"/>
        <v>36.720539235252993</v>
      </c>
      <c r="AE12" s="321"/>
    </row>
    <row r="13" spans="2:31" ht="331.5" customHeight="1" x14ac:dyDescent="0.25">
      <c r="B13" s="51">
        <v>5</v>
      </c>
      <c r="C13" s="287"/>
      <c r="D13" s="36">
        <v>32006</v>
      </c>
      <c r="E13" s="29" t="s">
        <v>46</v>
      </c>
      <c r="F13" s="318"/>
      <c r="G13" s="319"/>
      <c r="H13" s="293"/>
      <c r="I13" s="293"/>
      <c r="J13" s="16">
        <f t="shared" si="0"/>
        <v>1082525.8</v>
      </c>
      <c r="K13" s="68">
        <v>1082525.8</v>
      </c>
      <c r="L13" s="19">
        <v>0</v>
      </c>
      <c r="M13" s="20">
        <f t="shared" si="1"/>
        <v>0</v>
      </c>
      <c r="N13" s="19">
        <f>1082525.8-1082525.8</f>
        <v>0</v>
      </c>
      <c r="O13" s="19">
        <f>110000.9-110000.9</f>
        <v>0</v>
      </c>
      <c r="P13" s="19">
        <f t="shared" si="2"/>
        <v>0</v>
      </c>
      <c r="Q13" s="19">
        <v>0</v>
      </c>
      <c r="R13" s="210">
        <v>0</v>
      </c>
      <c r="S13" s="225">
        <f t="shared" si="3"/>
        <v>0</v>
      </c>
      <c r="T13" s="226">
        <v>0</v>
      </c>
      <c r="U13" s="227">
        <v>0</v>
      </c>
      <c r="V13" s="116">
        <f t="shared" si="4"/>
        <v>0</v>
      </c>
      <c r="W13" s="68">
        <v>0</v>
      </c>
      <c r="X13" s="68">
        <v>0</v>
      </c>
      <c r="Y13" s="18" t="e">
        <f t="shared" si="7"/>
        <v>#DIV/0!</v>
      </c>
      <c r="Z13" s="68" t="e">
        <f t="shared" si="7"/>
        <v>#DIV/0!</v>
      </c>
      <c r="AA13" s="68" t="e">
        <f t="shared" si="7"/>
        <v>#DIV/0!</v>
      </c>
      <c r="AB13" s="18">
        <v>0</v>
      </c>
      <c r="AC13" s="68">
        <v>0</v>
      </c>
      <c r="AD13" s="17">
        <v>0</v>
      </c>
      <c r="AE13" s="251" t="s">
        <v>290</v>
      </c>
    </row>
    <row r="14" spans="2:31" ht="409.6" customHeight="1" thickBot="1" x14ac:dyDescent="0.3">
      <c r="B14" s="51">
        <v>6</v>
      </c>
      <c r="C14" s="287"/>
      <c r="D14" s="195">
        <v>42012</v>
      </c>
      <c r="E14" s="29" t="s">
        <v>232</v>
      </c>
      <c r="F14" s="193" t="s">
        <v>310</v>
      </c>
      <c r="G14" s="194" t="s">
        <v>235</v>
      </c>
      <c r="H14" s="34" t="s">
        <v>234</v>
      </c>
      <c r="I14" s="197" t="s">
        <v>309</v>
      </c>
      <c r="J14" s="16">
        <f t="shared" si="0"/>
        <v>21125475</v>
      </c>
      <c r="K14" s="17">
        <v>21125475</v>
      </c>
      <c r="L14" s="17">
        <v>0</v>
      </c>
      <c r="M14" s="18">
        <f t="shared" si="1"/>
        <v>0</v>
      </c>
      <c r="N14" s="68">
        <f>21125475-21125475</f>
        <v>0</v>
      </c>
      <c r="O14" s="68">
        <v>0</v>
      </c>
      <c r="P14" s="18">
        <f t="shared" si="2"/>
        <v>13077275</v>
      </c>
      <c r="Q14" s="68">
        <v>13077275</v>
      </c>
      <c r="R14" s="69">
        <v>0</v>
      </c>
      <c r="S14" s="216">
        <f t="shared" si="3"/>
        <v>0</v>
      </c>
      <c r="T14" s="217">
        <v>0</v>
      </c>
      <c r="U14" s="218">
        <v>0</v>
      </c>
      <c r="V14" s="21">
        <f t="shared" si="4"/>
        <v>0</v>
      </c>
      <c r="W14" s="17">
        <v>0</v>
      </c>
      <c r="X14" s="17">
        <v>0</v>
      </c>
      <c r="Y14" s="16">
        <f t="shared" si="7"/>
        <v>0</v>
      </c>
      <c r="Z14" s="17">
        <f t="shared" si="7"/>
        <v>0</v>
      </c>
      <c r="AA14" s="17" t="e">
        <f t="shared" si="7"/>
        <v>#DIV/0!</v>
      </c>
      <c r="AB14" s="16">
        <v>0</v>
      </c>
      <c r="AC14" s="17">
        <v>0</v>
      </c>
      <c r="AD14" s="17">
        <v>0</v>
      </c>
      <c r="AE14" s="251" t="s">
        <v>341</v>
      </c>
    </row>
    <row r="15" spans="2:31" ht="161.25" customHeight="1" x14ac:dyDescent="0.25">
      <c r="B15" s="278" t="s">
        <v>22</v>
      </c>
      <c r="C15" s="279"/>
      <c r="D15" s="279"/>
      <c r="E15" s="279"/>
      <c r="F15" s="279"/>
      <c r="G15" s="279"/>
      <c r="H15" s="279"/>
      <c r="I15" s="279"/>
      <c r="J15" s="80">
        <f t="shared" ref="J15:X15" si="9">SUM(J9:J14)</f>
        <v>46412248.400000006</v>
      </c>
      <c r="K15" s="81">
        <f t="shared" si="9"/>
        <v>45795674.600000001</v>
      </c>
      <c r="L15" s="81">
        <f t="shared" si="9"/>
        <v>616573.79999999993</v>
      </c>
      <c r="M15" s="80">
        <f t="shared" si="9"/>
        <v>2277160.9999999986</v>
      </c>
      <c r="N15" s="81">
        <f t="shared" si="9"/>
        <v>1820938.2999999986</v>
      </c>
      <c r="O15" s="81">
        <f t="shared" si="9"/>
        <v>456222.69999999995</v>
      </c>
      <c r="P15" s="80">
        <f t="shared" si="9"/>
        <v>14940183</v>
      </c>
      <c r="Q15" s="81">
        <f t="shared" si="9"/>
        <v>14576425.1</v>
      </c>
      <c r="R15" s="90">
        <f t="shared" si="9"/>
        <v>363757.9</v>
      </c>
      <c r="S15" s="133">
        <f t="shared" si="9"/>
        <v>1666947.1</v>
      </c>
      <c r="T15" s="134">
        <f t="shared" si="9"/>
        <v>1337156.6000000001</v>
      </c>
      <c r="U15" s="135">
        <f t="shared" si="9"/>
        <v>329790.5</v>
      </c>
      <c r="V15" s="94">
        <f t="shared" si="9"/>
        <v>1666947.1</v>
      </c>
      <c r="W15" s="81">
        <f t="shared" si="9"/>
        <v>1337156.6000000001</v>
      </c>
      <c r="X15" s="81">
        <f t="shared" si="9"/>
        <v>329790.5</v>
      </c>
      <c r="Y15" s="80">
        <f t="shared" si="7"/>
        <v>11.157474443251465</v>
      </c>
      <c r="Z15" s="81">
        <f t="shared" si="7"/>
        <v>9.1734193454607738</v>
      </c>
      <c r="AA15" s="81">
        <f t="shared" si="7"/>
        <v>90.662085964318578</v>
      </c>
      <c r="AB15" s="80">
        <f t="shared" si="8"/>
        <v>73.202865322214862</v>
      </c>
      <c r="AC15" s="81">
        <f t="shared" si="8"/>
        <v>73.43228488301888</v>
      </c>
      <c r="AD15" s="81">
        <f t="shared" si="8"/>
        <v>72.287174662725022</v>
      </c>
      <c r="AE15" s="211"/>
    </row>
    <row r="16" spans="2:31" ht="153" customHeight="1" x14ac:dyDescent="0.25">
      <c r="B16" s="280" t="s">
        <v>15</v>
      </c>
      <c r="C16" s="281"/>
      <c r="D16" s="281"/>
      <c r="E16" s="281"/>
      <c r="F16" s="281"/>
      <c r="G16" s="281"/>
      <c r="H16" s="281"/>
      <c r="I16" s="281"/>
      <c r="J16" s="82">
        <f>J12</f>
        <v>176620.30000000002</v>
      </c>
      <c r="K16" s="83">
        <f t="shared" ref="K16:X16" si="10">K12</f>
        <v>141296.20000000001</v>
      </c>
      <c r="L16" s="83">
        <f t="shared" si="10"/>
        <v>35324.1</v>
      </c>
      <c r="M16" s="82">
        <f t="shared" si="10"/>
        <v>176620.30000000002</v>
      </c>
      <c r="N16" s="83">
        <f t="shared" si="10"/>
        <v>141296.20000000001</v>
      </c>
      <c r="O16" s="83">
        <f t="shared" si="10"/>
        <v>35324.1</v>
      </c>
      <c r="P16" s="82">
        <f t="shared" si="10"/>
        <v>63672</v>
      </c>
      <c r="Q16" s="83">
        <f t="shared" si="10"/>
        <v>50937.599999999999</v>
      </c>
      <c r="R16" s="85">
        <f t="shared" si="10"/>
        <v>12734.4</v>
      </c>
      <c r="S16" s="138">
        <f t="shared" si="10"/>
        <v>64559.3</v>
      </c>
      <c r="T16" s="139">
        <f t="shared" si="10"/>
        <v>51588.1</v>
      </c>
      <c r="U16" s="140">
        <f t="shared" si="10"/>
        <v>12971.2</v>
      </c>
      <c r="V16" s="84">
        <f t="shared" si="10"/>
        <v>64559.3</v>
      </c>
      <c r="W16" s="83">
        <f t="shared" si="10"/>
        <v>51588.1</v>
      </c>
      <c r="X16" s="83">
        <f t="shared" si="10"/>
        <v>12971.2</v>
      </c>
      <c r="Y16" s="82">
        <f t="shared" si="7"/>
        <v>101.39354818444528</v>
      </c>
      <c r="Z16" s="83">
        <f t="shared" si="7"/>
        <v>101.27705270762659</v>
      </c>
      <c r="AA16" s="83">
        <f t="shared" si="7"/>
        <v>101.85953009172006</v>
      </c>
      <c r="AB16" s="82">
        <f t="shared" si="8"/>
        <v>36.552593331570606</v>
      </c>
      <c r="AC16" s="83">
        <f t="shared" si="8"/>
        <v>36.51060679621957</v>
      </c>
      <c r="AD16" s="83">
        <f t="shared" si="8"/>
        <v>36.720539235252993</v>
      </c>
      <c r="AE16" s="212"/>
    </row>
    <row r="17" spans="2:31" ht="165" customHeight="1" thickBot="1" x14ac:dyDescent="0.35">
      <c r="B17" s="282" t="s">
        <v>16</v>
      </c>
      <c r="C17" s="283"/>
      <c r="D17" s="283"/>
      <c r="E17" s="283"/>
      <c r="F17" s="283"/>
      <c r="G17" s="283"/>
      <c r="H17" s="283"/>
      <c r="I17" s="283"/>
      <c r="J17" s="98">
        <f>J15-J16</f>
        <v>46235628.100000009</v>
      </c>
      <c r="K17" s="99">
        <f t="shared" ref="K17:X17" si="11">K15-K16</f>
        <v>45654378.399999999</v>
      </c>
      <c r="L17" s="99">
        <f t="shared" si="11"/>
        <v>581249.69999999995</v>
      </c>
      <c r="M17" s="98">
        <f t="shared" si="11"/>
        <v>2100540.6999999988</v>
      </c>
      <c r="N17" s="99">
        <f t="shared" si="11"/>
        <v>1679642.0999999987</v>
      </c>
      <c r="O17" s="99">
        <f t="shared" si="11"/>
        <v>420898.6</v>
      </c>
      <c r="P17" s="98">
        <f t="shared" si="11"/>
        <v>14876511</v>
      </c>
      <c r="Q17" s="99">
        <f t="shared" si="11"/>
        <v>14525487.5</v>
      </c>
      <c r="R17" s="100">
        <f t="shared" si="11"/>
        <v>351023.5</v>
      </c>
      <c r="S17" s="142">
        <f t="shared" si="11"/>
        <v>1602387.8</v>
      </c>
      <c r="T17" s="143">
        <f t="shared" si="11"/>
        <v>1285568.5</v>
      </c>
      <c r="U17" s="144">
        <f t="shared" si="11"/>
        <v>316819.3</v>
      </c>
      <c r="V17" s="104">
        <f t="shared" si="11"/>
        <v>1602387.8</v>
      </c>
      <c r="W17" s="99">
        <f t="shared" si="11"/>
        <v>1285568.5</v>
      </c>
      <c r="X17" s="99">
        <f t="shared" si="11"/>
        <v>316819.3</v>
      </c>
      <c r="Y17" s="98">
        <f t="shared" si="7"/>
        <v>10.77126081511989</v>
      </c>
      <c r="Z17" s="99">
        <f t="shared" si="7"/>
        <v>8.8504327307431154</v>
      </c>
      <c r="AA17" s="99">
        <f t="shared" si="7"/>
        <v>90.255866060249517</v>
      </c>
      <c r="AB17" s="98">
        <f t="shared" si="8"/>
        <v>76.284539499758381</v>
      </c>
      <c r="AC17" s="99">
        <f t="shared" si="8"/>
        <v>76.538239902417374</v>
      </c>
      <c r="AD17" s="99">
        <f t="shared" si="8"/>
        <v>75.272120173362424</v>
      </c>
      <c r="AE17" s="209"/>
    </row>
    <row r="18" spans="2:31" ht="50.25" customHeight="1" thickBot="1" x14ac:dyDescent="0.3">
      <c r="B18" s="284" t="s">
        <v>367</v>
      </c>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6"/>
    </row>
    <row r="19" spans="2:31" ht="285" customHeight="1" x14ac:dyDescent="0.25">
      <c r="B19" s="31">
        <v>7</v>
      </c>
      <c r="C19" s="287"/>
      <c r="D19" s="129">
        <v>11001</v>
      </c>
      <c r="E19" s="40" t="s">
        <v>173</v>
      </c>
      <c r="F19" s="292" t="s">
        <v>100</v>
      </c>
      <c r="G19" s="288" t="s">
        <v>233</v>
      </c>
      <c r="H19" s="293" t="s">
        <v>101</v>
      </c>
      <c r="I19" s="127" t="s">
        <v>340</v>
      </c>
      <c r="J19" s="62">
        <f t="shared" ref="J19:J20" si="12">K19+L19</f>
        <v>34494.400000000001</v>
      </c>
      <c r="K19" s="15">
        <v>28028.9</v>
      </c>
      <c r="L19" s="19">
        <v>6465.5</v>
      </c>
      <c r="M19" s="20">
        <f t="shared" ref="M19:M20" si="13">N19+O19</f>
        <v>60256.800000000003</v>
      </c>
      <c r="N19" s="19">
        <f>28028.9+20491.9</f>
        <v>48520.800000000003</v>
      </c>
      <c r="O19" s="19">
        <f>6465.5+5270.5</f>
        <v>11736</v>
      </c>
      <c r="P19" s="22">
        <f t="shared" ref="P19:P20" si="14">Q19+R19</f>
        <v>34494.400000000001</v>
      </c>
      <c r="Q19" s="23">
        <v>28028.9</v>
      </c>
      <c r="R19" s="199">
        <v>6465.5</v>
      </c>
      <c r="S19" s="213">
        <f t="shared" ref="S19:S20" si="15">T19+U19</f>
        <v>57203</v>
      </c>
      <c r="T19" s="254">
        <v>46865</v>
      </c>
      <c r="U19" s="255">
        <v>10338</v>
      </c>
      <c r="V19" s="131">
        <f t="shared" ref="V19:V20" si="16">W19+X19</f>
        <v>57203</v>
      </c>
      <c r="W19" s="15">
        <v>46865</v>
      </c>
      <c r="X19" s="15">
        <v>10338</v>
      </c>
      <c r="Y19" s="64">
        <f t="shared" ref="Y19:AA23" si="17">S19/P19*100</f>
        <v>165.83271487545804</v>
      </c>
      <c r="Z19" s="65">
        <f t="shared" si="17"/>
        <v>167.20242321318352</v>
      </c>
      <c r="AA19" s="65">
        <f t="shared" si="17"/>
        <v>159.8948263862037</v>
      </c>
      <c r="AB19" s="64">
        <f t="shared" ref="AB19:AD23" si="18">S19/M19*100</f>
        <v>94.93202426946003</v>
      </c>
      <c r="AC19" s="65">
        <f t="shared" si="18"/>
        <v>96.587442911081425</v>
      </c>
      <c r="AD19" s="132">
        <f t="shared" si="18"/>
        <v>88.087934560327199</v>
      </c>
      <c r="AE19" s="251" t="s">
        <v>275</v>
      </c>
    </row>
    <row r="20" spans="2:31" ht="339" customHeight="1" thickBot="1" x14ac:dyDescent="0.3">
      <c r="B20" s="51">
        <v>8</v>
      </c>
      <c r="C20" s="287"/>
      <c r="D20" s="130">
        <v>32001</v>
      </c>
      <c r="E20" s="29" t="s">
        <v>182</v>
      </c>
      <c r="F20" s="292"/>
      <c r="G20" s="288"/>
      <c r="H20" s="293"/>
      <c r="I20" s="127" t="s">
        <v>306</v>
      </c>
      <c r="J20" s="18">
        <f t="shared" si="12"/>
        <v>373528.5</v>
      </c>
      <c r="K20" s="68">
        <v>311273.8</v>
      </c>
      <c r="L20" s="68">
        <v>62254.7</v>
      </c>
      <c r="M20" s="18">
        <f t="shared" si="13"/>
        <v>645650.1</v>
      </c>
      <c r="N20" s="68">
        <f>311273.8+228056.2</f>
        <v>539330</v>
      </c>
      <c r="O20" s="68">
        <f>62254.7+44065.4</f>
        <v>106320.1</v>
      </c>
      <c r="P20" s="18">
        <f t="shared" si="14"/>
        <v>373528.5</v>
      </c>
      <c r="Q20" s="68">
        <v>311273.8</v>
      </c>
      <c r="R20" s="210">
        <v>62254.7</v>
      </c>
      <c r="S20" s="213">
        <f t="shared" si="15"/>
        <v>618578</v>
      </c>
      <c r="T20" s="254">
        <v>512990</v>
      </c>
      <c r="U20" s="255">
        <v>105588</v>
      </c>
      <c r="V20" s="116">
        <f t="shared" si="16"/>
        <v>618578</v>
      </c>
      <c r="W20" s="68">
        <v>512990</v>
      </c>
      <c r="X20" s="68">
        <v>105588</v>
      </c>
      <c r="Y20" s="16">
        <f t="shared" si="17"/>
        <v>165.60396328526471</v>
      </c>
      <c r="Z20" s="17">
        <f t="shared" si="17"/>
        <v>164.80346241797415</v>
      </c>
      <c r="AA20" s="68">
        <f t="shared" si="17"/>
        <v>169.60647147926181</v>
      </c>
      <c r="AB20" s="16">
        <f t="shared" si="18"/>
        <v>95.807001346394898</v>
      </c>
      <c r="AC20" s="17">
        <f t="shared" si="18"/>
        <v>95.116162646246266</v>
      </c>
      <c r="AD20" s="117">
        <f t="shared" si="18"/>
        <v>99.311419007318463</v>
      </c>
      <c r="AE20" s="251" t="s">
        <v>275</v>
      </c>
    </row>
    <row r="21" spans="2:31" ht="147.75" customHeight="1" x14ac:dyDescent="0.3">
      <c r="B21" s="266" t="s">
        <v>23</v>
      </c>
      <c r="C21" s="267"/>
      <c r="D21" s="267"/>
      <c r="E21" s="267"/>
      <c r="F21" s="267"/>
      <c r="G21" s="267"/>
      <c r="H21" s="267"/>
      <c r="I21" s="268"/>
      <c r="J21" s="94">
        <f>SUM(J19:J20)</f>
        <v>408022.9</v>
      </c>
      <c r="K21" s="153">
        <f>SUM(K19:K20)</f>
        <v>339302.7</v>
      </c>
      <c r="L21" s="153">
        <f>SUM(L19:L20)</f>
        <v>68720.2</v>
      </c>
      <c r="M21" s="94">
        <f>SUM(M19:M20)</f>
        <v>705906.9</v>
      </c>
      <c r="N21" s="153">
        <f>SUM(N19:N20)</f>
        <v>587850.80000000005</v>
      </c>
      <c r="O21" s="153">
        <f>SUM(O19:O20)</f>
        <v>118056.1</v>
      </c>
      <c r="P21" s="94">
        <f>SUM(P19:P20)</f>
        <v>408022.9</v>
      </c>
      <c r="Q21" s="153">
        <f>SUM(Q19:Q20)</f>
        <v>339302.7</v>
      </c>
      <c r="R21" s="154">
        <f>SUM(R19:R20)</f>
        <v>68720.2</v>
      </c>
      <c r="S21" s="133">
        <f>SUM(S19:S20)</f>
        <v>675781</v>
      </c>
      <c r="T21" s="155">
        <f>SUM(T19:T20)</f>
        <v>559855</v>
      </c>
      <c r="U21" s="156">
        <f>SUM(U19:U20)</f>
        <v>115926</v>
      </c>
      <c r="V21" s="94">
        <f>SUM(V19:V20)</f>
        <v>675781</v>
      </c>
      <c r="W21" s="153">
        <f>SUM(W19:W20)</f>
        <v>559855</v>
      </c>
      <c r="X21" s="153">
        <f>SUM(X19:X20)</f>
        <v>115926</v>
      </c>
      <c r="Y21" s="80">
        <f t="shared" si="17"/>
        <v>165.62330202545004</v>
      </c>
      <c r="Z21" s="81">
        <f t="shared" si="17"/>
        <v>165.00163423397456</v>
      </c>
      <c r="AA21" s="81">
        <f t="shared" si="17"/>
        <v>168.69275700594585</v>
      </c>
      <c r="AB21" s="80">
        <f t="shared" si="18"/>
        <v>95.732312575496849</v>
      </c>
      <c r="AC21" s="81">
        <f t="shared" si="18"/>
        <v>95.237601105586648</v>
      </c>
      <c r="AD21" s="81">
        <f t="shared" si="18"/>
        <v>98.195688321060913</v>
      </c>
      <c r="AE21" s="204"/>
    </row>
    <row r="22" spans="2:31" ht="139.5" customHeight="1" x14ac:dyDescent="0.3">
      <c r="B22" s="269" t="s">
        <v>15</v>
      </c>
      <c r="C22" s="270"/>
      <c r="D22" s="270"/>
      <c r="E22" s="270"/>
      <c r="F22" s="270"/>
      <c r="G22" s="270"/>
      <c r="H22" s="270"/>
      <c r="I22" s="271"/>
      <c r="J22" s="84">
        <f>J19</f>
        <v>34494.400000000001</v>
      </c>
      <c r="K22" s="136">
        <f t="shared" ref="K22:X22" si="19">K19</f>
        <v>28028.9</v>
      </c>
      <c r="L22" s="136">
        <f t="shared" si="19"/>
        <v>6465.5</v>
      </c>
      <c r="M22" s="84">
        <f t="shared" si="19"/>
        <v>60256.800000000003</v>
      </c>
      <c r="N22" s="136">
        <f t="shared" si="19"/>
        <v>48520.800000000003</v>
      </c>
      <c r="O22" s="136">
        <f t="shared" si="19"/>
        <v>11736</v>
      </c>
      <c r="P22" s="84">
        <f t="shared" si="19"/>
        <v>34494.400000000001</v>
      </c>
      <c r="Q22" s="136">
        <f t="shared" si="19"/>
        <v>28028.9</v>
      </c>
      <c r="R22" s="137">
        <f t="shared" si="19"/>
        <v>6465.5</v>
      </c>
      <c r="S22" s="138">
        <f t="shared" si="19"/>
        <v>57203</v>
      </c>
      <c r="T22" s="157">
        <f t="shared" si="19"/>
        <v>46865</v>
      </c>
      <c r="U22" s="158">
        <f t="shared" si="19"/>
        <v>10338</v>
      </c>
      <c r="V22" s="84">
        <f t="shared" si="19"/>
        <v>57203</v>
      </c>
      <c r="W22" s="136">
        <f t="shared" si="19"/>
        <v>46865</v>
      </c>
      <c r="X22" s="136">
        <f t="shared" si="19"/>
        <v>10338</v>
      </c>
      <c r="Y22" s="82">
        <f t="shared" si="17"/>
        <v>165.83271487545804</v>
      </c>
      <c r="Z22" s="83">
        <f t="shared" si="17"/>
        <v>167.20242321318352</v>
      </c>
      <c r="AA22" s="83">
        <f t="shared" si="17"/>
        <v>159.8948263862037</v>
      </c>
      <c r="AB22" s="82">
        <f t="shared" si="18"/>
        <v>94.93202426946003</v>
      </c>
      <c r="AC22" s="83">
        <f t="shared" si="18"/>
        <v>96.587442911081425</v>
      </c>
      <c r="AD22" s="83">
        <f t="shared" si="18"/>
        <v>88.087934560327199</v>
      </c>
      <c r="AE22" s="208"/>
    </row>
    <row r="23" spans="2:31" ht="145.5" customHeight="1" thickBot="1" x14ac:dyDescent="0.35">
      <c r="B23" s="272" t="s">
        <v>16</v>
      </c>
      <c r="C23" s="273"/>
      <c r="D23" s="273"/>
      <c r="E23" s="273"/>
      <c r="F23" s="273"/>
      <c r="G23" s="273"/>
      <c r="H23" s="273"/>
      <c r="I23" s="274"/>
      <c r="J23" s="104">
        <f>J21-J22</f>
        <v>373528.5</v>
      </c>
      <c r="K23" s="159">
        <f t="shared" ref="K23:X23" si="20">K21-K22</f>
        <v>311273.8</v>
      </c>
      <c r="L23" s="159">
        <f t="shared" si="20"/>
        <v>62254.7</v>
      </c>
      <c r="M23" s="104">
        <f t="shared" si="20"/>
        <v>645650.1</v>
      </c>
      <c r="N23" s="159">
        <f t="shared" si="20"/>
        <v>539330</v>
      </c>
      <c r="O23" s="159">
        <f t="shared" si="20"/>
        <v>106320.1</v>
      </c>
      <c r="P23" s="104">
        <f t="shared" si="20"/>
        <v>373528.5</v>
      </c>
      <c r="Q23" s="159">
        <f t="shared" si="20"/>
        <v>311273.8</v>
      </c>
      <c r="R23" s="160">
        <f t="shared" si="20"/>
        <v>62254.7</v>
      </c>
      <c r="S23" s="142">
        <f t="shared" si="20"/>
        <v>618578</v>
      </c>
      <c r="T23" s="161">
        <f t="shared" si="20"/>
        <v>512990</v>
      </c>
      <c r="U23" s="162">
        <f t="shared" si="20"/>
        <v>105588</v>
      </c>
      <c r="V23" s="104">
        <f t="shared" si="20"/>
        <v>618578</v>
      </c>
      <c r="W23" s="159">
        <f t="shared" si="20"/>
        <v>512990</v>
      </c>
      <c r="X23" s="159">
        <f t="shared" si="20"/>
        <v>105588</v>
      </c>
      <c r="Y23" s="98">
        <f t="shared" si="17"/>
        <v>165.60396328526471</v>
      </c>
      <c r="Z23" s="99">
        <f t="shared" si="17"/>
        <v>164.80346241797415</v>
      </c>
      <c r="AA23" s="99">
        <f t="shared" si="17"/>
        <v>169.60647147926181</v>
      </c>
      <c r="AB23" s="98">
        <f t="shared" si="18"/>
        <v>95.807001346394898</v>
      </c>
      <c r="AC23" s="99">
        <f t="shared" si="18"/>
        <v>95.116162646246266</v>
      </c>
      <c r="AD23" s="99">
        <f t="shared" si="18"/>
        <v>99.311419007318463</v>
      </c>
      <c r="AE23" s="209"/>
    </row>
    <row r="24" spans="2:31" ht="20.25" x14ac:dyDescent="0.35">
      <c r="B24" s="3"/>
      <c r="C24" s="3"/>
      <c r="D24" s="3"/>
      <c r="E24" s="3"/>
      <c r="F24" s="3"/>
      <c r="G24" s="3"/>
      <c r="H24" s="3"/>
      <c r="I24" s="3"/>
      <c r="J24" s="7"/>
      <c r="K24" s="1"/>
      <c r="L24" s="1"/>
      <c r="M24" s="7"/>
      <c r="N24" s="1"/>
      <c r="O24" s="1"/>
      <c r="P24" s="7"/>
      <c r="Q24" s="1"/>
      <c r="R24" s="1"/>
      <c r="S24" s="1"/>
      <c r="T24" s="1"/>
      <c r="U24" s="1"/>
      <c r="V24" s="7"/>
      <c r="W24" s="1"/>
      <c r="X24" s="1"/>
      <c r="Y24" s="7"/>
      <c r="Z24" s="1"/>
      <c r="AA24" s="1"/>
      <c r="AB24" s="7"/>
      <c r="AC24" s="1"/>
      <c r="AD24" s="1"/>
      <c r="AE24" s="3"/>
    </row>
    <row r="25" spans="2:31" ht="20.25" x14ac:dyDescent="0.35">
      <c r="B25" s="299"/>
      <c r="C25" s="299"/>
      <c r="D25" s="299"/>
      <c r="E25" s="299"/>
      <c r="F25" s="299"/>
      <c r="G25" s="299"/>
      <c r="H25" s="299"/>
      <c r="I25" s="299"/>
      <c r="J25" s="7"/>
      <c r="K25" s="1"/>
      <c r="L25" s="1"/>
      <c r="M25" s="7"/>
      <c r="N25" s="1"/>
      <c r="O25" s="1"/>
      <c r="P25" s="7"/>
      <c r="Q25" s="1"/>
      <c r="R25" s="1"/>
      <c r="S25" s="1"/>
      <c r="T25" s="1"/>
      <c r="U25" s="1"/>
      <c r="V25" s="7"/>
      <c r="W25" s="1"/>
      <c r="X25" s="1"/>
      <c r="Y25" s="7"/>
      <c r="Z25" s="1"/>
      <c r="AA25" s="1"/>
      <c r="AB25" s="7"/>
      <c r="AC25" s="1"/>
      <c r="AD25" s="1"/>
      <c r="AE25" s="3"/>
    </row>
  </sheetData>
  <mergeCells count="39">
    <mergeCell ref="B25:I25"/>
    <mergeCell ref="H19:H20"/>
    <mergeCell ref="B21:I21"/>
    <mergeCell ref="B22:I22"/>
    <mergeCell ref="B23:I23"/>
    <mergeCell ref="B15:I15"/>
    <mergeCell ref="B16:I16"/>
    <mergeCell ref="B17:I17"/>
    <mergeCell ref="B18:AE18"/>
    <mergeCell ref="C19:C20"/>
    <mergeCell ref="F19:F20"/>
    <mergeCell ref="G19:G20"/>
    <mergeCell ref="C9:C14"/>
    <mergeCell ref="H11:H13"/>
    <mergeCell ref="I11:I13"/>
    <mergeCell ref="AE11:AE12"/>
    <mergeCell ref="F12:F13"/>
    <mergeCell ref="G12:G13"/>
    <mergeCell ref="B8:AE8"/>
    <mergeCell ref="V6:X6"/>
    <mergeCell ref="Y6:AA6"/>
    <mergeCell ref="AB6:AD6"/>
    <mergeCell ref="AE6:AE7"/>
    <mergeCell ref="H6:H7"/>
    <mergeCell ref="I6:I7"/>
    <mergeCell ref="J6:L6"/>
    <mergeCell ref="M6:O6"/>
    <mergeCell ref="P6:R6"/>
    <mergeCell ref="S6:U6"/>
    <mergeCell ref="B1:AE1"/>
    <mergeCell ref="B2:AE3"/>
    <mergeCell ref="B4:AE4"/>
    <mergeCell ref="B5:AE5"/>
    <mergeCell ref="B6:B7"/>
    <mergeCell ref="C6:C7"/>
    <mergeCell ref="D6:D7"/>
    <mergeCell ref="E6:E7"/>
    <mergeCell ref="F6:F7"/>
    <mergeCell ref="G6:G7"/>
  </mergeCells>
  <pageMargins left="0.16" right="0.16" top="0.23" bottom="0.16" header="0.23" footer="0.16"/>
  <pageSetup scale="31" orientation="landscape" r:id="rId1"/>
  <rowBreaks count="2" manualBreakCount="2">
    <brk id="10" max="16383" man="1"/>
    <brk id="1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710E8-EC57-45D9-995D-154CA73C9C59}">
  <dimension ref="B1:AE23"/>
  <sheetViews>
    <sheetView tabSelected="1" view="pageBreakPreview" topLeftCell="A2" zoomScale="60" zoomScaleNormal="60" workbookViewId="0">
      <selection activeCell="B18" sqref="B18:I18"/>
    </sheetView>
  </sheetViews>
  <sheetFormatPr defaultRowHeight="18.75" x14ac:dyDescent="0.3"/>
  <cols>
    <col min="1" max="1" width="0.28515625" customWidth="1"/>
    <col min="2" max="2" width="6.28515625" style="4" customWidth="1"/>
    <col min="3" max="3" width="9" style="4" customWidth="1"/>
    <col min="4" max="4" width="11.7109375" style="4" customWidth="1"/>
    <col min="5" max="5" width="32.140625" style="4" customWidth="1"/>
    <col min="6" max="6" width="20.85546875" style="4" customWidth="1"/>
    <col min="7" max="7" width="26.85546875" style="4" customWidth="1"/>
    <col min="8" max="8" width="58" style="4" customWidth="1"/>
    <col min="9" max="9" width="122.5703125" style="4" customWidth="1"/>
    <col min="10" max="10" width="5" style="8" customWidth="1"/>
    <col min="11" max="12" width="4.7109375" style="2" customWidth="1"/>
    <col min="13" max="13" width="4.7109375" style="8" customWidth="1"/>
    <col min="14" max="15" width="4.7109375" style="2" customWidth="1"/>
    <col min="16" max="16" width="4.7109375" style="8" hidden="1" customWidth="1"/>
    <col min="17" max="18" width="4.7109375" style="2" hidden="1" customWidth="1"/>
    <col min="19" max="21" width="4.7109375" style="2" customWidth="1"/>
    <col min="22" max="22" width="4.7109375" style="8" hidden="1" customWidth="1"/>
    <col min="23" max="24" width="4.7109375" style="2" hidden="1" customWidth="1"/>
    <col min="25" max="25" width="4.7109375" style="8" hidden="1" customWidth="1"/>
    <col min="26" max="27" width="4.7109375" style="2" hidden="1" customWidth="1"/>
    <col min="28" max="28" width="4.5703125" style="8" customWidth="1"/>
    <col min="29" max="30" width="4.5703125" style="2" customWidth="1"/>
    <col min="31" max="31" width="84.28515625" style="4" customWidth="1"/>
    <col min="32" max="53" width="5.7109375" customWidth="1"/>
  </cols>
  <sheetData>
    <row r="1" spans="2:31" ht="51" x14ac:dyDescent="0.25">
      <c r="B1" s="367" t="s">
        <v>0</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row>
    <row r="2" spans="2:31" ht="24.75" customHeight="1" x14ac:dyDescent="0.25">
      <c r="B2" s="368" t="s">
        <v>1</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row>
    <row r="3" spans="2:31" ht="24" customHeight="1" x14ac:dyDescent="0.25">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row>
    <row r="4" spans="2:31" ht="29.25" customHeight="1" x14ac:dyDescent="0.25">
      <c r="B4" s="368" t="s">
        <v>311</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row>
    <row r="5" spans="2:31" ht="17.25" thickBot="1" x14ac:dyDescent="0.35">
      <c r="B5" s="369" t="s">
        <v>231</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row>
    <row r="6" spans="2:31" ht="224.25" customHeight="1" x14ac:dyDescent="0.25">
      <c r="B6" s="370" t="s">
        <v>2</v>
      </c>
      <c r="C6" s="372" t="s">
        <v>3</v>
      </c>
      <c r="D6" s="372" t="s">
        <v>4</v>
      </c>
      <c r="E6" s="360" t="s">
        <v>5</v>
      </c>
      <c r="F6" s="360" t="s">
        <v>6</v>
      </c>
      <c r="G6" s="360" t="s">
        <v>7</v>
      </c>
      <c r="H6" s="360" t="s">
        <v>8</v>
      </c>
      <c r="I6" s="362" t="s">
        <v>9</v>
      </c>
      <c r="J6" s="360" t="s">
        <v>128</v>
      </c>
      <c r="K6" s="360"/>
      <c r="L6" s="360"/>
      <c r="M6" s="360" t="s">
        <v>174</v>
      </c>
      <c r="N6" s="360"/>
      <c r="O6" s="360"/>
      <c r="P6" s="360" t="s">
        <v>238</v>
      </c>
      <c r="Q6" s="360"/>
      <c r="R6" s="360"/>
      <c r="S6" s="364" t="s">
        <v>129</v>
      </c>
      <c r="T6" s="360"/>
      <c r="U6" s="365"/>
      <c r="V6" s="374" t="s">
        <v>130</v>
      </c>
      <c r="W6" s="360"/>
      <c r="X6" s="360"/>
      <c r="Y6" s="360" t="s">
        <v>239</v>
      </c>
      <c r="Z6" s="360"/>
      <c r="AA6" s="360"/>
      <c r="AB6" s="360" t="s">
        <v>131</v>
      </c>
      <c r="AC6" s="360"/>
      <c r="AD6" s="360"/>
      <c r="AE6" s="365" t="s">
        <v>10</v>
      </c>
    </row>
    <row r="7" spans="2:31" ht="162" customHeight="1" thickBot="1" x14ac:dyDescent="0.3">
      <c r="B7" s="371"/>
      <c r="C7" s="373"/>
      <c r="D7" s="373"/>
      <c r="E7" s="361"/>
      <c r="F7" s="361"/>
      <c r="G7" s="361"/>
      <c r="H7" s="361"/>
      <c r="I7" s="363"/>
      <c r="J7" s="9" t="s">
        <v>11</v>
      </c>
      <c r="K7" s="9" t="s">
        <v>12</v>
      </c>
      <c r="L7" s="9" t="s">
        <v>13</v>
      </c>
      <c r="M7" s="9" t="s">
        <v>11</v>
      </c>
      <c r="N7" s="9" t="s">
        <v>12</v>
      </c>
      <c r="O7" s="9" t="s">
        <v>13</v>
      </c>
      <c r="P7" s="9" t="s">
        <v>11</v>
      </c>
      <c r="Q7" s="9" t="s">
        <v>12</v>
      </c>
      <c r="R7" s="10" t="s">
        <v>13</v>
      </c>
      <c r="S7" s="11" t="s">
        <v>11</v>
      </c>
      <c r="T7" s="9" t="s">
        <v>12</v>
      </c>
      <c r="U7" s="13" t="s">
        <v>13</v>
      </c>
      <c r="V7" s="12" t="s">
        <v>11</v>
      </c>
      <c r="W7" s="9" t="s">
        <v>12</v>
      </c>
      <c r="X7" s="9" t="s">
        <v>13</v>
      </c>
      <c r="Y7" s="9" t="s">
        <v>11</v>
      </c>
      <c r="Z7" s="9" t="s">
        <v>12</v>
      </c>
      <c r="AA7" s="9" t="s">
        <v>13</v>
      </c>
      <c r="AB7" s="9" t="s">
        <v>11</v>
      </c>
      <c r="AC7" s="9" t="s">
        <v>12</v>
      </c>
      <c r="AD7" s="9" t="s">
        <v>13</v>
      </c>
      <c r="AE7" s="375"/>
    </row>
    <row r="8" spans="2:31" ht="57.75" customHeight="1" thickBot="1" x14ac:dyDescent="0.3">
      <c r="B8" s="284" t="s">
        <v>369</v>
      </c>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6"/>
    </row>
    <row r="9" spans="2:31" ht="396" customHeight="1" x14ac:dyDescent="0.25">
      <c r="B9" s="43">
        <v>1</v>
      </c>
      <c r="C9" s="287"/>
      <c r="D9" s="52">
        <v>12017</v>
      </c>
      <c r="E9" s="29" t="s">
        <v>169</v>
      </c>
      <c r="F9" s="50" t="s">
        <v>265</v>
      </c>
      <c r="G9" s="54" t="s">
        <v>262</v>
      </c>
      <c r="H9" s="122" t="s">
        <v>192</v>
      </c>
      <c r="I9" s="122" t="s">
        <v>342</v>
      </c>
      <c r="J9" s="16">
        <f t="shared" ref="J9:J11" si="0">K9+L9</f>
        <v>283903</v>
      </c>
      <c r="K9" s="17">
        <v>236585.8</v>
      </c>
      <c r="L9" s="68">
        <v>47317.2</v>
      </c>
      <c r="M9" s="20">
        <f t="shared" ref="M9:M11" si="1">N9+O9</f>
        <v>0</v>
      </c>
      <c r="N9" s="19">
        <f>236585.8-236585.8</f>
        <v>0</v>
      </c>
      <c r="O9" s="19">
        <f>47317.2-47317.2</f>
        <v>0</v>
      </c>
      <c r="P9" s="22">
        <f t="shared" ref="P9:P11" si="2">Q9+R9</f>
        <v>0</v>
      </c>
      <c r="Q9" s="23">
        <v>0</v>
      </c>
      <c r="R9" s="238">
        <v>0</v>
      </c>
      <c r="S9" s="216">
        <f t="shared" ref="S9:S11" si="3">T9+U9</f>
        <v>0</v>
      </c>
      <c r="T9" s="217">
        <v>0</v>
      </c>
      <c r="U9" s="218">
        <v>0</v>
      </c>
      <c r="V9" s="21">
        <f t="shared" ref="V9:V11" si="4">W9+X9</f>
        <v>0</v>
      </c>
      <c r="W9" s="17">
        <v>0</v>
      </c>
      <c r="X9" s="17">
        <v>0</v>
      </c>
      <c r="Y9" s="22" t="e">
        <f t="shared" ref="Y9:AA14" si="5">S9/P9*100</f>
        <v>#DIV/0!</v>
      </c>
      <c r="Z9" s="23" t="e">
        <f t="shared" si="5"/>
        <v>#DIV/0!</v>
      </c>
      <c r="AA9" s="23" t="e">
        <f t="shared" si="5"/>
        <v>#DIV/0!</v>
      </c>
      <c r="AB9" s="22">
        <v>0</v>
      </c>
      <c r="AC9" s="23">
        <v>0</v>
      </c>
      <c r="AD9" s="23">
        <v>0</v>
      </c>
      <c r="AE9" s="248" t="s">
        <v>289</v>
      </c>
    </row>
    <row r="10" spans="2:31" ht="312" customHeight="1" x14ac:dyDescent="0.25">
      <c r="B10" s="31">
        <v>2</v>
      </c>
      <c r="C10" s="287"/>
      <c r="D10" s="36">
        <v>12016</v>
      </c>
      <c r="E10" s="29" t="s">
        <v>170</v>
      </c>
      <c r="F10" s="50" t="s">
        <v>215</v>
      </c>
      <c r="G10" s="54" t="s">
        <v>266</v>
      </c>
      <c r="H10" s="122" t="s">
        <v>126</v>
      </c>
      <c r="I10" s="122" t="s">
        <v>292</v>
      </c>
      <c r="J10" s="16">
        <f t="shared" si="0"/>
        <v>262497.39999999997</v>
      </c>
      <c r="K10" s="68">
        <v>218747.8</v>
      </c>
      <c r="L10" s="68">
        <v>43749.599999999999</v>
      </c>
      <c r="M10" s="20">
        <f t="shared" si="1"/>
        <v>11186.899999999987</v>
      </c>
      <c r="N10" s="19">
        <f>218747.8-209409</f>
        <v>9338.7999999999884</v>
      </c>
      <c r="O10" s="19">
        <f>43749.6-18009.5-23892</f>
        <v>1848.0999999999985</v>
      </c>
      <c r="P10" s="20">
        <f t="shared" si="2"/>
        <v>93724.6</v>
      </c>
      <c r="Q10" s="19">
        <v>78103.8</v>
      </c>
      <c r="R10" s="242">
        <v>15620.8</v>
      </c>
      <c r="S10" s="225">
        <f t="shared" si="3"/>
        <v>11186.599999999999</v>
      </c>
      <c r="T10" s="226">
        <v>9338.56</v>
      </c>
      <c r="U10" s="227">
        <v>1848.04</v>
      </c>
      <c r="V10" s="116">
        <f t="shared" si="4"/>
        <v>11186.6</v>
      </c>
      <c r="W10" s="68">
        <v>9338.6</v>
      </c>
      <c r="X10" s="68">
        <v>1848</v>
      </c>
      <c r="Y10" s="22">
        <f t="shared" si="5"/>
        <v>11.935607087146808</v>
      </c>
      <c r="Z10" s="23">
        <f t="shared" si="5"/>
        <v>11.956601343340528</v>
      </c>
      <c r="AA10" s="23">
        <f t="shared" si="5"/>
        <v>11.830636074976955</v>
      </c>
      <c r="AB10" s="22">
        <f t="shared" ref="AB10:AD14" si="6">S10/M10*100</f>
        <v>99.997318291930853</v>
      </c>
      <c r="AC10" s="23">
        <f t="shared" si="6"/>
        <v>99.997430076669502</v>
      </c>
      <c r="AD10" s="23">
        <f t="shared" si="6"/>
        <v>99.996753422433926</v>
      </c>
      <c r="AE10" s="191" t="s">
        <v>116</v>
      </c>
    </row>
    <row r="11" spans="2:31" ht="329.25" customHeight="1" thickBot="1" x14ac:dyDescent="0.3">
      <c r="B11" s="51">
        <v>3</v>
      </c>
      <c r="C11" s="287"/>
      <c r="D11" s="36">
        <v>12018</v>
      </c>
      <c r="E11" s="45" t="s">
        <v>45</v>
      </c>
      <c r="F11" s="50" t="s">
        <v>94</v>
      </c>
      <c r="G11" s="54" t="s">
        <v>203</v>
      </c>
      <c r="H11" s="122" t="s">
        <v>237</v>
      </c>
      <c r="I11" s="122" t="s">
        <v>291</v>
      </c>
      <c r="J11" s="22">
        <f t="shared" si="0"/>
        <v>141951.5</v>
      </c>
      <c r="K11" s="19">
        <v>118292.9</v>
      </c>
      <c r="L11" s="19">
        <v>23658.6</v>
      </c>
      <c r="M11" s="20">
        <f t="shared" si="1"/>
        <v>0</v>
      </c>
      <c r="N11" s="19">
        <f>118292.9-118292.9</f>
        <v>0</v>
      </c>
      <c r="O11" s="19">
        <f>23658.6-23658.6</f>
        <v>0</v>
      </c>
      <c r="P11" s="20">
        <f t="shared" si="2"/>
        <v>0</v>
      </c>
      <c r="Q11" s="19">
        <v>0</v>
      </c>
      <c r="R11" s="66">
        <v>0</v>
      </c>
      <c r="S11" s="222">
        <f t="shared" si="3"/>
        <v>0</v>
      </c>
      <c r="T11" s="223">
        <v>0</v>
      </c>
      <c r="U11" s="224">
        <v>0</v>
      </c>
      <c r="V11" s="24">
        <f t="shared" si="4"/>
        <v>0</v>
      </c>
      <c r="W11" s="23">
        <v>0</v>
      </c>
      <c r="X11" s="23">
        <v>0</v>
      </c>
      <c r="Y11" s="22" t="e">
        <f t="shared" si="5"/>
        <v>#DIV/0!</v>
      </c>
      <c r="Z11" s="23" t="e">
        <f t="shared" si="5"/>
        <v>#DIV/0!</v>
      </c>
      <c r="AA11" s="23" t="e">
        <f t="shared" si="5"/>
        <v>#DIV/0!</v>
      </c>
      <c r="AB11" s="22">
        <v>0</v>
      </c>
      <c r="AC11" s="23">
        <v>0</v>
      </c>
      <c r="AD11" s="23">
        <v>0</v>
      </c>
      <c r="AE11" s="248" t="s">
        <v>289</v>
      </c>
    </row>
    <row r="12" spans="2:31" ht="153" customHeight="1" x14ac:dyDescent="0.3">
      <c r="B12" s="278" t="s">
        <v>21</v>
      </c>
      <c r="C12" s="279"/>
      <c r="D12" s="279"/>
      <c r="E12" s="279"/>
      <c r="F12" s="279"/>
      <c r="G12" s="279"/>
      <c r="H12" s="279"/>
      <c r="I12" s="279"/>
      <c r="J12" s="149">
        <f>SUM(J9:J11)</f>
        <v>688351.89999999991</v>
      </c>
      <c r="K12" s="150">
        <f>SUM(K9:K11)</f>
        <v>573626.5</v>
      </c>
      <c r="L12" s="150">
        <f>SUM(L9:L11)</f>
        <v>114725.4</v>
      </c>
      <c r="M12" s="149">
        <f>SUM(M9:M11)</f>
        <v>11186.899999999987</v>
      </c>
      <c r="N12" s="150">
        <f>SUM(N9:N11)</f>
        <v>9338.7999999999884</v>
      </c>
      <c r="O12" s="150">
        <f>SUM(O9:O11)</f>
        <v>1848.0999999999985</v>
      </c>
      <c r="P12" s="149">
        <f>SUM(P9:P11)</f>
        <v>93724.6</v>
      </c>
      <c r="Q12" s="150">
        <f>SUM(Q9:Q11)</f>
        <v>78103.8</v>
      </c>
      <c r="R12" s="151">
        <f>SUM(R9:R11)</f>
        <v>15620.8</v>
      </c>
      <c r="S12" s="133">
        <f>SUM(S9:S11)</f>
        <v>11186.599999999999</v>
      </c>
      <c r="T12" s="134">
        <f>SUM(T9:T11)</f>
        <v>9338.56</v>
      </c>
      <c r="U12" s="135">
        <f>SUM(U9:U11)</f>
        <v>1848.04</v>
      </c>
      <c r="V12" s="152">
        <f>SUM(V9:V11)</f>
        <v>11186.6</v>
      </c>
      <c r="W12" s="150">
        <f>SUM(W9:W11)</f>
        <v>9338.6</v>
      </c>
      <c r="X12" s="150">
        <f>SUM(X9:X11)</f>
        <v>1848</v>
      </c>
      <c r="Y12" s="80">
        <f t="shared" si="5"/>
        <v>11.935607087146808</v>
      </c>
      <c r="Z12" s="81">
        <f t="shared" si="5"/>
        <v>11.956601343340528</v>
      </c>
      <c r="AA12" s="81">
        <f t="shared" si="5"/>
        <v>11.830636074976955</v>
      </c>
      <c r="AB12" s="80">
        <f t="shared" si="6"/>
        <v>99.997318291930853</v>
      </c>
      <c r="AC12" s="81">
        <f t="shared" si="6"/>
        <v>99.997430076669502</v>
      </c>
      <c r="AD12" s="81">
        <f t="shared" si="6"/>
        <v>99.996753422433926</v>
      </c>
      <c r="AE12" s="244"/>
    </row>
    <row r="13" spans="2:31" ht="143.25" customHeight="1" x14ac:dyDescent="0.3">
      <c r="B13" s="280" t="s">
        <v>15</v>
      </c>
      <c r="C13" s="281"/>
      <c r="D13" s="281"/>
      <c r="E13" s="281"/>
      <c r="F13" s="281"/>
      <c r="G13" s="281"/>
      <c r="H13" s="281"/>
      <c r="I13" s="281"/>
      <c r="J13" s="86">
        <f>J10</f>
        <v>262497.39999999997</v>
      </c>
      <c r="K13" s="87">
        <f>K10</f>
        <v>218747.8</v>
      </c>
      <c r="L13" s="87">
        <f>L10</f>
        <v>43749.599999999999</v>
      </c>
      <c r="M13" s="86">
        <f>M10</f>
        <v>11186.899999999987</v>
      </c>
      <c r="N13" s="87">
        <f>N10</f>
        <v>9338.7999999999884</v>
      </c>
      <c r="O13" s="87">
        <f>O10</f>
        <v>1848.0999999999985</v>
      </c>
      <c r="P13" s="86" t="e">
        <f>#REF!+P10</f>
        <v>#REF!</v>
      </c>
      <c r="Q13" s="87" t="e">
        <f>#REF!+Q10</f>
        <v>#REF!</v>
      </c>
      <c r="R13" s="88" t="e">
        <f>#REF!+R10</f>
        <v>#REF!</v>
      </c>
      <c r="S13" s="138">
        <f>S10</f>
        <v>11186.599999999999</v>
      </c>
      <c r="T13" s="139">
        <f>T10</f>
        <v>9338.56</v>
      </c>
      <c r="U13" s="140">
        <f>U10</f>
        <v>1848.04</v>
      </c>
      <c r="V13" s="89" t="e">
        <f>#REF!+V10</f>
        <v>#REF!</v>
      </c>
      <c r="W13" s="87" t="e">
        <f>#REF!+W10</f>
        <v>#REF!</v>
      </c>
      <c r="X13" s="87" t="e">
        <f>#REF!+X10</f>
        <v>#REF!</v>
      </c>
      <c r="Y13" s="82" t="e">
        <f t="shared" si="5"/>
        <v>#REF!</v>
      </c>
      <c r="Z13" s="83" t="e">
        <f t="shared" si="5"/>
        <v>#REF!</v>
      </c>
      <c r="AA13" s="83" t="e">
        <f t="shared" si="5"/>
        <v>#REF!</v>
      </c>
      <c r="AB13" s="82">
        <f t="shared" si="6"/>
        <v>99.997318291930853</v>
      </c>
      <c r="AC13" s="83">
        <f t="shared" si="6"/>
        <v>99.997430076669502</v>
      </c>
      <c r="AD13" s="83">
        <f t="shared" si="6"/>
        <v>99.996753422433926</v>
      </c>
      <c r="AE13" s="208"/>
    </row>
    <row r="14" spans="2:31" ht="115.5" customHeight="1" thickBot="1" x14ac:dyDescent="0.35">
      <c r="B14" s="282" t="s">
        <v>16</v>
      </c>
      <c r="C14" s="283"/>
      <c r="D14" s="283"/>
      <c r="E14" s="283"/>
      <c r="F14" s="283"/>
      <c r="G14" s="283"/>
      <c r="H14" s="283"/>
      <c r="I14" s="283"/>
      <c r="J14" s="98">
        <f>J12-J13</f>
        <v>425854.49999999994</v>
      </c>
      <c r="K14" s="99">
        <f t="shared" ref="K14:X14" si="7">K12-K13</f>
        <v>354878.7</v>
      </c>
      <c r="L14" s="99">
        <f t="shared" si="7"/>
        <v>70975.799999999988</v>
      </c>
      <c r="M14" s="98">
        <f t="shared" si="7"/>
        <v>0</v>
      </c>
      <c r="N14" s="99">
        <f t="shared" si="7"/>
        <v>0</v>
      </c>
      <c r="O14" s="99">
        <f t="shared" si="7"/>
        <v>0</v>
      </c>
      <c r="P14" s="98" t="e">
        <f t="shared" si="7"/>
        <v>#REF!</v>
      </c>
      <c r="Q14" s="99" t="e">
        <f t="shared" si="7"/>
        <v>#REF!</v>
      </c>
      <c r="R14" s="100" t="e">
        <f t="shared" si="7"/>
        <v>#REF!</v>
      </c>
      <c r="S14" s="142">
        <f t="shared" si="7"/>
        <v>0</v>
      </c>
      <c r="T14" s="143">
        <f t="shared" si="7"/>
        <v>0</v>
      </c>
      <c r="U14" s="144">
        <f t="shared" si="7"/>
        <v>0</v>
      </c>
      <c r="V14" s="104" t="e">
        <f t="shared" si="7"/>
        <v>#REF!</v>
      </c>
      <c r="W14" s="99" t="e">
        <f t="shared" si="7"/>
        <v>#REF!</v>
      </c>
      <c r="X14" s="99" t="e">
        <f t="shared" si="7"/>
        <v>#REF!</v>
      </c>
      <c r="Y14" s="98" t="e">
        <f t="shared" si="5"/>
        <v>#REF!</v>
      </c>
      <c r="Z14" s="99" t="e">
        <f t="shared" si="5"/>
        <v>#REF!</v>
      </c>
      <c r="AA14" s="99" t="e">
        <f t="shared" si="5"/>
        <v>#REF!</v>
      </c>
      <c r="AB14" s="98">
        <v>0</v>
      </c>
      <c r="AC14" s="99">
        <v>0</v>
      </c>
      <c r="AD14" s="99">
        <v>0</v>
      </c>
      <c r="AE14" s="209"/>
    </row>
    <row r="15" spans="2:31" ht="50.25" customHeight="1" thickBot="1" x14ac:dyDescent="0.3">
      <c r="B15" s="284" t="s">
        <v>367</v>
      </c>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6"/>
    </row>
    <row r="16" spans="2:31" ht="270" customHeight="1" x14ac:dyDescent="0.25">
      <c r="B16" s="107">
        <v>4</v>
      </c>
      <c r="C16" s="287">
        <v>1232</v>
      </c>
      <c r="D16" s="108">
        <v>12001</v>
      </c>
      <c r="E16" s="105" t="s">
        <v>172</v>
      </c>
      <c r="F16" s="105" t="s">
        <v>208</v>
      </c>
      <c r="G16" s="288" t="s">
        <v>250</v>
      </c>
      <c r="H16" s="290" t="s">
        <v>236</v>
      </c>
      <c r="I16" s="290" t="s">
        <v>356</v>
      </c>
      <c r="J16" s="64">
        <f t="shared" ref="J16:J17" si="8">K16+L16</f>
        <v>815001.59999999998</v>
      </c>
      <c r="K16" s="65">
        <v>679168</v>
      </c>
      <c r="L16" s="15">
        <v>135833.60000000001</v>
      </c>
      <c r="M16" s="62">
        <f t="shared" ref="M16:M17" si="9">N16+O16</f>
        <v>0</v>
      </c>
      <c r="N16" s="15">
        <f>679168-679168</f>
        <v>0</v>
      </c>
      <c r="O16" s="15">
        <f>135833.6-135833.6</f>
        <v>0</v>
      </c>
      <c r="P16" s="64">
        <f t="shared" ref="P16:P17" si="10">Q16+R16</f>
        <v>435000</v>
      </c>
      <c r="Q16" s="65">
        <v>420000</v>
      </c>
      <c r="R16" s="202">
        <v>15000</v>
      </c>
      <c r="S16" s="213">
        <f t="shared" ref="S16:S17" si="11">T16+U16</f>
        <v>0</v>
      </c>
      <c r="T16" s="214">
        <v>0</v>
      </c>
      <c r="U16" s="215">
        <v>0</v>
      </c>
      <c r="V16" s="106">
        <f t="shared" ref="V16:V17" si="12">W16+X16</f>
        <v>0</v>
      </c>
      <c r="W16" s="65">
        <v>0</v>
      </c>
      <c r="X16" s="65">
        <v>0</v>
      </c>
      <c r="Y16" s="64">
        <f t="shared" ref="Y16:AA20" si="13">S16/P16*100</f>
        <v>0</v>
      </c>
      <c r="Z16" s="65">
        <f t="shared" si="13"/>
        <v>0</v>
      </c>
      <c r="AA16" s="65">
        <f t="shared" si="13"/>
        <v>0</v>
      </c>
      <c r="AB16" s="64">
        <v>0</v>
      </c>
      <c r="AC16" s="65">
        <v>0</v>
      </c>
      <c r="AD16" s="65">
        <v>0</v>
      </c>
      <c r="AE16" s="249" t="s">
        <v>289</v>
      </c>
    </row>
    <row r="17" spans="2:31" ht="252.75" customHeight="1" thickBot="1" x14ac:dyDescent="0.3">
      <c r="B17" s="120">
        <v>5</v>
      </c>
      <c r="C17" s="287"/>
      <c r="D17" s="128" t="s">
        <v>177</v>
      </c>
      <c r="E17" s="45" t="s">
        <v>176</v>
      </c>
      <c r="F17" s="105" t="s">
        <v>201</v>
      </c>
      <c r="G17" s="289"/>
      <c r="H17" s="291"/>
      <c r="I17" s="291"/>
      <c r="J17" s="22">
        <f t="shared" si="8"/>
        <v>3939855.2</v>
      </c>
      <c r="K17" s="65">
        <v>3151884.2</v>
      </c>
      <c r="L17" s="19">
        <v>787971</v>
      </c>
      <c r="M17" s="20">
        <f t="shared" si="9"/>
        <v>0</v>
      </c>
      <c r="N17" s="19">
        <f>3151884.2-3151884.2</f>
        <v>0</v>
      </c>
      <c r="O17" s="19">
        <f>787971-787971</f>
        <v>0</v>
      </c>
      <c r="P17" s="22">
        <f t="shared" si="10"/>
        <v>1915000</v>
      </c>
      <c r="Q17" s="23">
        <v>1840000</v>
      </c>
      <c r="R17" s="199">
        <v>75000</v>
      </c>
      <c r="S17" s="253">
        <f t="shared" si="11"/>
        <v>0</v>
      </c>
      <c r="T17" s="254">
        <v>0</v>
      </c>
      <c r="U17" s="255">
        <v>0</v>
      </c>
      <c r="V17" s="24">
        <f t="shared" si="12"/>
        <v>0</v>
      </c>
      <c r="W17" s="65">
        <v>0</v>
      </c>
      <c r="X17" s="65">
        <v>0</v>
      </c>
      <c r="Y17" s="22">
        <f t="shared" si="13"/>
        <v>0</v>
      </c>
      <c r="Z17" s="23">
        <f t="shared" si="13"/>
        <v>0</v>
      </c>
      <c r="AA17" s="23">
        <f t="shared" si="13"/>
        <v>0</v>
      </c>
      <c r="AB17" s="22">
        <v>0</v>
      </c>
      <c r="AC17" s="23">
        <v>0</v>
      </c>
      <c r="AD17" s="65">
        <v>0</v>
      </c>
      <c r="AE17" s="191" t="s">
        <v>289</v>
      </c>
    </row>
    <row r="18" spans="2:31" ht="147.75" customHeight="1" x14ac:dyDescent="0.3">
      <c r="B18" s="266" t="s">
        <v>23</v>
      </c>
      <c r="C18" s="267"/>
      <c r="D18" s="267"/>
      <c r="E18" s="267"/>
      <c r="F18" s="267"/>
      <c r="G18" s="267"/>
      <c r="H18" s="267"/>
      <c r="I18" s="268"/>
      <c r="J18" s="94">
        <f>SUM(J16:J17)</f>
        <v>4754856.8</v>
      </c>
      <c r="K18" s="153">
        <f>SUM(K16:K17)</f>
        <v>3831052.2</v>
      </c>
      <c r="L18" s="153">
        <f>SUM(L16:L17)</f>
        <v>923804.6</v>
      </c>
      <c r="M18" s="94">
        <f>SUM(M16:M17)</f>
        <v>0</v>
      </c>
      <c r="N18" s="153">
        <f>SUM(N16:N17)</f>
        <v>0</v>
      </c>
      <c r="O18" s="153">
        <f>SUM(O16:O17)</f>
        <v>0</v>
      </c>
      <c r="P18" s="94">
        <f>SUM(P16:P17)</f>
        <v>2350000</v>
      </c>
      <c r="Q18" s="153">
        <f>SUM(Q16:Q17)</f>
        <v>2260000</v>
      </c>
      <c r="R18" s="154">
        <f>SUM(R16:R17)</f>
        <v>90000</v>
      </c>
      <c r="S18" s="133">
        <f>SUM(S16:S17)</f>
        <v>0</v>
      </c>
      <c r="T18" s="155">
        <f>SUM(T16:T17)</f>
        <v>0</v>
      </c>
      <c r="U18" s="156">
        <f>SUM(U16:U17)</f>
        <v>0</v>
      </c>
      <c r="V18" s="94">
        <f>SUM(V16:V17)</f>
        <v>0</v>
      </c>
      <c r="W18" s="153">
        <f>SUM(W16:W17)</f>
        <v>0</v>
      </c>
      <c r="X18" s="153">
        <f>SUM(X16:X17)</f>
        <v>0</v>
      </c>
      <c r="Y18" s="80">
        <f t="shared" si="13"/>
        <v>0</v>
      </c>
      <c r="Z18" s="81">
        <f t="shared" si="13"/>
        <v>0</v>
      </c>
      <c r="AA18" s="81">
        <f t="shared" si="13"/>
        <v>0</v>
      </c>
      <c r="AB18" s="80">
        <v>0</v>
      </c>
      <c r="AC18" s="81">
        <v>0</v>
      </c>
      <c r="AD18" s="81">
        <v>0</v>
      </c>
      <c r="AE18" s="204"/>
    </row>
    <row r="19" spans="2:31" ht="102" customHeight="1" x14ac:dyDescent="0.3">
      <c r="B19" s="269" t="s">
        <v>15</v>
      </c>
      <c r="C19" s="270"/>
      <c r="D19" s="270"/>
      <c r="E19" s="270"/>
      <c r="F19" s="270"/>
      <c r="G19" s="270"/>
      <c r="H19" s="270"/>
      <c r="I19" s="271"/>
      <c r="J19" s="84">
        <v>0</v>
      </c>
      <c r="K19" s="136">
        <v>0</v>
      </c>
      <c r="L19" s="136">
        <v>0</v>
      </c>
      <c r="M19" s="84">
        <v>0</v>
      </c>
      <c r="N19" s="136">
        <v>0</v>
      </c>
      <c r="O19" s="136">
        <v>0</v>
      </c>
      <c r="P19" s="84" t="e">
        <f>#REF!</f>
        <v>#REF!</v>
      </c>
      <c r="Q19" s="136" t="e">
        <f>#REF!</f>
        <v>#REF!</v>
      </c>
      <c r="R19" s="137" t="e">
        <f>#REF!</f>
        <v>#REF!</v>
      </c>
      <c r="S19" s="138">
        <v>0</v>
      </c>
      <c r="T19" s="157">
        <v>0</v>
      </c>
      <c r="U19" s="158">
        <v>0</v>
      </c>
      <c r="V19" s="84" t="e">
        <f>#REF!</f>
        <v>#REF!</v>
      </c>
      <c r="W19" s="136" t="e">
        <f>#REF!</f>
        <v>#REF!</v>
      </c>
      <c r="X19" s="136" t="e">
        <f>#REF!</f>
        <v>#REF!</v>
      </c>
      <c r="Y19" s="82" t="e">
        <f t="shared" si="13"/>
        <v>#REF!</v>
      </c>
      <c r="Z19" s="83" t="e">
        <f t="shared" si="13"/>
        <v>#REF!</v>
      </c>
      <c r="AA19" s="83" t="e">
        <f t="shared" si="13"/>
        <v>#REF!</v>
      </c>
      <c r="AB19" s="82">
        <v>0</v>
      </c>
      <c r="AC19" s="83">
        <v>0</v>
      </c>
      <c r="AD19" s="83">
        <v>0</v>
      </c>
      <c r="AE19" s="208"/>
    </row>
    <row r="20" spans="2:31" ht="142.5" customHeight="1" thickBot="1" x14ac:dyDescent="0.35">
      <c r="B20" s="272" t="s">
        <v>16</v>
      </c>
      <c r="C20" s="273"/>
      <c r="D20" s="273"/>
      <c r="E20" s="273"/>
      <c r="F20" s="273"/>
      <c r="G20" s="273"/>
      <c r="H20" s="273"/>
      <c r="I20" s="274"/>
      <c r="J20" s="104">
        <f>J18-J19</f>
        <v>4754856.8</v>
      </c>
      <c r="K20" s="159">
        <f t="shared" ref="K20:X20" si="14">K18-K19</f>
        <v>3831052.2</v>
      </c>
      <c r="L20" s="159">
        <f t="shared" si="14"/>
        <v>923804.6</v>
      </c>
      <c r="M20" s="104">
        <f t="shared" si="14"/>
        <v>0</v>
      </c>
      <c r="N20" s="159">
        <f t="shared" si="14"/>
        <v>0</v>
      </c>
      <c r="O20" s="159">
        <f t="shared" si="14"/>
        <v>0</v>
      </c>
      <c r="P20" s="104" t="e">
        <f t="shared" si="14"/>
        <v>#REF!</v>
      </c>
      <c r="Q20" s="159" t="e">
        <f t="shared" si="14"/>
        <v>#REF!</v>
      </c>
      <c r="R20" s="160" t="e">
        <f t="shared" si="14"/>
        <v>#REF!</v>
      </c>
      <c r="S20" s="142">
        <f t="shared" si="14"/>
        <v>0</v>
      </c>
      <c r="T20" s="161">
        <f t="shared" si="14"/>
        <v>0</v>
      </c>
      <c r="U20" s="162">
        <f t="shared" si="14"/>
        <v>0</v>
      </c>
      <c r="V20" s="104" t="e">
        <f t="shared" si="14"/>
        <v>#REF!</v>
      </c>
      <c r="W20" s="159" t="e">
        <f t="shared" si="14"/>
        <v>#REF!</v>
      </c>
      <c r="X20" s="159" t="e">
        <f t="shared" si="14"/>
        <v>#REF!</v>
      </c>
      <c r="Y20" s="98" t="e">
        <f t="shared" si="13"/>
        <v>#REF!</v>
      </c>
      <c r="Z20" s="99" t="e">
        <f t="shared" si="13"/>
        <v>#REF!</v>
      </c>
      <c r="AA20" s="99" t="e">
        <f t="shared" si="13"/>
        <v>#REF!</v>
      </c>
      <c r="AB20" s="98">
        <v>0</v>
      </c>
      <c r="AC20" s="99">
        <v>0</v>
      </c>
      <c r="AD20" s="99">
        <v>0</v>
      </c>
      <c r="AE20" s="209"/>
    </row>
    <row r="21" spans="2:31" ht="16.5" hidden="1" x14ac:dyDescent="0.3">
      <c r="B21" s="275"/>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7"/>
    </row>
    <row r="22" spans="2:31" ht="20.25" x14ac:dyDescent="0.35">
      <c r="B22" s="3"/>
      <c r="C22" s="3"/>
      <c r="D22" s="3"/>
      <c r="E22" s="3"/>
      <c r="F22" s="3"/>
      <c r="G22" s="3"/>
      <c r="H22" s="3"/>
      <c r="I22" s="3"/>
      <c r="J22" s="7"/>
      <c r="K22" s="1"/>
      <c r="L22" s="1"/>
      <c r="M22" s="7"/>
      <c r="N22" s="1"/>
      <c r="O22" s="1"/>
      <c r="P22" s="7"/>
      <c r="Q22" s="1"/>
      <c r="R22" s="1"/>
      <c r="S22" s="1"/>
      <c r="T22" s="1"/>
      <c r="U22" s="1"/>
      <c r="V22" s="7"/>
      <c r="W22" s="1"/>
      <c r="X22" s="1"/>
      <c r="Y22" s="7"/>
      <c r="Z22" s="1"/>
      <c r="AA22" s="1"/>
      <c r="AB22" s="7"/>
      <c r="AC22" s="1"/>
      <c r="AD22" s="1"/>
      <c r="AE22" s="3"/>
    </row>
    <row r="23" spans="2:31" ht="20.25" x14ac:dyDescent="0.35">
      <c r="B23" s="299"/>
      <c r="C23" s="299"/>
      <c r="D23" s="299"/>
      <c r="E23" s="299"/>
      <c r="F23" s="299"/>
      <c r="G23" s="299"/>
      <c r="H23" s="299"/>
      <c r="I23" s="299"/>
      <c r="J23" s="7"/>
      <c r="K23" s="1"/>
      <c r="L23" s="1"/>
      <c r="M23" s="7"/>
      <c r="N23" s="1"/>
      <c r="O23" s="1"/>
      <c r="P23" s="7"/>
      <c r="Q23" s="1"/>
      <c r="R23" s="1"/>
      <c r="S23" s="1"/>
      <c r="T23" s="1"/>
      <c r="U23" s="1"/>
      <c r="V23" s="7"/>
      <c r="W23" s="1"/>
      <c r="X23" s="1"/>
      <c r="Y23" s="7"/>
      <c r="Z23" s="1"/>
      <c r="AA23" s="1"/>
      <c r="AB23" s="7"/>
      <c r="AC23" s="1"/>
      <c r="AD23" s="1"/>
      <c r="AE23" s="3"/>
    </row>
  </sheetData>
  <mergeCells count="35">
    <mergeCell ref="B23:I23"/>
    <mergeCell ref="B18:I18"/>
    <mergeCell ref="B19:I19"/>
    <mergeCell ref="B20:I20"/>
    <mergeCell ref="B21:AE21"/>
    <mergeCell ref="B15:AE15"/>
    <mergeCell ref="C16:C17"/>
    <mergeCell ref="G16:G17"/>
    <mergeCell ref="H16:H17"/>
    <mergeCell ref="I16:I17"/>
    <mergeCell ref="B12:I12"/>
    <mergeCell ref="B13:I13"/>
    <mergeCell ref="B14:I14"/>
    <mergeCell ref="B8:AE8"/>
    <mergeCell ref="C9:C11"/>
    <mergeCell ref="V6:X6"/>
    <mergeCell ref="Y6:AA6"/>
    <mergeCell ref="AB6:AD6"/>
    <mergeCell ref="AE6:AE7"/>
    <mergeCell ref="H6:H7"/>
    <mergeCell ref="I6:I7"/>
    <mergeCell ref="J6:L6"/>
    <mergeCell ref="M6:O6"/>
    <mergeCell ref="P6:R6"/>
    <mergeCell ref="S6:U6"/>
    <mergeCell ref="B1:AE1"/>
    <mergeCell ref="B2:AE3"/>
    <mergeCell ref="B4:AE4"/>
    <mergeCell ref="B5:AE5"/>
    <mergeCell ref="B6:B7"/>
    <mergeCell ref="C6:C7"/>
    <mergeCell ref="D6:D7"/>
    <mergeCell ref="E6:E7"/>
    <mergeCell ref="F6:F7"/>
    <mergeCell ref="G6:G7"/>
  </mergeCells>
  <pageMargins left="0.16" right="0.16" top="0.23" bottom="0.16" header="0.23" footer="0.16"/>
  <pageSetup scale="31" orientation="landscape" r:id="rId1"/>
  <rowBreaks count="2" manualBreakCount="2">
    <brk id="11" min="1" max="30" man="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5873F-8E1A-416D-B066-FA77DC2EF796}">
  <dimension ref="B1:AE29"/>
  <sheetViews>
    <sheetView topLeftCell="A23" zoomScale="60" zoomScaleNormal="60" workbookViewId="0">
      <selection activeCell="I9" sqref="I9:I10"/>
    </sheetView>
  </sheetViews>
  <sheetFormatPr defaultRowHeight="18.75" x14ac:dyDescent="0.3"/>
  <cols>
    <col min="1" max="1" width="0.28515625" customWidth="1"/>
    <col min="2" max="2" width="6.28515625" style="4" customWidth="1"/>
    <col min="3" max="3" width="9" style="4" customWidth="1"/>
    <col min="4" max="4" width="11.7109375" style="4" customWidth="1"/>
    <col min="5" max="5" width="32.140625" style="4" customWidth="1"/>
    <col min="6" max="6" width="20.85546875" style="4" customWidth="1"/>
    <col min="7" max="7" width="26.85546875" style="4" customWidth="1"/>
    <col min="8" max="8" width="58" style="4" customWidth="1"/>
    <col min="9" max="9" width="122.5703125" style="4" customWidth="1"/>
    <col min="10" max="10" width="5" style="8" customWidth="1"/>
    <col min="11" max="12" width="4.7109375" style="2" customWidth="1"/>
    <col min="13" max="13" width="4.7109375" style="8" customWidth="1"/>
    <col min="14" max="15" width="4.7109375" style="2" customWidth="1"/>
    <col min="16" max="16" width="4.7109375" style="8" hidden="1" customWidth="1"/>
    <col min="17" max="18" width="4.7109375" style="2" hidden="1" customWidth="1"/>
    <col min="19" max="21" width="4.7109375" style="2" customWidth="1"/>
    <col min="22" max="22" width="4.7109375" style="8" hidden="1" customWidth="1"/>
    <col min="23" max="24" width="4.7109375" style="2" hidden="1" customWidth="1"/>
    <col min="25" max="25" width="4.7109375" style="8" hidden="1" customWidth="1"/>
    <col min="26" max="27" width="4.7109375" style="2" hidden="1" customWidth="1"/>
    <col min="28" max="28" width="4.5703125" style="8" customWidth="1"/>
    <col min="29" max="30" width="4.5703125" style="2" customWidth="1"/>
    <col min="31" max="31" width="84.28515625" style="4" customWidth="1"/>
    <col min="32" max="53" width="5.7109375" customWidth="1"/>
  </cols>
  <sheetData>
    <row r="1" spans="2:31" ht="51" x14ac:dyDescent="0.25">
      <c r="B1" s="367" t="s">
        <v>0</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row>
    <row r="2" spans="2:31" ht="24.75" customHeight="1" x14ac:dyDescent="0.25">
      <c r="B2" s="368" t="s">
        <v>1</v>
      </c>
      <c r="C2" s="368"/>
      <c r="D2" s="368"/>
      <c r="E2" s="368"/>
      <c r="F2" s="368"/>
      <c r="G2" s="368"/>
      <c r="H2" s="368"/>
      <c r="I2" s="368"/>
      <c r="J2" s="368"/>
      <c r="K2" s="368"/>
      <c r="L2" s="368"/>
      <c r="M2" s="368"/>
      <c r="N2" s="368"/>
      <c r="O2" s="368"/>
      <c r="P2" s="368"/>
      <c r="Q2" s="368"/>
      <c r="R2" s="368"/>
      <c r="S2" s="368"/>
      <c r="T2" s="368"/>
      <c r="U2" s="368"/>
      <c r="V2" s="368"/>
      <c r="W2" s="368"/>
      <c r="X2" s="368"/>
      <c r="Y2" s="368"/>
      <c r="Z2" s="368"/>
      <c r="AA2" s="368"/>
      <c r="AB2" s="368"/>
      <c r="AC2" s="368"/>
      <c r="AD2" s="368"/>
      <c r="AE2" s="368"/>
    </row>
    <row r="3" spans="2:31" ht="24" customHeight="1" x14ac:dyDescent="0.25">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row>
    <row r="4" spans="2:31" ht="29.25" customHeight="1" x14ac:dyDescent="0.25">
      <c r="B4" s="368" t="s">
        <v>311</v>
      </c>
      <c r="C4" s="368"/>
      <c r="D4" s="368"/>
      <c r="E4" s="368"/>
      <c r="F4" s="368"/>
      <c r="G4" s="368"/>
      <c r="H4" s="368"/>
      <c r="I4" s="368"/>
      <c r="J4" s="368"/>
      <c r="K4" s="368"/>
      <c r="L4" s="368"/>
      <c r="M4" s="368"/>
      <c r="N4" s="368"/>
      <c r="O4" s="368"/>
      <c r="P4" s="368"/>
      <c r="Q4" s="368"/>
      <c r="R4" s="368"/>
      <c r="S4" s="368"/>
      <c r="T4" s="368"/>
      <c r="U4" s="368"/>
      <c r="V4" s="368"/>
      <c r="W4" s="368"/>
      <c r="X4" s="368"/>
      <c r="Y4" s="368"/>
      <c r="Z4" s="368"/>
      <c r="AA4" s="368"/>
      <c r="AB4" s="368"/>
      <c r="AC4" s="368"/>
      <c r="AD4" s="368"/>
      <c r="AE4" s="368"/>
    </row>
    <row r="5" spans="2:31" ht="17.25" thickBot="1" x14ac:dyDescent="0.35">
      <c r="B5" s="369" t="s">
        <v>231</v>
      </c>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69"/>
      <c r="AE5" s="369"/>
    </row>
    <row r="6" spans="2:31" ht="224.25" customHeight="1" x14ac:dyDescent="0.25">
      <c r="B6" s="370" t="s">
        <v>2</v>
      </c>
      <c r="C6" s="372" t="s">
        <v>3</v>
      </c>
      <c r="D6" s="372" t="s">
        <v>4</v>
      </c>
      <c r="E6" s="360" t="s">
        <v>5</v>
      </c>
      <c r="F6" s="360" t="s">
        <v>6</v>
      </c>
      <c r="G6" s="360" t="s">
        <v>7</v>
      </c>
      <c r="H6" s="360" t="s">
        <v>8</v>
      </c>
      <c r="I6" s="362" t="s">
        <v>9</v>
      </c>
      <c r="J6" s="360" t="s">
        <v>128</v>
      </c>
      <c r="K6" s="360"/>
      <c r="L6" s="360"/>
      <c r="M6" s="360" t="s">
        <v>174</v>
      </c>
      <c r="N6" s="360"/>
      <c r="O6" s="360"/>
      <c r="P6" s="360" t="s">
        <v>238</v>
      </c>
      <c r="Q6" s="360"/>
      <c r="R6" s="360"/>
      <c r="S6" s="364" t="s">
        <v>129</v>
      </c>
      <c r="T6" s="360"/>
      <c r="U6" s="365"/>
      <c r="V6" s="374" t="s">
        <v>130</v>
      </c>
      <c r="W6" s="360"/>
      <c r="X6" s="360"/>
      <c r="Y6" s="360" t="s">
        <v>239</v>
      </c>
      <c r="Z6" s="360"/>
      <c r="AA6" s="360"/>
      <c r="AB6" s="360" t="s">
        <v>131</v>
      </c>
      <c r="AC6" s="360"/>
      <c r="AD6" s="360"/>
      <c r="AE6" s="365" t="s">
        <v>10</v>
      </c>
    </row>
    <row r="7" spans="2:31" ht="162" customHeight="1" thickBot="1" x14ac:dyDescent="0.3">
      <c r="B7" s="371"/>
      <c r="C7" s="373"/>
      <c r="D7" s="373"/>
      <c r="E7" s="361"/>
      <c r="F7" s="361"/>
      <c r="G7" s="361"/>
      <c r="H7" s="361"/>
      <c r="I7" s="363"/>
      <c r="J7" s="9" t="s">
        <v>11</v>
      </c>
      <c r="K7" s="9" t="s">
        <v>12</v>
      </c>
      <c r="L7" s="9" t="s">
        <v>13</v>
      </c>
      <c r="M7" s="9" t="s">
        <v>11</v>
      </c>
      <c r="N7" s="9" t="s">
        <v>12</v>
      </c>
      <c r="O7" s="9" t="s">
        <v>13</v>
      </c>
      <c r="P7" s="9" t="s">
        <v>11</v>
      </c>
      <c r="Q7" s="9" t="s">
        <v>12</v>
      </c>
      <c r="R7" s="10" t="s">
        <v>13</v>
      </c>
      <c r="S7" s="11" t="s">
        <v>11</v>
      </c>
      <c r="T7" s="9" t="s">
        <v>12</v>
      </c>
      <c r="U7" s="13" t="s">
        <v>13</v>
      </c>
      <c r="V7" s="12" t="s">
        <v>11</v>
      </c>
      <c r="W7" s="9" t="s">
        <v>12</v>
      </c>
      <c r="X7" s="9" t="s">
        <v>13</v>
      </c>
      <c r="Y7" s="9" t="s">
        <v>11</v>
      </c>
      <c r="Z7" s="9" t="s">
        <v>12</v>
      </c>
      <c r="AA7" s="9" t="s">
        <v>13</v>
      </c>
      <c r="AB7" s="9" t="s">
        <v>11</v>
      </c>
      <c r="AC7" s="9" t="s">
        <v>12</v>
      </c>
      <c r="AD7" s="9" t="s">
        <v>13</v>
      </c>
      <c r="AE7" s="375"/>
    </row>
    <row r="8" spans="2:31" ht="57.75" customHeight="1" thickBot="1" x14ac:dyDescent="0.3">
      <c r="B8" s="284" t="s">
        <v>368</v>
      </c>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6"/>
    </row>
    <row r="9" spans="2:31" ht="237.75" customHeight="1" x14ac:dyDescent="0.25">
      <c r="B9" s="118">
        <v>1</v>
      </c>
      <c r="C9" s="331">
        <v>1157</v>
      </c>
      <c r="D9" s="119">
        <v>42001</v>
      </c>
      <c r="E9" s="40" t="s">
        <v>42</v>
      </c>
      <c r="F9" s="109" t="s">
        <v>87</v>
      </c>
      <c r="G9" s="220" t="s">
        <v>251</v>
      </c>
      <c r="H9" s="42" t="s">
        <v>88</v>
      </c>
      <c r="I9" s="288" t="s">
        <v>348</v>
      </c>
      <c r="J9" s="64">
        <f t="shared" ref="J9:J17" si="0">K9+L9</f>
        <v>28972.100000000002</v>
      </c>
      <c r="K9" s="60">
        <v>24143.4</v>
      </c>
      <c r="L9" s="61">
        <v>4828.7</v>
      </c>
      <c r="M9" s="62">
        <f t="shared" ref="M9:M17" si="1">N9+O9</f>
        <v>487310.4</v>
      </c>
      <c r="N9" s="15">
        <f>24143.4+381948.6</f>
        <v>406092</v>
      </c>
      <c r="O9" s="15">
        <f>4828.7+76389.7</f>
        <v>81218.399999999994</v>
      </c>
      <c r="P9" s="62">
        <f t="shared" ref="P9:P15" si="2">Q9+R9</f>
        <v>293812.59999999998</v>
      </c>
      <c r="Q9" s="15">
        <f>24143.4+220700.4</f>
        <v>244843.8</v>
      </c>
      <c r="R9" s="236">
        <f>4828.7+44140.1</f>
        <v>48968.799999999996</v>
      </c>
      <c r="S9" s="263">
        <f t="shared" ref="S9:S17" si="3">T9+U9</f>
        <v>252731.7</v>
      </c>
      <c r="T9" s="264">
        <v>183565.7</v>
      </c>
      <c r="U9" s="265">
        <v>69166</v>
      </c>
      <c r="V9" s="131">
        <f t="shared" ref="V9:V17" si="4">W9+X9</f>
        <v>252731.7</v>
      </c>
      <c r="W9" s="61">
        <v>183565.7</v>
      </c>
      <c r="X9" s="61">
        <v>69166</v>
      </c>
      <c r="Y9" s="64">
        <f t="shared" ref="Y9:AA20" si="5">S9/P9*100</f>
        <v>86.0179924210194</v>
      </c>
      <c r="Z9" s="65">
        <f t="shared" si="5"/>
        <v>74.972574351484511</v>
      </c>
      <c r="AA9" s="65">
        <f t="shared" si="5"/>
        <v>141.24503765663036</v>
      </c>
      <c r="AB9" s="64">
        <f t="shared" ref="AB9:AD20" si="6">S9/M9*100</f>
        <v>51.862570550515649</v>
      </c>
      <c r="AC9" s="65">
        <f t="shared" si="6"/>
        <v>45.202983560375486</v>
      </c>
      <c r="AD9" s="65">
        <f t="shared" si="6"/>
        <v>85.160505501216477</v>
      </c>
      <c r="AE9" s="322" t="s">
        <v>349</v>
      </c>
    </row>
    <row r="10" spans="2:31" ht="234" customHeight="1" x14ac:dyDescent="0.25">
      <c r="B10" s="120">
        <v>2</v>
      </c>
      <c r="C10" s="287"/>
      <c r="D10" s="36">
        <v>12003</v>
      </c>
      <c r="E10" s="29" t="s">
        <v>44</v>
      </c>
      <c r="F10" s="46" t="s">
        <v>89</v>
      </c>
      <c r="G10" s="221" t="s">
        <v>252</v>
      </c>
      <c r="H10" s="47" t="s">
        <v>90</v>
      </c>
      <c r="I10" s="289"/>
      <c r="J10" s="16">
        <f t="shared" si="0"/>
        <v>10187.5</v>
      </c>
      <c r="K10" s="17">
        <v>8489.6</v>
      </c>
      <c r="L10" s="68">
        <v>1697.9</v>
      </c>
      <c r="M10" s="20">
        <f t="shared" si="1"/>
        <v>229932.30000000002</v>
      </c>
      <c r="N10" s="19">
        <f>8489.6+183120.7</f>
        <v>191610.30000000002</v>
      </c>
      <c r="O10" s="19">
        <f>1697.9+36624.1</f>
        <v>38322</v>
      </c>
      <c r="P10" s="20">
        <f t="shared" si="2"/>
        <v>140639.70000000001</v>
      </c>
      <c r="Q10" s="19">
        <f>8489.6+108710.2</f>
        <v>117199.8</v>
      </c>
      <c r="R10" s="237">
        <f>1697.9+21742</f>
        <v>23439.9</v>
      </c>
      <c r="S10" s="222">
        <f t="shared" si="3"/>
        <v>34369.399999999994</v>
      </c>
      <c r="T10" s="223">
        <v>24788.6</v>
      </c>
      <c r="U10" s="224">
        <v>9580.7999999999993</v>
      </c>
      <c r="V10" s="116">
        <f t="shared" si="4"/>
        <v>34369.399999999994</v>
      </c>
      <c r="W10" s="68">
        <v>24788.6</v>
      </c>
      <c r="X10" s="68">
        <v>9580.7999999999993</v>
      </c>
      <c r="Y10" s="22">
        <f t="shared" si="5"/>
        <v>24.437907646276258</v>
      </c>
      <c r="Z10" s="23">
        <f t="shared" si="5"/>
        <v>21.150718687233251</v>
      </c>
      <c r="AA10" s="23">
        <f t="shared" si="5"/>
        <v>40.87389451320184</v>
      </c>
      <c r="AB10" s="22">
        <f t="shared" si="6"/>
        <v>14.94761718992938</v>
      </c>
      <c r="AC10" s="23">
        <f t="shared" si="6"/>
        <v>12.93698720789018</v>
      </c>
      <c r="AD10" s="23">
        <f t="shared" si="6"/>
        <v>25.000782840144041</v>
      </c>
      <c r="AE10" s="322"/>
    </row>
    <row r="11" spans="2:31" ht="283.5" customHeight="1" x14ac:dyDescent="0.25">
      <c r="B11" s="120">
        <v>3</v>
      </c>
      <c r="C11" s="287"/>
      <c r="D11" s="112">
        <v>42003</v>
      </c>
      <c r="E11" s="29" t="s">
        <v>43</v>
      </c>
      <c r="F11" s="121" t="s">
        <v>91</v>
      </c>
      <c r="G11" s="75" t="s">
        <v>258</v>
      </c>
      <c r="H11" s="47" t="s">
        <v>92</v>
      </c>
      <c r="I11" s="75" t="s">
        <v>204</v>
      </c>
      <c r="J11" s="16">
        <f t="shared" si="0"/>
        <v>1018752</v>
      </c>
      <c r="K11" s="17">
        <v>848960</v>
      </c>
      <c r="L11" s="17">
        <v>169792</v>
      </c>
      <c r="M11" s="22">
        <f t="shared" si="1"/>
        <v>1018752</v>
      </c>
      <c r="N11" s="23">
        <v>848960</v>
      </c>
      <c r="O11" s="23">
        <v>169792</v>
      </c>
      <c r="P11" s="22">
        <f t="shared" si="2"/>
        <v>844721</v>
      </c>
      <c r="Q11" s="23">
        <v>740717.6</v>
      </c>
      <c r="R11" s="238">
        <f>148143.5-44140.1</f>
        <v>104003.4</v>
      </c>
      <c r="S11" s="216">
        <f>T11+U11</f>
        <v>759378.10000000009</v>
      </c>
      <c r="T11" s="217">
        <v>659498.30000000005</v>
      </c>
      <c r="U11" s="218">
        <v>99879.8</v>
      </c>
      <c r="V11" s="21">
        <f t="shared" si="4"/>
        <v>759378.10000000009</v>
      </c>
      <c r="W11" s="17">
        <v>659498.30000000005</v>
      </c>
      <c r="X11" s="17">
        <v>99879.8</v>
      </c>
      <c r="Y11" s="22">
        <f t="shared" si="5"/>
        <v>89.896912708456412</v>
      </c>
      <c r="Z11" s="23">
        <f t="shared" si="5"/>
        <v>89.035051955023079</v>
      </c>
      <c r="AA11" s="23">
        <f t="shared" si="5"/>
        <v>96.035129620762405</v>
      </c>
      <c r="AB11" s="22">
        <f t="shared" si="6"/>
        <v>74.540035258826492</v>
      </c>
      <c r="AC11" s="23">
        <f t="shared" si="6"/>
        <v>77.683082830757641</v>
      </c>
      <c r="AD11" s="23">
        <f t="shared" si="6"/>
        <v>58.824797399170748</v>
      </c>
      <c r="AE11" s="191" t="s">
        <v>344</v>
      </c>
    </row>
    <row r="12" spans="2:31" ht="238.5" customHeight="1" x14ac:dyDescent="0.25">
      <c r="B12" s="120">
        <v>4</v>
      </c>
      <c r="C12" s="287"/>
      <c r="D12" s="36">
        <v>12014</v>
      </c>
      <c r="E12" s="29" t="s">
        <v>165</v>
      </c>
      <c r="F12" s="46" t="s">
        <v>91</v>
      </c>
      <c r="G12" s="75" t="s">
        <v>259</v>
      </c>
      <c r="H12" s="47" t="s">
        <v>92</v>
      </c>
      <c r="I12" s="47" t="s">
        <v>279</v>
      </c>
      <c r="J12" s="16">
        <f t="shared" si="0"/>
        <v>331518.90000000002</v>
      </c>
      <c r="K12" s="68">
        <v>328972</v>
      </c>
      <c r="L12" s="68">
        <v>2546.9</v>
      </c>
      <c r="M12" s="20">
        <f t="shared" si="1"/>
        <v>0</v>
      </c>
      <c r="N12" s="19">
        <f>328972-328972</f>
        <v>0</v>
      </c>
      <c r="O12" s="19">
        <f>2546.9-2546.9</f>
        <v>0</v>
      </c>
      <c r="P12" s="20">
        <f t="shared" si="2"/>
        <v>331518.90000000002</v>
      </c>
      <c r="Q12" s="19">
        <v>328972</v>
      </c>
      <c r="R12" s="242">
        <v>2546.9</v>
      </c>
      <c r="S12" s="225">
        <f t="shared" si="3"/>
        <v>0</v>
      </c>
      <c r="T12" s="226">
        <v>0</v>
      </c>
      <c r="U12" s="227">
        <v>0</v>
      </c>
      <c r="V12" s="21">
        <f t="shared" si="4"/>
        <v>0</v>
      </c>
      <c r="W12" s="17">
        <v>0</v>
      </c>
      <c r="X12" s="17">
        <v>0</v>
      </c>
      <c r="Y12" s="22">
        <f t="shared" si="5"/>
        <v>0</v>
      </c>
      <c r="Z12" s="23">
        <f t="shared" si="5"/>
        <v>0</v>
      </c>
      <c r="AA12" s="23">
        <f t="shared" si="5"/>
        <v>0</v>
      </c>
      <c r="AB12" s="22">
        <v>0</v>
      </c>
      <c r="AC12" s="23">
        <v>0</v>
      </c>
      <c r="AD12" s="23">
        <v>0</v>
      </c>
      <c r="AE12" s="248" t="s">
        <v>289</v>
      </c>
    </row>
    <row r="13" spans="2:31" ht="255" customHeight="1" x14ac:dyDescent="0.25">
      <c r="B13" s="43">
        <v>5</v>
      </c>
      <c r="C13" s="287"/>
      <c r="D13" s="36">
        <v>12004</v>
      </c>
      <c r="E13" s="29" t="s">
        <v>166</v>
      </c>
      <c r="F13" s="50" t="s">
        <v>122</v>
      </c>
      <c r="G13" s="45" t="s">
        <v>253</v>
      </c>
      <c r="H13" s="75" t="s">
        <v>93</v>
      </c>
      <c r="I13" s="75" t="s">
        <v>229</v>
      </c>
      <c r="J13" s="16">
        <f t="shared" si="0"/>
        <v>1018.7</v>
      </c>
      <c r="K13" s="17">
        <v>848.9</v>
      </c>
      <c r="L13" s="17">
        <v>169.8</v>
      </c>
      <c r="M13" s="22">
        <f t="shared" si="1"/>
        <v>1018.7</v>
      </c>
      <c r="N13" s="23">
        <v>848.9</v>
      </c>
      <c r="O13" s="23">
        <v>169.8</v>
      </c>
      <c r="P13" s="22">
        <f t="shared" si="2"/>
        <v>1018.7</v>
      </c>
      <c r="Q13" s="23">
        <v>848.9</v>
      </c>
      <c r="R13" s="238">
        <v>169.8</v>
      </c>
      <c r="S13" s="216">
        <f t="shared" si="3"/>
        <v>0</v>
      </c>
      <c r="T13" s="217">
        <v>0</v>
      </c>
      <c r="U13" s="218">
        <v>0</v>
      </c>
      <c r="V13" s="21">
        <f t="shared" si="4"/>
        <v>0</v>
      </c>
      <c r="W13" s="17">
        <v>0</v>
      </c>
      <c r="X13" s="17">
        <v>0</v>
      </c>
      <c r="Y13" s="22">
        <f t="shared" si="5"/>
        <v>0</v>
      </c>
      <c r="Z13" s="23">
        <f t="shared" si="5"/>
        <v>0</v>
      </c>
      <c r="AA13" s="23">
        <f t="shared" si="5"/>
        <v>0</v>
      </c>
      <c r="AB13" s="22">
        <f t="shared" si="6"/>
        <v>0</v>
      </c>
      <c r="AC13" s="23">
        <f t="shared" si="6"/>
        <v>0</v>
      </c>
      <c r="AD13" s="23">
        <f t="shared" si="6"/>
        <v>0</v>
      </c>
      <c r="AE13" s="191" t="s">
        <v>343</v>
      </c>
    </row>
    <row r="14" spans="2:31" ht="266.25" customHeight="1" x14ac:dyDescent="0.25">
      <c r="B14" s="31">
        <v>6</v>
      </c>
      <c r="C14" s="287"/>
      <c r="D14" s="52">
        <v>12029</v>
      </c>
      <c r="E14" s="29" t="s">
        <v>167</v>
      </c>
      <c r="F14" s="323" t="s">
        <v>223</v>
      </c>
      <c r="G14" s="325" t="s">
        <v>209</v>
      </c>
      <c r="H14" s="327" t="s">
        <v>207</v>
      </c>
      <c r="I14" s="329" t="s">
        <v>260</v>
      </c>
      <c r="J14" s="16">
        <f t="shared" si="0"/>
        <v>1171420.3999999999</v>
      </c>
      <c r="K14" s="68">
        <v>976183.7</v>
      </c>
      <c r="L14" s="68">
        <v>195236.7</v>
      </c>
      <c r="M14" s="20">
        <f t="shared" si="1"/>
        <v>79772.29999999993</v>
      </c>
      <c r="N14" s="19">
        <f>976183.7-920242.9</f>
        <v>55940.79999999993</v>
      </c>
      <c r="O14" s="19">
        <f>195236.7-171405.2</f>
        <v>23831.5</v>
      </c>
      <c r="P14" s="20">
        <f t="shared" si="2"/>
        <v>1128377.3</v>
      </c>
      <c r="Q14" s="19">
        <v>941862.5</v>
      </c>
      <c r="R14" s="242">
        <v>186514.8</v>
      </c>
      <c r="S14" s="225">
        <f t="shared" si="3"/>
        <v>44826.899999999994</v>
      </c>
      <c r="T14" s="226">
        <v>32533.1</v>
      </c>
      <c r="U14" s="218">
        <v>12293.8</v>
      </c>
      <c r="V14" s="116">
        <f t="shared" si="4"/>
        <v>44826.899999999994</v>
      </c>
      <c r="W14" s="68">
        <v>32533.1</v>
      </c>
      <c r="X14" s="68">
        <v>12293.8</v>
      </c>
      <c r="Y14" s="20">
        <f t="shared" si="5"/>
        <v>3.9726871499453233</v>
      </c>
      <c r="Z14" s="19">
        <f t="shared" si="5"/>
        <v>3.4541241423243836</v>
      </c>
      <c r="AA14" s="19">
        <f t="shared" si="5"/>
        <v>6.5913268008758559</v>
      </c>
      <c r="AB14" s="22">
        <f t="shared" si="6"/>
        <v>56.193565937048362</v>
      </c>
      <c r="AC14" s="23">
        <v>0</v>
      </c>
      <c r="AD14" s="23">
        <f t="shared" si="6"/>
        <v>51.586345802823985</v>
      </c>
      <c r="AE14" s="191" t="s">
        <v>345</v>
      </c>
    </row>
    <row r="15" spans="2:31" ht="218.25" customHeight="1" thickBot="1" x14ac:dyDescent="0.3">
      <c r="B15" s="43">
        <v>7</v>
      </c>
      <c r="C15" s="287"/>
      <c r="D15" s="52">
        <v>12030</v>
      </c>
      <c r="E15" s="29" t="s">
        <v>168</v>
      </c>
      <c r="F15" s="324"/>
      <c r="G15" s="326"/>
      <c r="H15" s="328"/>
      <c r="I15" s="330"/>
      <c r="J15" s="16">
        <f t="shared" si="0"/>
        <v>3091415.0999999996</v>
      </c>
      <c r="K15" s="17">
        <v>2575148.7999999998</v>
      </c>
      <c r="L15" s="68">
        <v>516266.3</v>
      </c>
      <c r="M15" s="20">
        <f t="shared" si="1"/>
        <v>0</v>
      </c>
      <c r="N15" s="19">
        <f>2575148.8-2575148.8</f>
        <v>0</v>
      </c>
      <c r="O15" s="19">
        <f>516266.3-516266.3</f>
        <v>0</v>
      </c>
      <c r="P15" s="22">
        <f t="shared" si="2"/>
        <v>3091415.0999999996</v>
      </c>
      <c r="Q15" s="23">
        <v>2575148.7999999998</v>
      </c>
      <c r="R15" s="238">
        <v>516266.3</v>
      </c>
      <c r="S15" s="216">
        <f t="shared" si="3"/>
        <v>0</v>
      </c>
      <c r="T15" s="217">
        <v>0</v>
      </c>
      <c r="U15" s="218">
        <v>0</v>
      </c>
      <c r="V15" s="21">
        <f t="shared" si="4"/>
        <v>0</v>
      </c>
      <c r="W15" s="17">
        <v>0</v>
      </c>
      <c r="X15" s="17">
        <v>0</v>
      </c>
      <c r="Y15" s="22">
        <f t="shared" si="5"/>
        <v>0</v>
      </c>
      <c r="Z15" s="23">
        <f t="shared" si="5"/>
        <v>0</v>
      </c>
      <c r="AA15" s="23">
        <f t="shared" si="5"/>
        <v>0</v>
      </c>
      <c r="AB15" s="22">
        <v>0</v>
      </c>
      <c r="AC15" s="23">
        <v>0</v>
      </c>
      <c r="AD15" s="23">
        <v>0</v>
      </c>
      <c r="AE15" s="248" t="s">
        <v>289</v>
      </c>
    </row>
    <row r="16" spans="2:31" ht="306" customHeight="1" x14ac:dyDescent="0.25">
      <c r="B16" s="120">
        <v>8</v>
      </c>
      <c r="C16" s="287"/>
      <c r="D16" s="52">
        <v>12020</v>
      </c>
      <c r="E16" s="45" t="s">
        <v>271</v>
      </c>
      <c r="F16" s="45" t="s">
        <v>280</v>
      </c>
      <c r="G16" s="45" t="s">
        <v>272</v>
      </c>
      <c r="H16" s="45" t="s">
        <v>277</v>
      </c>
      <c r="I16" s="45" t="s">
        <v>346</v>
      </c>
      <c r="J16" s="20">
        <f t="shared" si="0"/>
        <v>0</v>
      </c>
      <c r="K16" s="61">
        <v>0</v>
      </c>
      <c r="L16" s="61">
        <v>0</v>
      </c>
      <c r="M16" s="20">
        <f t="shared" si="1"/>
        <v>40909.199999999997</v>
      </c>
      <c r="N16" s="61">
        <v>40909.199999999997</v>
      </c>
      <c r="O16" s="61">
        <v>0</v>
      </c>
      <c r="P16" s="243"/>
      <c r="Q16" s="61"/>
      <c r="R16" s="250"/>
      <c r="S16" s="222">
        <f t="shared" si="3"/>
        <v>40909.199999999997</v>
      </c>
      <c r="T16" s="228">
        <v>40909.199999999997</v>
      </c>
      <c r="U16" s="229">
        <v>0</v>
      </c>
      <c r="V16" s="24">
        <f t="shared" si="4"/>
        <v>40909.199999999997</v>
      </c>
      <c r="W16" s="60">
        <v>40909.199999999997</v>
      </c>
      <c r="X16" s="60">
        <v>0</v>
      </c>
      <c r="Y16" s="59"/>
      <c r="Z16" s="60"/>
      <c r="AA16" s="60"/>
      <c r="AB16" s="22">
        <f t="shared" si="6"/>
        <v>100</v>
      </c>
      <c r="AC16" s="23">
        <f t="shared" si="6"/>
        <v>100</v>
      </c>
      <c r="AD16" s="23">
        <v>0</v>
      </c>
      <c r="AE16" s="248" t="s">
        <v>116</v>
      </c>
    </row>
    <row r="17" spans="2:31" ht="369.75" customHeight="1" thickBot="1" x14ac:dyDescent="0.3">
      <c r="B17" s="51">
        <v>9</v>
      </c>
      <c r="C17" s="287"/>
      <c r="D17" s="206">
        <v>12021</v>
      </c>
      <c r="E17" s="29" t="s">
        <v>273</v>
      </c>
      <c r="F17" s="29" t="s">
        <v>281</v>
      </c>
      <c r="G17" s="29" t="s">
        <v>274</v>
      </c>
      <c r="H17" s="45" t="s">
        <v>278</v>
      </c>
      <c r="I17" s="45" t="s">
        <v>347</v>
      </c>
      <c r="J17" s="16">
        <f t="shared" si="0"/>
        <v>0</v>
      </c>
      <c r="K17" s="68">
        <v>0</v>
      </c>
      <c r="L17" s="68">
        <v>0</v>
      </c>
      <c r="M17" s="18">
        <f t="shared" si="1"/>
        <v>170831.8</v>
      </c>
      <c r="N17" s="68">
        <v>170831.8</v>
      </c>
      <c r="O17" s="68">
        <v>0</v>
      </c>
      <c r="P17" s="18"/>
      <c r="Q17" s="68"/>
      <c r="R17" s="69"/>
      <c r="S17" s="225">
        <f t="shared" si="3"/>
        <v>170831.8</v>
      </c>
      <c r="T17" s="226">
        <v>170831.8</v>
      </c>
      <c r="U17" s="227">
        <v>0</v>
      </c>
      <c r="V17" s="116">
        <f t="shared" si="4"/>
        <v>170831.8</v>
      </c>
      <c r="W17" s="17">
        <v>170831.8</v>
      </c>
      <c r="X17" s="17">
        <v>0</v>
      </c>
      <c r="Y17" s="16"/>
      <c r="Z17" s="17"/>
      <c r="AA17" s="17"/>
      <c r="AB17" s="16">
        <f t="shared" si="6"/>
        <v>100</v>
      </c>
      <c r="AC17" s="17">
        <f t="shared" si="6"/>
        <v>100</v>
      </c>
      <c r="AD17" s="17">
        <v>0</v>
      </c>
      <c r="AE17" s="248" t="s">
        <v>116</v>
      </c>
    </row>
    <row r="18" spans="2:31" ht="153" customHeight="1" x14ac:dyDescent="0.3">
      <c r="B18" s="278" t="s">
        <v>21</v>
      </c>
      <c r="C18" s="279"/>
      <c r="D18" s="279"/>
      <c r="E18" s="279"/>
      <c r="F18" s="279"/>
      <c r="G18" s="279"/>
      <c r="H18" s="279"/>
      <c r="I18" s="279"/>
      <c r="J18" s="149">
        <f>SUM(J9:J17)</f>
        <v>5653284.6999999993</v>
      </c>
      <c r="K18" s="150">
        <f>SUM(K9:K17)</f>
        <v>4762746.3999999994</v>
      </c>
      <c r="L18" s="150">
        <f>SUM(L9:L17)</f>
        <v>890538.3</v>
      </c>
      <c r="M18" s="149">
        <f>SUM(M9:M17)</f>
        <v>2028526.7000000002</v>
      </c>
      <c r="N18" s="150">
        <f>SUM(N9:N17)</f>
        <v>1715193</v>
      </c>
      <c r="O18" s="150">
        <f>SUM(O9:O17)</f>
        <v>313333.7</v>
      </c>
      <c r="P18" s="149">
        <f>SUM(P9:P15)</f>
        <v>5831503.2999999998</v>
      </c>
      <c r="Q18" s="150">
        <f>SUM(Q9:Q15)</f>
        <v>4949593.3999999994</v>
      </c>
      <c r="R18" s="151">
        <f>SUM(R9:R15)</f>
        <v>881909.89999999991</v>
      </c>
      <c r="S18" s="133">
        <f>SUM(S9:S17)</f>
        <v>1303047.1000000001</v>
      </c>
      <c r="T18" s="134">
        <f>SUM(T9:T17)</f>
        <v>1112126.7</v>
      </c>
      <c r="U18" s="135">
        <f>SUM(U9:U17)</f>
        <v>190920.4</v>
      </c>
      <c r="V18" s="152">
        <f>SUM(V9:V17)</f>
        <v>1303047.1000000001</v>
      </c>
      <c r="W18" s="150">
        <f>SUM(W9:W17)</f>
        <v>1112126.7</v>
      </c>
      <c r="X18" s="150">
        <f>SUM(X9:X17)</f>
        <v>190920.4</v>
      </c>
      <c r="Y18" s="80">
        <f t="shared" si="5"/>
        <v>22.344960346674249</v>
      </c>
      <c r="Z18" s="81">
        <f t="shared" si="5"/>
        <v>22.469051700287139</v>
      </c>
      <c r="AA18" s="81">
        <f t="shared" si="5"/>
        <v>21.648515341533191</v>
      </c>
      <c r="AB18" s="80">
        <f t="shared" si="6"/>
        <v>64.236132558669297</v>
      </c>
      <c r="AC18" s="81">
        <f t="shared" si="6"/>
        <v>64.839741067040265</v>
      </c>
      <c r="AD18" s="81">
        <f t="shared" si="6"/>
        <v>60.931971249820869</v>
      </c>
      <c r="AE18" s="244"/>
    </row>
    <row r="19" spans="2:31" ht="143.25" customHeight="1" x14ac:dyDescent="0.3">
      <c r="B19" s="280" t="s">
        <v>15</v>
      </c>
      <c r="C19" s="281"/>
      <c r="D19" s="281"/>
      <c r="E19" s="281"/>
      <c r="F19" s="281"/>
      <c r="G19" s="281"/>
      <c r="H19" s="281"/>
      <c r="I19" s="281"/>
      <c r="J19" s="86">
        <f>J14</f>
        <v>1171420.3999999999</v>
      </c>
      <c r="K19" s="87">
        <f>K14</f>
        <v>976183.7</v>
      </c>
      <c r="L19" s="87">
        <f>L14</f>
        <v>195236.7</v>
      </c>
      <c r="M19" s="86">
        <f>M14</f>
        <v>79772.29999999993</v>
      </c>
      <c r="N19" s="87">
        <f>N14</f>
        <v>55940.79999999993</v>
      </c>
      <c r="O19" s="87">
        <f>O14</f>
        <v>23831.5</v>
      </c>
      <c r="P19" s="86" t="e">
        <f>P14+#REF!</f>
        <v>#REF!</v>
      </c>
      <c r="Q19" s="87" t="e">
        <f>Q14+#REF!</f>
        <v>#REF!</v>
      </c>
      <c r="R19" s="88" t="e">
        <f>R14+#REF!</f>
        <v>#REF!</v>
      </c>
      <c r="S19" s="138">
        <f>S14</f>
        <v>44826.899999999994</v>
      </c>
      <c r="T19" s="139">
        <f>T14</f>
        <v>32533.1</v>
      </c>
      <c r="U19" s="140">
        <f>U14</f>
        <v>12293.8</v>
      </c>
      <c r="V19" s="89" t="e">
        <f>V14+#REF!</f>
        <v>#REF!</v>
      </c>
      <c r="W19" s="87" t="e">
        <f>W14+#REF!</f>
        <v>#REF!</v>
      </c>
      <c r="X19" s="87" t="e">
        <f>X14+#REF!</f>
        <v>#REF!</v>
      </c>
      <c r="Y19" s="82" t="e">
        <f t="shared" si="5"/>
        <v>#REF!</v>
      </c>
      <c r="Z19" s="83" t="e">
        <f t="shared" si="5"/>
        <v>#REF!</v>
      </c>
      <c r="AA19" s="83" t="e">
        <f t="shared" si="5"/>
        <v>#REF!</v>
      </c>
      <c r="AB19" s="82">
        <f t="shared" si="6"/>
        <v>56.193565937048362</v>
      </c>
      <c r="AC19" s="83">
        <f t="shared" si="6"/>
        <v>58.15630094671517</v>
      </c>
      <c r="AD19" s="83">
        <f t="shared" si="6"/>
        <v>51.586345802823985</v>
      </c>
      <c r="AE19" s="208"/>
    </row>
    <row r="20" spans="2:31" ht="151.5" customHeight="1" thickBot="1" x14ac:dyDescent="0.35">
      <c r="B20" s="282" t="s">
        <v>16</v>
      </c>
      <c r="C20" s="283"/>
      <c r="D20" s="283"/>
      <c r="E20" s="283"/>
      <c r="F20" s="283"/>
      <c r="G20" s="283"/>
      <c r="H20" s="283"/>
      <c r="I20" s="283"/>
      <c r="J20" s="98">
        <f>J18-J19</f>
        <v>4481864.2999999989</v>
      </c>
      <c r="K20" s="99">
        <f t="shared" ref="K20:X20" si="7">K18-K19</f>
        <v>3786562.6999999993</v>
      </c>
      <c r="L20" s="99">
        <f t="shared" si="7"/>
        <v>695301.60000000009</v>
      </c>
      <c r="M20" s="98">
        <f t="shared" si="7"/>
        <v>1948754.4000000004</v>
      </c>
      <c r="N20" s="99">
        <f t="shared" si="7"/>
        <v>1659252.2000000002</v>
      </c>
      <c r="O20" s="99">
        <f t="shared" si="7"/>
        <v>289502.2</v>
      </c>
      <c r="P20" s="98" t="e">
        <f t="shared" si="7"/>
        <v>#REF!</v>
      </c>
      <c r="Q20" s="99" t="e">
        <f t="shared" si="7"/>
        <v>#REF!</v>
      </c>
      <c r="R20" s="100" t="e">
        <f t="shared" si="7"/>
        <v>#REF!</v>
      </c>
      <c r="S20" s="142">
        <f t="shared" si="7"/>
        <v>1258220.2000000002</v>
      </c>
      <c r="T20" s="143">
        <f t="shared" si="7"/>
        <v>1079593.5999999999</v>
      </c>
      <c r="U20" s="144">
        <f t="shared" si="7"/>
        <v>178626.6</v>
      </c>
      <c r="V20" s="104" t="e">
        <f t="shared" si="7"/>
        <v>#REF!</v>
      </c>
      <c r="W20" s="99" t="e">
        <f t="shared" si="7"/>
        <v>#REF!</v>
      </c>
      <c r="X20" s="99" t="e">
        <f t="shared" si="7"/>
        <v>#REF!</v>
      </c>
      <c r="Y20" s="98" t="e">
        <f t="shared" si="5"/>
        <v>#REF!</v>
      </c>
      <c r="Z20" s="99" t="e">
        <f t="shared" si="5"/>
        <v>#REF!</v>
      </c>
      <c r="AA20" s="99" t="e">
        <f t="shared" si="5"/>
        <v>#REF!</v>
      </c>
      <c r="AB20" s="98">
        <f t="shared" si="6"/>
        <v>64.565355182777267</v>
      </c>
      <c r="AC20" s="99">
        <f t="shared" si="6"/>
        <v>65.065069674158011</v>
      </c>
      <c r="AD20" s="99">
        <f t="shared" si="6"/>
        <v>61.70129277083214</v>
      </c>
      <c r="AE20" s="209"/>
    </row>
    <row r="21" spans="2:31" ht="50.25" customHeight="1" thickBot="1" x14ac:dyDescent="0.3">
      <c r="B21" s="284" t="s">
        <v>367</v>
      </c>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6"/>
    </row>
    <row r="22" spans="2:31" ht="315" customHeight="1" x14ac:dyDescent="0.25">
      <c r="B22" s="107">
        <v>10</v>
      </c>
      <c r="C22" s="287">
        <v>1232</v>
      </c>
      <c r="D22" s="108">
        <v>12001</v>
      </c>
      <c r="E22" s="105" t="s">
        <v>172</v>
      </c>
      <c r="F22" s="105" t="s">
        <v>208</v>
      </c>
      <c r="G22" s="288" t="s">
        <v>250</v>
      </c>
      <c r="H22" s="290" t="s">
        <v>236</v>
      </c>
      <c r="I22" s="290" t="s">
        <v>356</v>
      </c>
      <c r="J22" s="64">
        <f t="shared" ref="J22:J23" si="8">K22+L22</f>
        <v>815001.59999999998</v>
      </c>
      <c r="K22" s="65">
        <v>679168</v>
      </c>
      <c r="L22" s="15">
        <v>135833.60000000001</v>
      </c>
      <c r="M22" s="62">
        <f t="shared" ref="M22:M23" si="9">N22+O22</f>
        <v>0</v>
      </c>
      <c r="N22" s="15">
        <f>679168-679168</f>
        <v>0</v>
      </c>
      <c r="O22" s="15">
        <f>135833.6-135833.6</f>
        <v>0</v>
      </c>
      <c r="P22" s="64">
        <f t="shared" ref="P22:P23" si="10">Q22+R22</f>
        <v>435000</v>
      </c>
      <c r="Q22" s="65">
        <v>420000</v>
      </c>
      <c r="R22" s="202">
        <v>15000</v>
      </c>
      <c r="S22" s="213">
        <f t="shared" ref="S22:S23" si="11">T22+U22</f>
        <v>0</v>
      </c>
      <c r="T22" s="214">
        <v>0</v>
      </c>
      <c r="U22" s="215">
        <v>0</v>
      </c>
      <c r="V22" s="106">
        <f t="shared" ref="V22:V23" si="12">W22+X22</f>
        <v>0</v>
      </c>
      <c r="W22" s="65">
        <v>0</v>
      </c>
      <c r="X22" s="65">
        <v>0</v>
      </c>
      <c r="Y22" s="64">
        <f t="shared" ref="Y22:AA26" si="13">S22/P22*100</f>
        <v>0</v>
      </c>
      <c r="Z22" s="65">
        <f t="shared" si="13"/>
        <v>0</v>
      </c>
      <c r="AA22" s="65">
        <f t="shared" si="13"/>
        <v>0</v>
      </c>
      <c r="AB22" s="64">
        <v>0</v>
      </c>
      <c r="AC22" s="65">
        <v>0</v>
      </c>
      <c r="AD22" s="65">
        <v>0</v>
      </c>
      <c r="AE22" s="249" t="s">
        <v>289</v>
      </c>
    </row>
    <row r="23" spans="2:31" ht="315" customHeight="1" thickBot="1" x14ac:dyDescent="0.3">
      <c r="B23" s="120">
        <v>11</v>
      </c>
      <c r="C23" s="287"/>
      <c r="D23" s="128" t="s">
        <v>177</v>
      </c>
      <c r="E23" s="45" t="s">
        <v>176</v>
      </c>
      <c r="F23" s="105" t="s">
        <v>201</v>
      </c>
      <c r="G23" s="289"/>
      <c r="H23" s="291"/>
      <c r="I23" s="291"/>
      <c r="J23" s="22">
        <f t="shared" si="8"/>
        <v>3939855.2</v>
      </c>
      <c r="K23" s="65">
        <v>3151884.2</v>
      </c>
      <c r="L23" s="19">
        <v>787971</v>
      </c>
      <c r="M23" s="20">
        <f t="shared" si="9"/>
        <v>0</v>
      </c>
      <c r="N23" s="19">
        <f>3151884.2-3151884.2</f>
        <v>0</v>
      </c>
      <c r="O23" s="19">
        <f>787971-787971</f>
        <v>0</v>
      </c>
      <c r="P23" s="22">
        <f t="shared" si="10"/>
        <v>1915000</v>
      </c>
      <c r="Q23" s="23">
        <v>1840000</v>
      </c>
      <c r="R23" s="199">
        <v>75000</v>
      </c>
      <c r="S23" s="253">
        <f t="shared" si="11"/>
        <v>0</v>
      </c>
      <c r="T23" s="254">
        <v>0</v>
      </c>
      <c r="U23" s="255">
        <v>0</v>
      </c>
      <c r="V23" s="24">
        <f t="shared" si="12"/>
        <v>0</v>
      </c>
      <c r="W23" s="65">
        <v>0</v>
      </c>
      <c r="X23" s="65">
        <v>0</v>
      </c>
      <c r="Y23" s="22">
        <f t="shared" si="13"/>
        <v>0</v>
      </c>
      <c r="Z23" s="23">
        <f t="shared" si="13"/>
        <v>0</v>
      </c>
      <c r="AA23" s="23">
        <f t="shared" si="13"/>
        <v>0</v>
      </c>
      <c r="AB23" s="22">
        <v>0</v>
      </c>
      <c r="AC23" s="23">
        <v>0</v>
      </c>
      <c r="AD23" s="65">
        <v>0</v>
      </c>
      <c r="AE23" s="191" t="s">
        <v>289</v>
      </c>
    </row>
    <row r="24" spans="2:31" ht="147.75" customHeight="1" x14ac:dyDescent="0.3">
      <c r="B24" s="266" t="s">
        <v>23</v>
      </c>
      <c r="C24" s="267"/>
      <c r="D24" s="267"/>
      <c r="E24" s="267"/>
      <c r="F24" s="267"/>
      <c r="G24" s="267"/>
      <c r="H24" s="267"/>
      <c r="I24" s="268"/>
      <c r="J24" s="94">
        <f>SUM(J22:J23)</f>
        <v>4754856.8</v>
      </c>
      <c r="K24" s="153">
        <f>SUM(K22:K23)</f>
        <v>3831052.2</v>
      </c>
      <c r="L24" s="153">
        <f>SUM(L22:L23)</f>
        <v>923804.6</v>
      </c>
      <c r="M24" s="94">
        <f>SUM(M22:M23)</f>
        <v>0</v>
      </c>
      <c r="N24" s="153">
        <f>SUM(N22:N23)</f>
        <v>0</v>
      </c>
      <c r="O24" s="153">
        <f>SUM(O22:O23)</f>
        <v>0</v>
      </c>
      <c r="P24" s="94">
        <f>SUM(P22:P23)</f>
        <v>2350000</v>
      </c>
      <c r="Q24" s="153">
        <f>SUM(Q22:Q23)</f>
        <v>2260000</v>
      </c>
      <c r="R24" s="154">
        <f>SUM(R22:R23)</f>
        <v>90000</v>
      </c>
      <c r="S24" s="133">
        <f>SUM(S22:S23)</f>
        <v>0</v>
      </c>
      <c r="T24" s="155">
        <f>SUM(T22:T23)</f>
        <v>0</v>
      </c>
      <c r="U24" s="156">
        <f>SUM(U22:U23)</f>
        <v>0</v>
      </c>
      <c r="V24" s="94">
        <f>SUM(V22:V23)</f>
        <v>0</v>
      </c>
      <c r="W24" s="153">
        <f>SUM(W22:W23)</f>
        <v>0</v>
      </c>
      <c r="X24" s="153">
        <f>SUM(X22:X23)</f>
        <v>0</v>
      </c>
      <c r="Y24" s="80">
        <f t="shared" si="13"/>
        <v>0</v>
      </c>
      <c r="Z24" s="81">
        <f t="shared" si="13"/>
        <v>0</v>
      </c>
      <c r="AA24" s="81">
        <f t="shared" si="13"/>
        <v>0</v>
      </c>
      <c r="AB24" s="80">
        <v>0</v>
      </c>
      <c r="AC24" s="81">
        <v>0</v>
      </c>
      <c r="AD24" s="81">
        <v>0</v>
      </c>
      <c r="AE24" s="204"/>
    </row>
    <row r="25" spans="2:31" ht="102" customHeight="1" x14ac:dyDescent="0.3">
      <c r="B25" s="269" t="s">
        <v>15</v>
      </c>
      <c r="C25" s="270"/>
      <c r="D25" s="270"/>
      <c r="E25" s="270"/>
      <c r="F25" s="270"/>
      <c r="G25" s="270"/>
      <c r="H25" s="270"/>
      <c r="I25" s="271"/>
      <c r="J25" s="84">
        <v>0</v>
      </c>
      <c r="K25" s="136">
        <v>0</v>
      </c>
      <c r="L25" s="136">
        <v>0</v>
      </c>
      <c r="M25" s="84">
        <v>0</v>
      </c>
      <c r="N25" s="136">
        <v>0</v>
      </c>
      <c r="O25" s="136">
        <v>0</v>
      </c>
      <c r="P25" s="84" t="e">
        <f>#REF!</f>
        <v>#REF!</v>
      </c>
      <c r="Q25" s="136" t="e">
        <f>#REF!</f>
        <v>#REF!</v>
      </c>
      <c r="R25" s="137" t="e">
        <f>#REF!</f>
        <v>#REF!</v>
      </c>
      <c r="S25" s="138">
        <v>0</v>
      </c>
      <c r="T25" s="157">
        <v>0</v>
      </c>
      <c r="U25" s="158">
        <v>0</v>
      </c>
      <c r="V25" s="84" t="e">
        <f>#REF!</f>
        <v>#REF!</v>
      </c>
      <c r="W25" s="136" t="e">
        <f>#REF!</f>
        <v>#REF!</v>
      </c>
      <c r="X25" s="136" t="e">
        <f>#REF!</f>
        <v>#REF!</v>
      </c>
      <c r="Y25" s="82" t="e">
        <f t="shared" si="13"/>
        <v>#REF!</v>
      </c>
      <c r="Z25" s="83" t="e">
        <f t="shared" si="13"/>
        <v>#REF!</v>
      </c>
      <c r="AA25" s="83" t="e">
        <f t="shared" si="13"/>
        <v>#REF!</v>
      </c>
      <c r="AB25" s="82">
        <v>0</v>
      </c>
      <c r="AC25" s="83">
        <v>0</v>
      </c>
      <c r="AD25" s="83">
        <v>0</v>
      </c>
      <c r="AE25" s="208"/>
    </row>
    <row r="26" spans="2:31" ht="142.5" customHeight="1" thickBot="1" x14ac:dyDescent="0.35">
      <c r="B26" s="272" t="s">
        <v>16</v>
      </c>
      <c r="C26" s="273"/>
      <c r="D26" s="273"/>
      <c r="E26" s="273"/>
      <c r="F26" s="273"/>
      <c r="G26" s="273"/>
      <c r="H26" s="273"/>
      <c r="I26" s="274"/>
      <c r="J26" s="104">
        <f>J24-J25</f>
        <v>4754856.8</v>
      </c>
      <c r="K26" s="159">
        <f t="shared" ref="K26:X26" si="14">K24-K25</f>
        <v>3831052.2</v>
      </c>
      <c r="L26" s="159">
        <f t="shared" si="14"/>
        <v>923804.6</v>
      </c>
      <c r="M26" s="104">
        <f t="shared" si="14"/>
        <v>0</v>
      </c>
      <c r="N26" s="159">
        <f t="shared" si="14"/>
        <v>0</v>
      </c>
      <c r="O26" s="159">
        <f t="shared" si="14"/>
        <v>0</v>
      </c>
      <c r="P26" s="104" t="e">
        <f t="shared" si="14"/>
        <v>#REF!</v>
      </c>
      <c r="Q26" s="159" t="e">
        <f t="shared" si="14"/>
        <v>#REF!</v>
      </c>
      <c r="R26" s="160" t="e">
        <f t="shared" si="14"/>
        <v>#REF!</v>
      </c>
      <c r="S26" s="142">
        <f t="shared" si="14"/>
        <v>0</v>
      </c>
      <c r="T26" s="161">
        <f t="shared" si="14"/>
        <v>0</v>
      </c>
      <c r="U26" s="162">
        <f t="shared" si="14"/>
        <v>0</v>
      </c>
      <c r="V26" s="104" t="e">
        <f t="shared" si="14"/>
        <v>#REF!</v>
      </c>
      <c r="W26" s="159" t="e">
        <f t="shared" si="14"/>
        <v>#REF!</v>
      </c>
      <c r="X26" s="159" t="e">
        <f t="shared" si="14"/>
        <v>#REF!</v>
      </c>
      <c r="Y26" s="98" t="e">
        <f t="shared" si="13"/>
        <v>#REF!</v>
      </c>
      <c r="Z26" s="99" t="e">
        <f t="shared" si="13"/>
        <v>#REF!</v>
      </c>
      <c r="AA26" s="99" t="e">
        <f t="shared" si="13"/>
        <v>#REF!</v>
      </c>
      <c r="AB26" s="98">
        <v>0</v>
      </c>
      <c r="AC26" s="99">
        <v>0</v>
      </c>
      <c r="AD26" s="99">
        <v>0</v>
      </c>
      <c r="AE26" s="209"/>
    </row>
    <row r="27" spans="2:31" ht="17.25" hidden="1" thickBot="1" x14ac:dyDescent="0.35">
      <c r="B27" s="275"/>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7"/>
    </row>
    <row r="28" spans="2:31" ht="20.25" x14ac:dyDescent="0.35">
      <c r="B28" s="3"/>
      <c r="C28" s="3"/>
      <c r="D28" s="3"/>
      <c r="E28" s="3"/>
      <c r="F28" s="3"/>
      <c r="G28" s="3"/>
      <c r="H28" s="3"/>
      <c r="I28" s="3"/>
      <c r="J28" s="7"/>
      <c r="K28" s="1"/>
      <c r="L28" s="1"/>
      <c r="M28" s="7"/>
      <c r="N28" s="1"/>
      <c r="O28" s="1"/>
      <c r="P28" s="7"/>
      <c r="Q28" s="1"/>
      <c r="R28" s="1"/>
      <c r="S28" s="1"/>
      <c r="T28" s="1"/>
      <c r="U28" s="1"/>
      <c r="V28" s="7"/>
      <c r="W28" s="1"/>
      <c r="X28" s="1"/>
      <c r="Y28" s="7"/>
      <c r="Z28" s="1"/>
      <c r="AA28" s="1"/>
      <c r="AB28" s="7"/>
      <c r="AC28" s="1"/>
      <c r="AD28" s="1"/>
      <c r="AE28" s="3"/>
    </row>
    <row r="29" spans="2:31" ht="20.25" x14ac:dyDescent="0.35">
      <c r="B29" s="299"/>
      <c r="C29" s="299"/>
      <c r="D29" s="299"/>
      <c r="E29" s="299"/>
      <c r="F29" s="299"/>
      <c r="G29" s="299"/>
      <c r="H29" s="299"/>
      <c r="I29" s="299"/>
      <c r="J29" s="7"/>
      <c r="K29" s="1"/>
      <c r="L29" s="1"/>
      <c r="M29" s="7"/>
      <c r="N29" s="1"/>
      <c r="O29" s="1"/>
      <c r="P29" s="7"/>
      <c r="Q29" s="1"/>
      <c r="R29" s="1"/>
      <c r="S29" s="1"/>
      <c r="T29" s="1"/>
      <c r="U29" s="1"/>
      <c r="V29" s="7"/>
      <c r="W29" s="1"/>
      <c r="X29" s="1"/>
      <c r="Y29" s="7"/>
      <c r="Z29" s="1"/>
      <c r="AA29" s="1"/>
      <c r="AB29" s="7"/>
      <c r="AC29" s="1"/>
      <c r="AD29" s="1"/>
      <c r="AE29" s="3"/>
    </row>
  </sheetData>
  <mergeCells count="41">
    <mergeCell ref="B26:I26"/>
    <mergeCell ref="B27:AE27"/>
    <mergeCell ref="B29:I29"/>
    <mergeCell ref="B21:AE21"/>
    <mergeCell ref="C22:C23"/>
    <mergeCell ref="G22:G23"/>
    <mergeCell ref="H22:H23"/>
    <mergeCell ref="I22:I23"/>
    <mergeCell ref="B24:I24"/>
    <mergeCell ref="B25:I25"/>
    <mergeCell ref="H14:H15"/>
    <mergeCell ref="I14:I15"/>
    <mergeCell ref="B18:I18"/>
    <mergeCell ref="B19:I19"/>
    <mergeCell ref="B20:I20"/>
    <mergeCell ref="V6:X6"/>
    <mergeCell ref="Y6:AA6"/>
    <mergeCell ref="AB6:AD6"/>
    <mergeCell ref="AE6:AE7"/>
    <mergeCell ref="B8:AE8"/>
    <mergeCell ref="C9:C17"/>
    <mergeCell ref="I9:I10"/>
    <mergeCell ref="AE9:AE10"/>
    <mergeCell ref="F14:F15"/>
    <mergeCell ref="G14:G15"/>
    <mergeCell ref="H6:H7"/>
    <mergeCell ref="I6:I7"/>
    <mergeCell ref="J6:L6"/>
    <mergeCell ref="M6:O6"/>
    <mergeCell ref="P6:R6"/>
    <mergeCell ref="S6:U6"/>
    <mergeCell ref="B1:AE1"/>
    <mergeCell ref="B2:AE3"/>
    <mergeCell ref="B4:AE4"/>
    <mergeCell ref="B5:AE5"/>
    <mergeCell ref="B6:B7"/>
    <mergeCell ref="C6:C7"/>
    <mergeCell ref="D6:D7"/>
    <mergeCell ref="E6:E7"/>
    <mergeCell ref="F6:F7"/>
    <mergeCell ref="G6:G7"/>
  </mergeCells>
  <pageMargins left="0.16" right="0.16" top="0.23" bottom="0.16" header="0.23" footer="0.16"/>
  <pageSetup scale="31" orientation="landscape" r:id="rId1"/>
  <rowBreaks count="3" manualBreakCount="3">
    <brk id="12" min="1" max="31" man="1"/>
    <brk id="20" max="16383" man="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Տարի</vt:lpstr>
      <vt:lpstr>Կոշտ թափոններ</vt:lpstr>
      <vt:lpstr>Ճանապարհներ</vt:lpstr>
      <vt:lpstr>ՀՏԶՀ</vt:lpstr>
      <vt:lpstr>ՋԿ</vt:lpstr>
      <vt:lpstr>Էներգետիկա</vt:lpstr>
      <vt:lpstr>Գյումրի</vt:lpstr>
      <vt:lpstr>Քաղաքապետարան</vt:lpstr>
      <vt:lpstr>Գյումրի!Print_Area</vt:lpstr>
      <vt:lpstr>Էներգետիկա!Print_Area</vt:lpstr>
      <vt:lpstr>'Կոշտ թափոններ'!Print_Area</vt:lpstr>
      <vt:lpstr>ՀՏԶՀ!Print_Area</vt:lpstr>
      <vt:lpstr>Ճանապարհներ!Print_Area</vt:lpstr>
      <vt:lpstr>ՋԿ!Print_Area</vt:lpstr>
      <vt:lpstr>Տարի!Print_Area</vt:lpstr>
      <vt:lpstr>Քաղաքապետարան!Print_Area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Zakoyan</dc:creator>
  <cp:lastModifiedBy>Anna Zakoyan</cp:lastModifiedBy>
  <cp:lastPrinted>2025-01-10T07:04:50Z</cp:lastPrinted>
  <dcterms:created xsi:type="dcterms:W3CDTF">2015-06-05T18:17:20Z</dcterms:created>
  <dcterms:modified xsi:type="dcterms:W3CDTF">2025-01-10T07:06:04Z</dcterms:modified>
</cp:coreProperties>
</file>