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minas.demurchyan\Desktop\Verjnaժamketner\Տարածքային կառավարման նախարարության\"/>
    </mc:Choice>
  </mc:AlternateContent>
  <bookViews>
    <workbookView xWindow="0" yWindow="0" windowWidth="23040" windowHeight="8490"/>
  </bookViews>
  <sheets>
    <sheet name="Հայտի ձևաչափ" sheetId="1" r:id="rId1"/>
    <sheet name="Sheet1" sheetId="6" r:id="rId2"/>
    <sheet name="Լրացման պահանջները" sheetId="5" r:id="rId3"/>
    <sheet name="List" sheetId="2" state="hidden" r:id="rId4"/>
  </sheets>
  <externalReferences>
    <externalReference r:id="rId5"/>
  </externalReferences>
  <definedNames>
    <definedName name="_xlnm._FilterDatabase" localSheetId="0" hidden="1">'Հայտի ձևաչափ'!$A$11:$AS$108</definedName>
    <definedName name="_Կարգի_8_կետ">List!$H$3:$H$5</definedName>
    <definedName name="համաձայն_Կարգի_8_րդ_կետի_պահանջների__այլ_ավտոմեքենա_հատկացնելու__առաջարկության_հիմնավորումը" localSheetId="0">List!$H$3:$H$5</definedName>
  </definedNames>
  <calcPr calcId="162913"/>
  <fileRecoveryPr repairLoad="1"/>
</workbook>
</file>

<file path=xl/calcChain.xml><?xml version="1.0" encoding="utf-8"?>
<calcChain xmlns="http://schemas.openxmlformats.org/spreadsheetml/2006/main">
  <c r="AR63" i="1" l="1"/>
  <c r="AR65" i="1" s="1"/>
  <c r="B6" i="6"/>
  <c r="B5" i="6"/>
  <c r="N78" i="1" l="1"/>
  <c r="O78" i="1"/>
  <c r="R78" i="1"/>
  <c r="S78" i="1" s="1"/>
  <c r="V78" i="1" l="1"/>
  <c r="W78" i="1" s="1"/>
  <c r="AA78" i="1" s="1"/>
  <c r="AD78" i="1" s="1"/>
  <c r="AD41" i="1"/>
  <c r="AD42" i="1"/>
  <c r="AD43" i="1"/>
  <c r="AD44" i="1"/>
  <c r="O34" i="1"/>
  <c r="Q44" i="1" l="1"/>
  <c r="S44" i="1" s="1"/>
  <c r="Q43" i="1"/>
  <c r="S43" i="1" s="1"/>
  <c r="Q42" i="1"/>
  <c r="S42" i="1" s="1"/>
  <c r="Q41" i="1"/>
  <c r="V40" i="1"/>
  <c r="W40" i="1" s="1"/>
  <c r="AA40" i="1" s="1"/>
  <c r="AD40" i="1" s="1"/>
  <c r="Q40" i="1"/>
  <c r="O40" i="1"/>
  <c r="V39" i="1"/>
  <c r="W39" i="1" s="1"/>
  <c r="AA39" i="1" s="1"/>
  <c r="AD39" i="1" s="1"/>
  <c r="Q39" i="1"/>
  <c r="O39" i="1"/>
  <c r="V38" i="1"/>
  <c r="W38" i="1" s="1"/>
  <c r="AA38" i="1" s="1"/>
  <c r="AD38" i="1" s="1"/>
  <c r="Q38" i="1"/>
  <c r="O38" i="1"/>
  <c r="V37" i="1"/>
  <c r="W37" i="1" s="1"/>
  <c r="AA37" i="1" s="1"/>
  <c r="AD37" i="1" s="1"/>
  <c r="Q37" i="1"/>
  <c r="O37" i="1"/>
  <c r="V36" i="1"/>
  <c r="W36" i="1" s="1"/>
  <c r="AA36" i="1" s="1"/>
  <c r="AD36" i="1" s="1"/>
  <c r="Q36" i="1"/>
  <c r="O36" i="1"/>
  <c r="V35" i="1"/>
  <c r="W35" i="1" s="1"/>
  <c r="AA35" i="1" s="1"/>
  <c r="AD35" i="1" s="1"/>
  <c r="Q35" i="1"/>
  <c r="O35" i="1"/>
  <c r="V34" i="1"/>
  <c r="W34" i="1" s="1"/>
  <c r="AA34" i="1" s="1"/>
  <c r="AD34" i="1" s="1"/>
  <c r="Q34" i="1"/>
  <c r="V33" i="1"/>
  <c r="W33" i="1" s="1"/>
  <c r="AA33" i="1" s="1"/>
  <c r="AD33" i="1" s="1"/>
  <c r="Q33" i="1"/>
  <c r="O33" i="1"/>
  <c r="R24" i="1"/>
  <c r="R32" i="1"/>
  <c r="V32" i="1" s="1"/>
  <c r="R30" i="1"/>
  <c r="V30" i="1" s="1"/>
  <c r="R29" i="1"/>
  <c r="R28" i="1"/>
  <c r="R26" i="1"/>
  <c r="W32" i="1" l="1"/>
  <c r="AA32" i="1" s="1"/>
  <c r="AD32" i="1" s="1"/>
  <c r="O32" i="1"/>
  <c r="W30" i="1"/>
  <c r="R31" i="1"/>
  <c r="V31" i="1" s="1"/>
  <c r="W31" i="1" s="1"/>
  <c r="AA31" i="1" s="1"/>
  <c r="AD31" i="1" s="1"/>
  <c r="O31" i="1"/>
  <c r="O30" i="1"/>
  <c r="V29" i="1"/>
  <c r="W29" i="1" s="1"/>
  <c r="AA29" i="1" s="1"/>
  <c r="AD29" i="1" s="1"/>
  <c r="O29" i="1"/>
  <c r="V28" i="1"/>
  <c r="W28" i="1" s="1"/>
  <c r="AA28" i="1" s="1"/>
  <c r="AD28" i="1" s="1"/>
  <c r="O28" i="1"/>
  <c r="R27" i="1"/>
  <c r="V27" i="1" s="1"/>
  <c r="W27" i="1" s="1"/>
  <c r="AA27" i="1" s="1"/>
  <c r="AD27" i="1" s="1"/>
  <c r="O27" i="1"/>
  <c r="V26" i="1"/>
  <c r="W26" i="1" s="1"/>
  <c r="AA26" i="1" s="1"/>
  <c r="AD26" i="1" s="1"/>
  <c r="O26" i="1"/>
  <c r="V25" i="1"/>
  <c r="W25" i="1" s="1"/>
  <c r="AA25" i="1" s="1"/>
  <c r="AD25" i="1" s="1"/>
  <c r="S25" i="1"/>
  <c r="O25" i="1"/>
  <c r="W24" i="1"/>
  <c r="AA24" i="1" s="1"/>
  <c r="AD24" i="1" s="1"/>
  <c r="O24" i="1"/>
  <c r="AA30" i="1" l="1"/>
  <c r="AD30" i="1" s="1"/>
  <c r="S18" i="1"/>
  <c r="Q17" i="1"/>
  <c r="R17" i="1" s="1"/>
  <c r="Q16" i="1"/>
  <c r="R16" i="1" s="1"/>
  <c r="V16" i="1" s="1"/>
  <c r="Q14" i="1"/>
  <c r="R14" i="1" s="1"/>
  <c r="Z17" i="1" l="1"/>
  <c r="Z19" i="1"/>
  <c r="Z16" i="1"/>
  <c r="Z20" i="1"/>
  <c r="Z14" i="1"/>
  <c r="R74" i="1" l="1"/>
  <c r="S74" i="1" s="1"/>
  <c r="V74" i="1" l="1"/>
  <c r="W74" i="1" s="1"/>
  <c r="N60" i="1"/>
  <c r="O60" i="1"/>
  <c r="O52" i="1" l="1"/>
  <c r="O51" i="1"/>
  <c r="O50" i="1"/>
  <c r="O48" i="1" l="1"/>
  <c r="O47" i="1" l="1"/>
  <c r="R48" i="1" l="1"/>
  <c r="S47" i="1"/>
  <c r="S48" i="1"/>
  <c r="V55" i="1" l="1"/>
  <c r="W55" i="1" s="1"/>
  <c r="N54" i="1"/>
  <c r="O54" i="1"/>
  <c r="V54" i="1"/>
  <c r="W54" i="1" s="1"/>
  <c r="AA54" i="1" s="1"/>
  <c r="AD54" i="1" s="1"/>
  <c r="S54" i="1"/>
  <c r="V60" i="1" l="1"/>
  <c r="W60" i="1" s="1"/>
  <c r="AA60" i="1" s="1"/>
  <c r="AD60" i="1" s="1"/>
  <c r="S60" i="1"/>
  <c r="O65" i="1" l="1"/>
  <c r="R65" i="1" l="1"/>
  <c r="V65" i="1" s="1"/>
  <c r="N65" i="1"/>
  <c r="S65" i="1" l="1"/>
  <c r="W65" i="1"/>
  <c r="O75" i="1"/>
  <c r="O74" i="1"/>
  <c r="O73" i="1"/>
  <c r="O72" i="1"/>
  <c r="R75" i="1"/>
  <c r="N75" i="1"/>
  <c r="O79" i="1" l="1"/>
  <c r="O80" i="1"/>
  <c r="O77" i="1"/>
  <c r="N83" i="1" l="1"/>
  <c r="N84" i="1"/>
  <c r="N82" i="1"/>
  <c r="O83" i="1"/>
  <c r="V84" i="1" l="1"/>
  <c r="W84" i="1" s="1"/>
  <c r="AA84" i="1" s="1"/>
  <c r="AD84" i="1" s="1"/>
  <c r="O84" i="1"/>
  <c r="O82" i="1"/>
  <c r="R86" i="1"/>
  <c r="R87" i="1"/>
  <c r="N86" i="1"/>
  <c r="N87" i="1"/>
  <c r="N89" i="1"/>
  <c r="V90" i="1"/>
  <c r="W90" i="1" s="1"/>
  <c r="V89" i="1"/>
  <c r="AA90" i="1" l="1"/>
  <c r="AD90" i="1" s="1"/>
  <c r="S90" i="1"/>
  <c r="N90" i="1"/>
  <c r="N91" i="1"/>
  <c r="O90" i="1"/>
  <c r="O91" i="1"/>
  <c r="O89" i="1"/>
  <c r="O87" i="1"/>
  <c r="R93" i="1" l="1"/>
  <c r="N93" i="1"/>
  <c r="R97" i="1"/>
  <c r="V97" i="1" s="1"/>
  <c r="W97" i="1" s="1"/>
  <c r="AA97" i="1" s="1"/>
  <c r="AD97" i="1" s="1"/>
  <c r="R96" i="1"/>
  <c r="Q97" i="1"/>
  <c r="N97" i="1" s="1"/>
  <c r="Q102" i="1"/>
  <c r="S97" i="1" l="1"/>
  <c r="Q101" i="1" l="1"/>
  <c r="P101" i="1" s="1"/>
  <c r="N101" i="1" l="1"/>
  <c r="P102" i="1"/>
  <c r="N102" i="1" s="1"/>
  <c r="R102" i="1"/>
  <c r="V102" i="1" s="1"/>
  <c r="W102" i="1" s="1"/>
  <c r="R101" i="1"/>
  <c r="V101" i="1" s="1"/>
  <c r="W101" i="1" s="1"/>
  <c r="V100" i="1"/>
  <c r="Y100" i="1" s="1"/>
  <c r="Q100" i="1"/>
  <c r="S100" i="1" s="1"/>
  <c r="Q99" i="1"/>
  <c r="S101" i="1" l="1"/>
  <c r="S102" i="1"/>
  <c r="W100" i="1"/>
  <c r="N71" i="1" l="1"/>
  <c r="N69" i="1"/>
  <c r="N67" i="1"/>
  <c r="R69" i="1" l="1"/>
  <c r="S69" i="1" s="1"/>
  <c r="V69" i="1" l="1"/>
  <c r="W69" i="1" s="1"/>
  <c r="AA69" i="1" s="1"/>
  <c r="N68" i="1"/>
  <c r="N70" i="1"/>
  <c r="N72" i="1"/>
  <c r="N73" i="1"/>
  <c r="R68" i="1"/>
  <c r="R52" i="1"/>
  <c r="S52" i="1" s="1"/>
  <c r="R51" i="1"/>
  <c r="R50" i="1"/>
  <c r="AA63" i="1" l="1"/>
  <c r="AD63" i="1" s="1"/>
  <c r="N77" i="1"/>
  <c r="N79" i="1"/>
  <c r="N80" i="1"/>
  <c r="N47" i="1"/>
  <c r="N50" i="1"/>
  <c r="N52" i="1"/>
  <c r="N51" i="1"/>
  <c r="S86" i="1"/>
  <c r="V82" i="1"/>
  <c r="W82" i="1" s="1"/>
  <c r="S82" i="1"/>
  <c r="S84" i="1"/>
  <c r="S83" i="1"/>
  <c r="Q108" i="1"/>
  <c r="P108" i="1"/>
  <c r="Q107" i="1"/>
  <c r="P107" i="1"/>
  <c r="Q96" i="1"/>
  <c r="N96" i="1" s="1"/>
  <c r="AB99" i="1"/>
  <c r="AB100" i="1"/>
  <c r="AB101" i="1"/>
  <c r="AA100" i="1"/>
  <c r="AA101" i="1"/>
  <c r="P100" i="1"/>
  <c r="N100" i="1" s="1"/>
  <c r="P99" i="1"/>
  <c r="N99" i="1" s="1"/>
  <c r="S96" i="1" l="1"/>
  <c r="R108" i="1"/>
  <c r="N108" i="1"/>
  <c r="R107" i="1"/>
  <c r="V107" i="1" s="1"/>
  <c r="W107" i="1" s="1"/>
  <c r="AA107" i="1" s="1"/>
  <c r="AD107" i="1" s="1"/>
  <c r="N107" i="1"/>
  <c r="AD100" i="1"/>
  <c r="AD101" i="1"/>
  <c r="S107" i="1" l="1"/>
  <c r="S108" i="1"/>
  <c r="V108" i="1"/>
  <c r="W108" i="1" s="1"/>
  <c r="AA108" i="1" s="1"/>
  <c r="AD108" i="1" s="1"/>
  <c r="V99" i="1"/>
  <c r="S99" i="1"/>
  <c r="V96" i="1"/>
  <c r="W96" i="1" s="1"/>
  <c r="AA96" i="1" s="1"/>
  <c r="AD96" i="1" s="1"/>
  <c r="V93" i="1"/>
  <c r="W93" i="1" s="1"/>
  <c r="AA93" i="1" s="1"/>
  <c r="AD93" i="1" s="1"/>
  <c r="S93" i="1"/>
  <c r="V91" i="1"/>
  <c r="W91" i="1" s="1"/>
  <c r="AA91" i="1" s="1"/>
  <c r="AD91" i="1" s="1"/>
  <c r="S91" i="1"/>
  <c r="W89" i="1"/>
  <c r="S89" i="1"/>
  <c r="V87" i="1"/>
  <c r="W87" i="1" s="1"/>
  <c r="AA87" i="1" s="1"/>
  <c r="AD87" i="1" s="1"/>
  <c r="S87" i="1"/>
  <c r="V86" i="1"/>
  <c r="W86" i="1" s="1"/>
  <c r="AA86" i="1" s="1"/>
  <c r="AD86" i="1" s="1"/>
  <c r="R80" i="1"/>
  <c r="S80" i="1" s="1"/>
  <c r="AA82" i="1"/>
  <c r="AD82" i="1" s="1"/>
  <c r="R79" i="1"/>
  <c r="V79" i="1" s="1"/>
  <c r="W79" i="1" s="1"/>
  <c r="AA79" i="1" s="1"/>
  <c r="AD79" i="1" s="1"/>
  <c r="R77" i="1"/>
  <c r="V83" i="1"/>
  <c r="W83" i="1" s="1"/>
  <c r="R72" i="1"/>
  <c r="R73" i="1"/>
  <c r="R71" i="1"/>
  <c r="V71" i="1" s="1"/>
  <c r="W71" i="1" s="1"/>
  <c r="R70" i="1"/>
  <c r="V70" i="1" s="1"/>
  <c r="W70" i="1" s="1"/>
  <c r="AA70" i="1" s="1"/>
  <c r="AA89" i="1" l="1"/>
  <c r="AD89" i="1" s="1"/>
  <c r="AA83" i="1"/>
  <c r="AD83" i="1" s="1"/>
  <c r="S70" i="1"/>
  <c r="W99" i="1"/>
  <c r="Y99" i="1"/>
  <c r="S79" i="1"/>
  <c r="V80" i="1"/>
  <c r="W80" i="1" s="1"/>
  <c r="AA80" i="1" s="1"/>
  <c r="AD80" i="1" s="1"/>
  <c r="R67" i="1"/>
  <c r="AA99" i="1" l="1"/>
  <c r="AD99" i="1" s="1"/>
  <c r="S68" i="1"/>
  <c r="V68" i="1"/>
  <c r="W68" i="1" s="1"/>
  <c r="S67" i="1"/>
  <c r="V67" i="1"/>
  <c r="W67" i="1" s="1"/>
  <c r="O21" i="1"/>
  <c r="V77" i="1" l="1"/>
  <c r="W77" i="1" s="1"/>
  <c r="AA77" i="1" s="1"/>
  <c r="AD77" i="1" s="1"/>
  <c r="S77" i="1"/>
  <c r="V75" i="1"/>
  <c r="W75" i="1" s="1"/>
  <c r="AA75" i="1" s="1"/>
  <c r="AD75" i="1" s="1"/>
  <c r="S75" i="1"/>
  <c r="V73" i="1"/>
  <c r="W73" i="1" s="1"/>
  <c r="AA73" i="1" s="1"/>
  <c r="AD73" i="1" s="1"/>
  <c r="S73" i="1"/>
  <c r="AA71" i="1"/>
  <c r="AD71" i="1" s="1"/>
  <c r="S71" i="1"/>
  <c r="V52" i="1"/>
  <c r="W52" i="1" s="1"/>
  <c r="AA52" i="1" l="1"/>
  <c r="AD52" i="1" s="1"/>
  <c r="V72" i="1"/>
  <c r="W72" i="1" s="1"/>
  <c r="AA72" i="1" s="1"/>
  <c r="AD72" i="1" s="1"/>
  <c r="V47" i="1"/>
  <c r="W47" i="1" s="1"/>
  <c r="AA47" i="1" s="1"/>
  <c r="AD47" i="1" s="1"/>
  <c r="S50" i="1"/>
  <c r="V50" i="1"/>
  <c r="W50" i="1" s="1"/>
  <c r="AA50" i="1" s="1"/>
  <c r="AD50" i="1" s="1"/>
  <c r="V51" i="1"/>
  <c r="W51" i="1" s="1"/>
  <c r="AA51" i="1" s="1"/>
  <c r="AD51" i="1" s="1"/>
  <c r="S51" i="1"/>
  <c r="V48" i="1"/>
  <c r="W48" i="1" s="1"/>
  <c r="AA48" i="1" s="1"/>
  <c r="AD48" i="1" s="1"/>
  <c r="Q20" i="1"/>
  <c r="O14" i="1"/>
  <c r="O16" i="1"/>
  <c r="S14" i="1"/>
  <c r="R20" i="1" l="1"/>
  <c r="S20" i="1" s="1"/>
  <c r="S72" i="1"/>
  <c r="K12" i="1"/>
  <c r="K58" i="1" l="1"/>
  <c r="K57" i="1"/>
  <c r="K44" i="1"/>
  <c r="K41" i="1"/>
  <c r="K43" i="1"/>
  <c r="K42" i="1"/>
  <c r="K78" i="1"/>
  <c r="K40" i="1"/>
  <c r="K38" i="1"/>
  <c r="K37" i="1"/>
  <c r="K36" i="1"/>
  <c r="K34" i="1"/>
  <c r="K39" i="1"/>
  <c r="K35" i="1"/>
  <c r="K33" i="1"/>
  <c r="K30" i="1"/>
  <c r="K24" i="1"/>
  <c r="K31" i="1"/>
  <c r="K25" i="1"/>
  <c r="K27" i="1"/>
  <c r="K26" i="1"/>
  <c r="K28" i="1"/>
  <c r="K32" i="1"/>
  <c r="K29" i="1"/>
  <c r="K102" i="1"/>
  <c r="K90" i="1"/>
  <c r="K101" i="1"/>
  <c r="K100" i="1"/>
  <c r="K69" i="1"/>
  <c r="K54" i="1"/>
  <c r="K55" i="1"/>
  <c r="K87" i="1"/>
  <c r="K108" i="1"/>
  <c r="K97" i="1"/>
  <c r="K107" i="1"/>
  <c r="K93" i="1"/>
  <c r="K96" i="1"/>
  <c r="K86" i="1"/>
  <c r="K91" i="1"/>
  <c r="K99" i="1"/>
  <c r="K89" i="1"/>
  <c r="K52" i="1"/>
  <c r="K77" i="1"/>
  <c r="K83" i="1"/>
  <c r="K82" i="1"/>
  <c r="K79" i="1"/>
  <c r="K84" i="1"/>
  <c r="K80" i="1"/>
  <c r="K71" i="1"/>
  <c r="K67" i="1"/>
  <c r="K74" i="1"/>
  <c r="K70" i="1"/>
  <c r="K65" i="1"/>
  <c r="K73" i="1"/>
  <c r="K63" i="1"/>
  <c r="K72" i="1"/>
  <c r="K68" i="1"/>
  <c r="K60" i="1"/>
  <c r="K51" i="1"/>
  <c r="K50" i="1"/>
  <c r="K48" i="1"/>
  <c r="K47" i="1"/>
  <c r="V22" i="1" l="1"/>
  <c r="W22" i="1" s="1"/>
  <c r="AA22" i="1" s="1"/>
  <c r="AD22" i="1" s="1"/>
  <c r="Q22" i="1"/>
  <c r="S22" i="1" s="1"/>
  <c r="O22" i="1"/>
  <c r="K22" i="1"/>
  <c r="V21" i="1"/>
  <c r="W21" i="1" s="1"/>
  <c r="AA21" i="1" s="1"/>
  <c r="AD21" i="1" s="1"/>
  <c r="Q21" i="1"/>
  <c r="S21" i="1" s="1"/>
  <c r="K21" i="1"/>
  <c r="V20" i="1"/>
  <c r="W20" i="1" s="1"/>
  <c r="AA20" i="1" s="1"/>
  <c r="AD20" i="1" s="1"/>
  <c r="O20" i="1"/>
  <c r="K20" i="1"/>
  <c r="Q19" i="1"/>
  <c r="O19" i="1"/>
  <c r="K19" i="1"/>
  <c r="K18" i="1"/>
  <c r="V14" i="1"/>
  <c r="O17" i="1"/>
  <c r="K14" i="1"/>
  <c r="R19" i="1" l="1"/>
  <c r="S19" i="1" s="1"/>
  <c r="V18" i="1"/>
  <c r="W18" i="1" s="1"/>
  <c r="AA18" i="1" s="1"/>
  <c r="AD18" i="1" s="1"/>
  <c r="S17" i="1"/>
  <c r="S16" i="1"/>
  <c r="W14" i="1"/>
  <c r="AA14" i="1" s="1"/>
  <c r="AD14" i="1" s="1"/>
  <c r="V19" i="1" l="1"/>
  <c r="W19" i="1" s="1"/>
  <c r="AA19" i="1" s="1"/>
  <c r="AD19" i="1" s="1"/>
  <c r="K17" i="1"/>
  <c r="K16" i="1"/>
  <c r="V17" i="1" l="1"/>
  <c r="W17" i="1" s="1"/>
  <c r="W16" i="1"/>
  <c r="AA16" i="1" l="1"/>
  <c r="AD16" i="1" s="1"/>
  <c r="AA17" i="1"/>
  <c r="AD17" i="1" s="1"/>
</calcChain>
</file>

<file path=xl/sharedStrings.xml><?xml version="1.0" encoding="utf-8"?>
<sst xmlns="http://schemas.openxmlformats.org/spreadsheetml/2006/main" count="978" uniqueCount="272">
  <si>
    <t xml:space="preserve">Ընդամենը առկա (հաշվեկշռում հաշվառված) ավտոմեքենաների քանակը` </t>
  </si>
  <si>
    <t>հ/հ</t>
  </si>
  <si>
    <t>ղեկավարի պաշտոնը կամ ստորաբաժանման անվանումը, որին սպասարկում է տվյալ ավտոմեքենան</t>
  </si>
  <si>
    <t>Ավտոմեքենայի նշանակությունը</t>
  </si>
  <si>
    <t>գնման գինը   (հազ դրամ)</t>
  </si>
  <si>
    <t>միջին ամսական վազքը (կմ)</t>
  </si>
  <si>
    <t>Ընդամենը վառելիքի միջին ամսական ծախսը 
(հազար դրամ)</t>
  </si>
  <si>
    <t>Ընդամենը տրանսպորտային միջոցի պահպանման միջին տարեկան ծախս
(հազար դրամ)</t>
  </si>
  <si>
    <t>Հատուկ տեխնիկական միջոցներով կահավորանքի պահանջ</t>
  </si>
  <si>
    <t>Գինը 
(հազար դրամ)</t>
  </si>
  <si>
    <t xml:space="preserve">սեդան </t>
  </si>
  <si>
    <t>բենզին</t>
  </si>
  <si>
    <t>Ավտոմեքենայի թափքի տեսակը</t>
  </si>
  <si>
    <t>Շարժիչի ծավալը</t>
  </si>
  <si>
    <t>մինչև 1,8</t>
  </si>
  <si>
    <t>առկա չէ</t>
  </si>
  <si>
    <t>գազ</t>
  </si>
  <si>
    <t>ունիվերսալ</t>
  </si>
  <si>
    <t>առկա է</t>
  </si>
  <si>
    <t>դիզել</t>
  </si>
  <si>
    <t>ամենագնաց</t>
  </si>
  <si>
    <t>էլեկտրական</t>
  </si>
  <si>
    <t>միկրոավտոբուս</t>
  </si>
  <si>
    <t>հիբրիդ</t>
  </si>
  <si>
    <t>այլ</t>
  </si>
  <si>
    <t xml:space="preserve">շարժիչի վառելանյութի տեսակը
(ընտրել ցանկից) </t>
  </si>
  <si>
    <t>1,9-ից մինչև 2,2</t>
  </si>
  <si>
    <t>6,1-ից ավելի</t>
  </si>
  <si>
    <t>վառելիքի միջին ամսական ծախսը (հազ դրամ)</t>
  </si>
  <si>
    <t>1) պետական մարմնում հաշվառված, օգտագործման մեջ գտնվող, սահմանված կարգի համաձայն օգտակար ծառայության ժամկետը լրացած ավտոմեքենաների փոխարինման համար։ Ընդ որում, օգտակար ծառայության ժամկետը լրացած այն ավտոմեքենաների փոխարինման համար, որոնց շահագործումն իրականացվում է սույն որոշման 8-րդ կետի հիմքով սահմանված նորմաների գերազանցումով և դրանց հետագա օգտագործումն արդյունավետության տեսանկյունից համարվում է ոչ նպատակահարմար.</t>
  </si>
  <si>
    <t>2) պետական մարմնին վերապահված նոր գործառույթի իրականացման համար.</t>
  </si>
  <si>
    <t>3) վթարված և շահագործման ոչ ենթակա ավտոմեքենաների փոխարինման համար, եթե առկա է գնահատման համար սահմանված կարգի համաձայն տրված եզրակացությունը։</t>
  </si>
  <si>
    <t>Ծառայողական (ղեկավարի)</t>
  </si>
  <si>
    <t>Սպասարկող՝ տարբերանշանով</t>
  </si>
  <si>
    <t>Սպասարկող՝ գործառնական և հատուկ նշանակության (գունանշումով կամ հատուկ կահավորանքով)</t>
  </si>
  <si>
    <t>հատուկ միջոցներով կահավորանքի պահանջ</t>
  </si>
  <si>
    <t>Առաջարկություն՝ ավտոմեքենայի հետագա շահագործման, նոր ավտոմեքենա հատկացնելու և փոխհատուցում տրամադրելու վերաբերյալ</t>
  </si>
  <si>
    <t>ենթակա է հետագա շահագործման</t>
  </si>
  <si>
    <t>հատկացնել նոր ավտոմեքենա՝ Կարգի 8-րդ կետի հիմքով</t>
  </si>
  <si>
    <t>Կարգի 8-րդ կետի 1-ին ենթակետ (օգտակար ծառայության ժամկետը լրացել է, հետագա շահագործումը համարվում է ոչ արդյունավետ)</t>
  </si>
  <si>
    <t>Կարգի 8-րդ կետի 2-րդ ենթակետ (պետական մարմնին վերապահված նոր գործառույթի իրականացման համար)</t>
  </si>
  <si>
    <t>Կարգի 8-րդ կետի 3-րդ ենթակետ (վթարված և շահագործման ոչ ենթակա ավտոմեքենայի փոխարինման համար</t>
  </si>
  <si>
    <t>արտադրության/ ձեռքբերման տարեթիվը</t>
  </si>
  <si>
    <t>էլեկտրական շարժիչով ավտոմեքենայի սպառած միջին ամսական էլեկտրաէներգիայի քանակը (կՎտ)</t>
  </si>
  <si>
    <t>էլեկտրական շարժիչով ավտոմեքենայի սպառած միջին ամսական էլեկտրաէներգիայի ծախսը (հազ դրամ)</t>
  </si>
  <si>
    <t>այլ ավտոմեքենա հատկացնելու առաջարկության հիմնավորումը՝ համաձայն ՀՀ  կառավարության 28.09.2023թ. N 1666-Ն որոշման Կարգի 8-րդ կետի պահանջների
 (լրացնել Կարգի 8-րդ կետի հիմքով նոր մեքենա հատկացնելու պահանջի դեպքում)</t>
  </si>
  <si>
    <t xml:space="preserve">ՀԱՅՏ՝ Նոր ավտոմեքենայի հատկացման </t>
  </si>
  <si>
    <t>ՀԱՅՏ՝ Նոր ավտոմեքենայի ձեռքբերման</t>
  </si>
  <si>
    <t>ավտոբուս</t>
  </si>
  <si>
    <t>(Մարմնի անվանումը)</t>
  </si>
  <si>
    <t xml:space="preserve">Տրանսպորտային միջոցի միջին տարեկան ծախսի հաշվարկը </t>
  </si>
  <si>
    <t>Տրանսպորտային միջոցի վառելանյութի միջին ամսական ծախսի հաշվարկը (նախորդ 12 ամիսների միջին ամսական)</t>
  </si>
  <si>
    <t>տրամադրել փոխհատուցում՝ համաձայն Որոշման 4-րդ կետի (առավելագույնը մեկ ավտոմեքենայի պահպանման ծախսի չափով)</t>
  </si>
  <si>
    <t>*այլ (նկարագրել աղյուսակի ներքևում)</t>
  </si>
  <si>
    <t>*</t>
  </si>
  <si>
    <t>վառելիքի փաստացի ծախսը 100 կմ-ի հաշվով</t>
  </si>
  <si>
    <t xml:space="preserve">շարժիչի ծավալը
 (ընտրել ցանկից) </t>
  </si>
  <si>
    <t>Անվադողերի ձեռքբերման միջին տարեկան ծախսը 
(հազար դրամ)</t>
  </si>
  <si>
    <t>Մարտկոցների ձեռքբերման միջին տարեկան ծախսը 
(հազար դրամ)</t>
  </si>
  <si>
    <t>Վառելիքի միջին տարեկան ծախսը 
(հազար դրամ)</t>
  </si>
  <si>
    <t xml:space="preserve">շարժիչի ծավալը (ընտրել ցանկից) </t>
  </si>
  <si>
    <t>2,3-ից մինչև 3,5</t>
  </si>
  <si>
    <t>3,6-ից մինչև 6,0</t>
  </si>
  <si>
    <t xml:space="preserve">վառելիքի ծախսը 100 կմ-ի հաշվով` ըստ տեխնիկական անձնագրի </t>
  </si>
  <si>
    <t>մինչև 2000</t>
  </si>
  <si>
    <t>Մարմնի հաշվեկշռում հաշվառված ավտոմեքենայի՝</t>
  </si>
  <si>
    <t>մակնիշը</t>
  </si>
  <si>
    <t>միջին օրական վազքը (կմ)</t>
  </si>
  <si>
    <t>վառելիքի միջին գինը 
(դրամ)</t>
  </si>
  <si>
    <t>Ղեկավարին սպասարկող ծառայողական ավտոմեքենաները</t>
  </si>
  <si>
    <r>
      <t>ֆունկցիոնալ նշանակությունը</t>
    </r>
    <r>
      <rPr>
        <b/>
        <vertAlign val="superscript"/>
        <sz val="10"/>
        <rFont val="GHEA Grapalat"/>
        <family val="3"/>
      </rPr>
      <t xml:space="preserve"> 3</t>
    </r>
  </si>
  <si>
    <r>
      <t>Ընդամենը ավտոմեքենաների սահմանաքանակը՝</t>
    </r>
    <r>
      <rPr>
        <b/>
        <vertAlign val="superscript"/>
        <sz val="10"/>
        <rFont val="GHEA Grapalat"/>
        <family val="3"/>
      </rPr>
      <t xml:space="preserve"> 2</t>
    </r>
    <r>
      <rPr>
        <b/>
        <sz val="10"/>
        <rFont val="GHEA Grapalat"/>
        <family val="3"/>
      </rPr>
      <t xml:space="preserve"> </t>
    </r>
  </si>
  <si>
    <t>Սպասարկող՝ գործառնական և հատուկ նշանակության (առանց գունանշման՝ օպերատիվ աշխատանքների համար)</t>
  </si>
  <si>
    <t>Լրացնել ընդամենը ավտոմեքենաների սահմանաքանակը, որոնց համար ՀՀ 2024 թվականի պետական բյուջեով պահպանման ծախսեր են հատկացվել:
Նոր սահմանված Կարգի համաձայն՝ ղեկավարին սպասարկող և մարմնին սպասարկող տարբերանշանով ավտոմեքենաների քանակը որոշվում է Կարգի 17-րդ կետին համապատասխան, իսկ գործառնական և հատուկ նշանակության ավտոմեքենաների սահամանաքանկը հաստատվելու է ՀՀ կառավարության որոշմամբ՝ Կարգին համապատասխան ներկայացված հայտերի հիման վրա:</t>
  </si>
  <si>
    <t xml:space="preserve">   </t>
  </si>
  <si>
    <t xml:space="preserve">  Կետ 4. Ծառայողական ավտոմեքենաներ են՝</t>
  </si>
  <si>
    <r>
      <t xml:space="preserve">ա) մարմնի </t>
    </r>
    <r>
      <rPr>
        <b/>
        <sz val="12"/>
        <color rgb="FF000000"/>
        <rFont val="GHEA Grapalat"/>
        <family val="3"/>
      </rPr>
      <t xml:space="preserve">ղեկավարի պաշտոն զբաղեցնող անձանց սպասարկելու </t>
    </r>
    <r>
      <rPr>
        <sz val="12"/>
        <color rgb="FF000000"/>
        <rFont val="GHEA Grapalat"/>
        <family val="3"/>
      </rPr>
      <t>նպատակով նախատեսված ավտոմեքենաները,</t>
    </r>
  </si>
  <si>
    <r>
      <t xml:space="preserve">բ) մարմնի </t>
    </r>
    <r>
      <rPr>
        <b/>
        <sz val="12"/>
        <color rgb="FF000000"/>
        <rFont val="GHEA Grapalat"/>
        <family val="3"/>
      </rPr>
      <t>անձնակազմի սպասարկման համար</t>
    </r>
    <r>
      <rPr>
        <sz val="12"/>
        <color rgb="FF000000"/>
        <rFont val="GHEA Grapalat"/>
        <family val="3"/>
      </rPr>
      <t xml:space="preserve"> նախատեսված ավտոմեքենաները:</t>
    </r>
  </si>
  <si>
    <t>1) տարբերանշանով սպասարկման ավտոմեքենաները.</t>
  </si>
  <si>
    <t>2) գործառնական և հատուկ նշանակության սպասարկման ավտոմեքենաները։</t>
  </si>
  <si>
    <r>
      <t xml:space="preserve">   Կետ 6. Անձնակազմի սպասարկման համար նախատեսված </t>
    </r>
    <r>
      <rPr>
        <b/>
        <sz val="12"/>
        <color rgb="FF000000"/>
        <rFont val="GHEA Grapalat"/>
        <family val="3"/>
      </rPr>
      <t>տարբերանշանով</t>
    </r>
    <r>
      <rPr>
        <sz val="12"/>
        <color rgb="FF000000"/>
        <rFont val="GHEA Grapalat"/>
        <family val="3"/>
      </rPr>
      <t xml:space="preserve"> ավտոմեքենաներ են համարվում այն ավտոմեքենաները, որոնց </t>
    </r>
    <r>
      <rPr>
        <b/>
        <sz val="12"/>
        <color rgb="FF000000"/>
        <rFont val="GHEA Grapalat"/>
        <family val="3"/>
      </rPr>
      <t>դիմապակուն փակցված է գերատեսչության տարբերանշանը և անվանումը</t>
    </r>
    <r>
      <rPr>
        <sz val="12"/>
        <color rgb="FF000000"/>
        <rFont val="GHEA Grapalat"/>
        <family val="3"/>
      </rPr>
      <t>։</t>
    </r>
  </si>
  <si>
    <r>
      <t xml:space="preserve">   Կետ 7. Պետական մարմիններին սպասարկող </t>
    </r>
    <r>
      <rPr>
        <b/>
        <sz val="12"/>
        <color rgb="FF000000"/>
        <rFont val="GHEA Grapalat"/>
        <family val="3"/>
      </rPr>
      <t xml:space="preserve">գործառնական և հատուկ նշանակության </t>
    </r>
    <r>
      <rPr>
        <sz val="12"/>
        <color rgb="FF000000"/>
        <rFont val="GHEA Grapalat"/>
        <family val="3"/>
      </rPr>
      <t xml:space="preserve">ավտոմեքենաներ են համարվում այն ավտոմեքենաները, որոնք </t>
    </r>
    <r>
      <rPr>
        <b/>
        <sz val="12"/>
        <color rgb="FF000000"/>
        <rFont val="GHEA Grapalat"/>
        <family val="3"/>
      </rPr>
      <t>հագեցված են համապատասխան տեխնիկական միջոցներով և ունեն հատուկ կահավորում</t>
    </r>
    <r>
      <rPr>
        <sz val="12"/>
        <color rgb="FF000000"/>
        <rFont val="GHEA Grapalat"/>
        <family val="3"/>
      </rPr>
      <t>, նշանակված են կոնկրետ խնդիրների լուծման համար, ինչպես նաև Հայաստանի Հանրապետության նախկին նախագահներին կամ սահմանադրական բարեփոխումներից հետո նախկին վարչապետներին և դեսպանատներին հատկացված ավտոմեքենաները։ Վերջիններս</t>
    </r>
    <r>
      <rPr>
        <b/>
        <sz val="12"/>
        <color rgb="FF000000"/>
        <rFont val="GHEA Grapalat"/>
        <family val="3"/>
      </rPr>
      <t xml:space="preserve"> ունեն հատուկ գունանշում՝ բացառությամբ օպերատիվ աշխատանքների համար նախատեսված ավտոմեքենաների</t>
    </r>
    <r>
      <rPr>
        <sz val="12"/>
        <color rgb="FF000000"/>
        <rFont val="GHEA Grapalat"/>
        <family val="3"/>
      </rPr>
      <t>։</t>
    </r>
  </si>
  <si>
    <t xml:space="preserve">   Կետ 15. Մեկական ծառայողական ավտոմեքենաները հատկացվում են հետևյալ պաշտոնատար անձանց՝</t>
  </si>
  <si>
    <t>1) Հայաստանի Հանրապետության փոխվարչապետներ.</t>
  </si>
  <si>
    <t>2) Հայաստանի Հանրապետության վարչապետի աշխատակազմի ղեկավար.</t>
  </si>
  <si>
    <t>3) Հայաստանի Հանրապետության նախարարներ.</t>
  </si>
  <si>
    <t>4) Հայաստանի Հանրապետության մարզպետներ.</t>
  </si>
  <si>
    <t>5) Հայաստանի Հանրապետության կառավարության և վարչապետին ենթակա մարմինների ղեկավարներ.</t>
  </si>
  <si>
    <t>6) Հայաստանի Հանրապետության նախարարություններին ենթակա մարմինների ղեկավարներ.</t>
  </si>
  <si>
    <t>7) Հայաստանի Հանրապետության անվտանգության խորհրդի քարտուղար։</t>
  </si>
  <si>
    <t xml:space="preserve">   Կետ 17. Անձնակազմի սպասարկման համար նախատեսված տարբերանշանով ավտոմեքենաները հատկացվում են Կարգի 15-րդ կետով նախատեսված մարմիններին՝ մինչև 100 փաստացի աշխատողին մեկ ավտոմեքենա, իսկ 100-ից ավել աշխատողների դեպքում՝ յուրաքանչյուր 100 փաստացի աշխատողին մեկ ավտոմեքենա սկզբունքով։ Ընդ որում, Հայաստանի Հանրապետության վարչապետի աշխատակազմի, Հայաստանի Հանրապետության նախարարությունների, Հայաստանի Հանրապետության կառավարությանը ենթակա մարմինների, Հայաստանի Հանրապետության վարչապետին ենթակա մարմինների դեպքում՝ հաշվարկվում է 100 փաստացի աշխատողին մեկ ավտոմեքենա ավելացված մարմնի ղեկավարի տեղակալների թվով սկզբունքով։</t>
  </si>
  <si>
    <t xml:space="preserve">    </t>
  </si>
  <si>
    <t xml:space="preserve">    Կետ 21. Անձնակազմի սպասարկման համար նախատեսված տարբերանշանով ավտոմեքենաները՝</t>
  </si>
  <si>
    <t>1) կարող են օգտագործվել, այդ թվում՝ որպես հերթապահ ավտոմեքենա, ինչպես պետական մարմնի աշխատակիցներին սպասարկելու, այնպես էլ պետական մարմնի մեկ կամ մի քանի ստորաբաժանումների գործառույթներն ապահովելու համար.</t>
  </si>
  <si>
    <t>2) չեն կարող հատկացվել պաշտոնատար անձանց, որպես ծառայողական ավտոմեքենա։</t>
  </si>
  <si>
    <t xml:space="preserve">   Կետ 5. Պետական մարմիններին սպասարկող ավտոմեքենաներ կարող են լինել՝</t>
  </si>
  <si>
    <t>Տրանսպորտային նյութերի ձեռքբերման ծախսերը նախատեսվում են բյուջետային ծախսերի տնտեսագիտական դասակարգման 4264-Տրանսպորտային նյութեր հոդվածով</t>
  </si>
  <si>
    <t>Հաշվարկման բանաձևն արդեն իսկ տեղադրված է, բացասական նշանով արտացոլվում է մինչև 13 տարով սպառված ժամկետի տարիների քանակը</t>
  </si>
  <si>
    <t>Տրանսպորտային միջոցների ընթացիկ պահպանման և նորոգման ծառայությունների ձեռքբերման ծախսերը նախատեսվում են բյուջետային ծախսերի տնտեսագիտական դասակարգման 4252-Մեքենաների և սարքավորումների ընթացիկ նորոգում և պահպանում հոդվածով</t>
  </si>
  <si>
    <t>Տրանսպորտային միջոցների տեխնիկական զննության և բնապահպանական վճարների հետ կապված ծախսերը նախատեսվում են 4823-Պարտադիր վճարներ հոդվածով</t>
  </si>
  <si>
    <t>արտադրության տարեթիվը
(ընտրել ցանկից)</t>
  </si>
  <si>
    <t>այլ ավտոմեքենա հատկացնելու առաջարկության հիմնավորումը՝ համաձայն ՀՀ  կառավարության 28.09.2023թ. N 1666-Ն որոշման Կարգի 8-րդ կետի պահանջների
 (լրացնել Կարգի 8-րդ կետի հիմքով նոր մեքենա հատկացնելու պահանջի դեպքում)
(ընտրել ցանկից)</t>
  </si>
  <si>
    <t>Հատուկ տեխնիկական միջոցներով կահավորանքի պահանջ
(ընտրել ցանկից)</t>
  </si>
  <si>
    <r>
      <t xml:space="preserve">թափքի տեսակը </t>
    </r>
    <r>
      <rPr>
        <vertAlign val="superscript"/>
        <sz val="9"/>
        <rFont val="GHEA Grapalat"/>
        <family val="3"/>
      </rPr>
      <t>4</t>
    </r>
    <r>
      <rPr>
        <sz val="9"/>
        <rFont val="GHEA Grapalat"/>
        <family val="3"/>
      </rPr>
      <t xml:space="preserve">
(ընտրել ցանկից) </t>
    </r>
  </si>
  <si>
    <r>
      <t xml:space="preserve">օգտակար ծառայության մնացորդային ժամկետը </t>
    </r>
    <r>
      <rPr>
        <vertAlign val="superscript"/>
        <sz val="9"/>
        <rFont val="GHEA Grapalat"/>
        <family val="3"/>
      </rPr>
      <t>5</t>
    </r>
    <r>
      <rPr>
        <sz val="9"/>
        <rFont val="GHEA Grapalat"/>
        <family val="3"/>
      </rPr>
      <t xml:space="preserve"> (տարի) </t>
    </r>
  </si>
  <si>
    <r>
      <t xml:space="preserve">Տրանսպորտային այլ նյութերի (քսայուղերի) ու պահեստամասերի ձեռքբերման միջին տարեկան ծախսը </t>
    </r>
    <r>
      <rPr>
        <vertAlign val="superscript"/>
        <sz val="9"/>
        <rFont val="GHEA Grapalat"/>
        <family val="3"/>
      </rPr>
      <t>6</t>
    </r>
    <r>
      <rPr>
        <sz val="9"/>
        <rFont val="GHEA Grapalat"/>
        <family val="3"/>
      </rPr>
      <t xml:space="preserve"> 
(հազար դրամ)</t>
    </r>
  </si>
  <si>
    <r>
      <t xml:space="preserve">Ընդամենը տրանսպորտային նյութերի </t>
    </r>
    <r>
      <rPr>
        <vertAlign val="superscript"/>
        <sz val="9"/>
        <rFont val="GHEA Grapalat"/>
        <family val="3"/>
      </rPr>
      <t>6</t>
    </r>
    <r>
      <rPr>
        <sz val="9"/>
        <rFont val="GHEA Grapalat"/>
        <family val="3"/>
      </rPr>
      <t xml:space="preserve"> ձեռքբերման միջին տարեկան ծախսը
(հազար դրամ)</t>
    </r>
  </si>
  <si>
    <r>
      <t>Ընթացիկ նորոգման ծառայությունների ձեռքբերման միջին տարեկան ծախսը</t>
    </r>
    <r>
      <rPr>
        <vertAlign val="superscript"/>
        <sz val="9"/>
        <rFont val="GHEA Grapalat"/>
        <family val="3"/>
      </rPr>
      <t xml:space="preserve"> 7</t>
    </r>
    <r>
      <rPr>
        <sz val="9"/>
        <rFont val="GHEA Grapalat"/>
        <family val="3"/>
      </rPr>
      <t xml:space="preserve">
(հազար դրամ)</t>
    </r>
  </si>
  <si>
    <r>
      <t xml:space="preserve">Ընդամենը տեխզննության և բնապահպանական վճարներ </t>
    </r>
    <r>
      <rPr>
        <vertAlign val="superscript"/>
        <sz val="9"/>
        <rFont val="GHEA Grapalat"/>
        <family val="3"/>
      </rPr>
      <t xml:space="preserve">8
</t>
    </r>
    <r>
      <rPr>
        <sz val="9"/>
        <rFont val="GHEA Grapalat"/>
        <family val="3"/>
      </rPr>
      <t>(հազար դրամ)</t>
    </r>
  </si>
  <si>
    <r>
      <t>Առաջարկություն՝ ավտոմեքենայի հետագա շահագործման, նոր ավտոմեքենա հատկացնելու</t>
    </r>
    <r>
      <rPr>
        <vertAlign val="superscript"/>
        <sz val="9"/>
        <rFont val="GHEA Grapalat"/>
        <family val="3"/>
      </rPr>
      <t xml:space="preserve"> 9</t>
    </r>
    <r>
      <rPr>
        <sz val="9"/>
        <rFont val="GHEA Grapalat"/>
        <family val="3"/>
      </rPr>
      <t xml:space="preserve"> և փոխհատուցում տրամադրելու վերաբերյալ
(ընտրել ցանկից)</t>
    </r>
  </si>
  <si>
    <t xml:space="preserve">   Կետ 8. Պետական մարմիններին ծառայողական ավտոմեքենաներ հատկացվում են՝</t>
  </si>
  <si>
    <t xml:space="preserve">Թափքի տեսակը անհրաժեշտ է լրացնել օգտվելով ցանկից՝ ըստ տրանսպորտային միջոցի տեխնիկական անձնագրի: </t>
  </si>
  <si>
    <t xml:space="preserve"> Նոր ավտոմեքենայի հատկացման (կամ ձեռքբերման) անհրաժեշտության հիմնավորումը, այդ թվում՝  գործառնական և հատուկ նշանակության ավտոմեքենայի հատկացման անհրաժեշտությունը, գործառույթի բնութագիրը և իրավական հիմքը</t>
  </si>
  <si>
    <t>ՀՀ  կառավարության 28.09.2023թ. N 1666-Ն որոշման հաստատված Կարգի կետերը, որոնց հղում է կատարվում՝</t>
  </si>
  <si>
    <t>Այլ ավտոմեքենա հատկացնելու առաջարկության հիմնավորումը՝ համաձայն ՀՀ  կառավարության 28.09.2023թ. N 1666-Ն որոշման Կարգի 8-րդ կետի պահանջների: Լրացնել նախորդ սյունակում Կարգի 8-րդ կետի հիմքով նոր ավտոմեքենա հատկացնելու պահանջի դեպքում՝ օգտվելով ցանկից, Կարգի Կետ 8</t>
  </si>
  <si>
    <t>Առաջարկություն՝ ավտոմեքենայի հետագա շահագործման, նոր ավտոմեքենա հատկացնելու և փոխհատուցում տրամադրելու վերաբերյալ: Լրացնել՝ օգտվելով ցանկից:</t>
  </si>
  <si>
    <t>Ավտոմեքենայի ֆունկցիոնալ նշանակությունը լրացնել օգտվելով ցանկից, համաձայն Կարգի՝
1. Ղեկավարին սպասարկող ծառայողական,
2. Մարմնին սպասարկող՝ տարբերանշանով (դիմապակուն փակցված է գերատեսչության տարբերանշանը և անվանումը, Կարգի կետ 6)
3. Մարմնին սպասարկող գործառնական և հատուկ նշանակության (հագեցված են համապատասխան տեխնիկական միջոցներով և ունեն հատուկ կահավորում, ունեն հատուկ գունանշում, Կարգի կետ 7)
4. Մարմնին սպասարկող գործառնական և հատուկ նշանակության՝ առանց գունանշման (չունեն հատուկ գունանշում՝ նախատեսված են օպերատիվ աշխատանքների համար, Կարգի կետ 7-ի բացառություն)</t>
  </si>
  <si>
    <t>աղյուսակի գունավորված սյուների վանդակներում  համապատասխան բանաձևերը տեղադրված են, այլ տվյալներ լրացնել պետք չէ</t>
  </si>
  <si>
    <t xml:space="preserve">   Կետ 19. Պետական մարմիններին սպասարկող գործառնական և հատուկ նշանակության ավտոմեքենաները հատկացվում են Հայաստանի Հանրապետության կառավարության որոշմամբ, նրանց կողմից համապատասխան հիմնավորմամբ ներկայացված առաջարկի հիման վրա։</t>
  </si>
  <si>
    <r>
      <t xml:space="preserve">Հ Ա Յ Տ  </t>
    </r>
    <r>
      <rPr>
        <b/>
        <vertAlign val="superscript"/>
        <sz val="12"/>
        <rFont val="GHEA Grapalat"/>
        <family val="3"/>
      </rPr>
      <t>1</t>
    </r>
  </si>
  <si>
    <t xml:space="preserve">ԳՈՐԾԱՌՆԱԿԱՆ ԵՎ ՀԱՏՈՒԿ ՆՇԱՆԱԿՈՒԹՅԱՆ ԱՎՏՈՄԵՔԵՆԱՆԵՐԻ ՀԱՏԿԱՑՄԱՆ </t>
  </si>
  <si>
    <t>Հայտը լրացնելիս անհրաժեշտ է առաջնորդվել ՀՀ  կառավարության 28.09.2023թ. N 1666-Ն որոշման հաստատված կարգավորումներով և սահմանումներով:</t>
  </si>
  <si>
    <t xml:space="preserve">  </t>
  </si>
  <si>
    <t xml:space="preserve">Հայտով ներկայացվում է տեղեկատվություն՝ ՀՀ հանրային իշխանության մարմինների հաշվեկշռում հաշվառված ծառայողական և սպասարկող ավտոմեքենաների, դրանց ընթացիկ պահպանման ծախսերի, ինչպես նաև նոր ավտոմեքենա ձեռք բերելու կամ հատկացնելու պահանջի վերաբերյալ </t>
  </si>
  <si>
    <t>Տոյոտա Քեմրի (Toyota Camry) 2.5 GAS</t>
  </si>
  <si>
    <t>ՀՀ ԱՍՀ նախարար</t>
  </si>
  <si>
    <t>Տոյոտա Կորոլլա
(Toyota Corolla)</t>
  </si>
  <si>
    <t>Տոյոտա Քեմրի
(Toyota Camry) 3.5</t>
  </si>
  <si>
    <t>Հյունդայի Սոնատա
(Hyundai Sonata)/059SS07</t>
  </si>
  <si>
    <t>Հյունդայի Սոնատա
(Hyundai Sonata)/050SS07</t>
  </si>
  <si>
    <t>ԳԱԶ-311000</t>
  </si>
  <si>
    <t>VAZ- 21101</t>
  </si>
  <si>
    <t xml:space="preserve"> GAZ-322132</t>
  </si>
  <si>
    <t>Mercedes-Benz-308 D</t>
  </si>
  <si>
    <t>Daewoo Matiz M</t>
  </si>
  <si>
    <t>ՎԱԶ-21101-125-51</t>
  </si>
  <si>
    <t>GAZ 96A65R33 (Գազել)</t>
  </si>
  <si>
    <t>MERSEDES BENZ 312D</t>
  </si>
  <si>
    <t>վառելիքի միջին ամսական ծավալը (լիտր, խմ, կգ)</t>
  </si>
  <si>
    <t>RENAULT  MASTER 22 TD F1FDCJ</t>
  </si>
  <si>
    <t>RENAULT MASTER 22 D F1FDCJ</t>
  </si>
  <si>
    <t>Ford Transit 2800 (Ֆորդ Տրանզիտ)</t>
  </si>
  <si>
    <t>Ford Transit 2.2TD (Ֆորդ Տրանզիտ)</t>
  </si>
  <si>
    <t>HYUNDAI H-1 2.4 M/T</t>
  </si>
  <si>
    <t>Lada Kalina</t>
  </si>
  <si>
    <t>Gaz 322100 (GAZEL)</t>
  </si>
  <si>
    <t>Gaz 322132 (GAZEL)</t>
  </si>
  <si>
    <t>Volkswagen LT-28</t>
  </si>
  <si>
    <t xml:space="preserve">LADA LARGUS  </t>
  </si>
  <si>
    <t xml:space="preserve">2,421․030 </t>
  </si>
  <si>
    <t>Օպել Վեկտրա</t>
  </si>
  <si>
    <t>Լադա Լարջուս</t>
  </si>
  <si>
    <t>Վազ (ВАЗ) 21214</t>
  </si>
  <si>
    <t>Nissan Urvan</t>
  </si>
  <si>
    <t>Շևրոլե-Նիվա 21230</t>
  </si>
  <si>
    <t>GAZ 33102 (Գազել)</t>
  </si>
  <si>
    <t>ՈՒազ 220694</t>
  </si>
  <si>
    <t>Տոյոտա HIACE 2.2TD</t>
  </si>
  <si>
    <t>RENAULT MASTER 2,2TD</t>
  </si>
  <si>
    <t>Վազ 21214 
Niva</t>
  </si>
  <si>
    <t>HONDA
ODESSEY 3.5</t>
  </si>
  <si>
    <t>Ford Transit 2.4 TD</t>
  </si>
  <si>
    <t xml:space="preserve">Նշված կազմակերպության և նման այլ կազմակերպություններ շարունակաբար ընդլայնելու են կյանքի ռիսկային պայմաններում հայտված երեխաներին և նրանց ընտանիքներին մատուցվող ծառայությունների շրջանակը։ Կազմակերպություններին պատկանող ավտոմեքենաները հնամաշ են և նրանց սպասարկումը տնտեսապես չի արդարացնում և հետագա շահագործման նպատակով ռիսկեր է պարունակում։ Նոր մեքենայի  տրամադրմամբ իրականացվելու է․
- երեխաների տեղափոխումը բուժհաստատություններ, բժշկական մասնագիտական կենտրոններ, լաբարատորիաներ, հիվանդությունների կանխարգելման, բուժզննման, բուժական պատվաստումների և առողջապահական այլ ծառայություններից օգտվելու նպատակներով,
- երեխաների տեղափոխումը մանկական խաղային և ժամանցի վայրեր,  մշակութային միջոցառումներ, էքսկուրսիաներ և այլն, 
- կազմակերպությունների ղեկավար անձնակազմի և առանձին մասնագետների, մասնագիտական խմբերի այցելություններ վերադաս մարմին, տեղական ինքնակառավարման մարմիններ, կազմակերպությունների հետ համագործակցող այյ կառույցներ, բժկասոցիալական փորձաքննական հանձնաժողովներ, երեխաների ընտանիքներ և այլ,
- շահառու երեխաների ընտրության նպատակով մասնագիտական խմբերի տնային այցելություններ սոցիալապես անապահով ընտանիքներ, 
- կազմակերպությունների տնտեսական կարիքների ապահովում և այլն:
</t>
  </si>
  <si>
    <t>Գազ (GAZ) 322132-218 (Գազել)</t>
  </si>
  <si>
    <t>Գազ (GAZ) A65R33-60</t>
  </si>
  <si>
    <t>-</t>
  </si>
  <si>
    <t>*) Ծանոթություն</t>
  </si>
  <si>
    <t>**) Ծանոթություն</t>
  </si>
  <si>
    <t>***) Ծանոթություն</t>
  </si>
  <si>
    <t>****) Ծանոթություն</t>
  </si>
  <si>
    <t xml:space="preserve">Նոր մեքենայի անհրաժեշտությունը պայմանավորված է նույն հանգամանքերով, որոնք ներկայացվել են, վերևում՝ ներառյալ կազմակերպությունների ղեկավար անձնակազմի և առանձին մասնագետների, մասնագիտական խմբերի այցելություններ վերադաս մարմին, պետական կառավարման և տեղական կառավարման այլ մարմիններ, կազմակերպությունների հետ համագործակցող այյ կառույցներ, բժկասոցիալական փորձաքննական հանձնաժողովներ, </t>
  </si>
  <si>
    <t>Մեքենայի անհրաժեշտության հիմնավորումը տես նախորդ տողում</t>
  </si>
  <si>
    <t>Մեքենաների կարիքը պայմանավորված է հետևյալ գործառույթների իրականացման անհրաժեշտությամբ
1. տարեցների տեղափոխումը ստացիոնար բուժհաստատություններ, բուժհաստատություններում գտնվող տարեցներին անհրաժեշտ ամենօրյա սննդամեթերքով ապահովումը, 
2. տարեցների տեղափոխումը բժշկական մասնագիտական կենտրոններ, լաբարատորիաներ, հիվանդությունների կանխարգելման, բուժզննման, բուժական պատվաստումների և առողջապահական այլ ծառայություններից օգտվելու նպատակներով,
3. տարեցների տեղափոխումը ժամանցի վայրեր, պատմական և մշակութային միջոցառումներ, էքսկուրսիաներ և այլն, 
4. հաշմանդամություն ունեցող և հենաշարժողական խնդիրներ ունեցող տարեցների ամենօրյա սպասարկման աշխատանքները,
5. կազմակերպությունների ղեկավար անձնակազմի և առանձին մասնագետների, մասնագիտական խմբերի այցելություններ վերադաս մարմին, պետական կառավարման և տեղական կառավարման այլ մարմիններ, կազմակերպությունների հետ համագործակցող այյ կառույցներ, բժկասոցիալական փորձաքննական հանձնաժողովներ, տարեցների ընտանիքներ և այլ,
6. կազմակերպությունների տնտեսական կարիքների ապահովում և այլն</t>
  </si>
  <si>
    <t>ԳԱԶ 3110
(ГАЗ 3110)*</t>
  </si>
  <si>
    <t>*****) Ծանոթություն</t>
  </si>
  <si>
    <t>ՀՀ ԱՍՀ նախարարությանը ամրացված Հյունդայի Սոնատա մակնիշի (055LL11 համարանիշով) մեքենան անսարքության պատճառով չի շահագործվել 2023թ ընթացքում</t>
  </si>
  <si>
    <t xml:space="preserve">Ծառայության պետ
</t>
  </si>
  <si>
    <t xml:space="preserve">NISSAN TEANA
985 CX 61 /նախկին 020 LL 55/                </t>
  </si>
  <si>
    <t>Renault Kaleos
020 LL 55</t>
  </si>
  <si>
    <t>Renault Logan
505 CC 61</t>
  </si>
  <si>
    <t>Renault Logan
506 CC 61</t>
  </si>
  <si>
    <t>Renault Logan
508 CC 61</t>
  </si>
  <si>
    <t>Ford Transit
075 CD 61</t>
  </si>
  <si>
    <t>Mercedes Benz Viano
982 CA 61</t>
  </si>
  <si>
    <t xml:space="preserve">ՎԱԶ (Vaz) 21101
686 CL 61    </t>
  </si>
  <si>
    <t xml:space="preserve">Նախարարությանն ամրացված է յոթ թեթև մարդատար ավտոմեքենաներ, որնցից մեկը անհատույց օգտագործման իրավունքով տրամադրվել է Վարդենիսի նյարդահոգեբանական տուն-ինտերնատ ՊՈԱԿ-ին։ 
Նախարարության ղեկավար անձնակազմը և կառուցվածքային ստորաբաժանումները իրենց կանոնադրական գործառույթներից ելնելով Հայաստանի Հանրապետության ողջ տարածքում իրականացնում են բազմաշերտ ու լայնածավալ գործունեություն՝ սոցիալական աջակցության, կենսաթոշակային ապահովման, երեխաների, ընտանիքի և կանանց հիմնահարցերի, աշխատանքի և զբաղվածության, տարեցների և հաշմանդամների հիմնահարցերի ոլորտների, վերջերս նաև Լեռնային Ղարաբաղից տեղահանված ազգաբնակչության սոցիալական աջակցության, ինչպես նշված ոլորտների քաղաքականության մշակման, այնպես էլ մշակված քաղաքականության իրականացման, մոնիթորինգի և վերահսկողության ապահովման նպատակով:
Նախարարությանն ամրացված ավտոմեքենաների փոխարինման անհրաժեշտությունն մասնավորապես պայմանավորված է հետևալ գործոններով.
- Մեքենաները ֆիզիկապես և բարոյապես մաշված են. Նրանց պահպանման և վերանորոգման ծախսերը տարեցտարի աճում են և ավելի թանկ են նստում պետության վրա:
- Ուսումնասիրությունները և մեքենաների տեխնիկական զննությունները ցույց են տալիս նաև, որ վառելանյութի ծախսերի նորման աճում է հանգույցների տեխնիկական անսարքության պատճառով. որոնց վերանորոգումը կամ փոխարինումը նույնպես բարձր գին է պահանջում և բյուջետային համապատասխան հոդվածի մնացորդը գերազանցում է բազմակի անգամ։
- Հնամաշ մեքենաներով երթևեկելը չի ապահովում անվտանգություն պատշաճ մակարդակ։ Այս գործոնով պայմանավորված ռիսկերը աճում են և դրանց բացասական հետևանքները չկանխելու դեպքում ավելի լուրջ խափանումների վտանգն է մեծանում անընդհատ:
- Այս գործոններով պայմանավորված անհրաժեշտություն է նշված 6 հնամաշ մեքենաների փոխարինումը նոր ձեռք բերվող մեքենաներով կամ դրա անհնարինության դեպքում՝ պետության սեփականություն հանդիսացող ավելի նոր և բարվոք վիճակում գտնվող մեքենաներով։
</t>
  </si>
  <si>
    <t xml:space="preserve"> Անձնակազմին սպասարկող</t>
  </si>
  <si>
    <t xml:space="preserve"> Անհատույց օգտագործման իրավունքով տրամադրվել է «Վարդենիսի նյարդահոգեբանական տուն-ինտերնատ» ՊՈԱԿ-ին</t>
  </si>
  <si>
    <t>Renault Logan
507 CC 61</t>
  </si>
  <si>
    <t>15400,0</t>
  </si>
  <si>
    <t>Renault Megane 174 CZ 61</t>
  </si>
  <si>
    <t>Renault Megane 175 CZ 61</t>
  </si>
  <si>
    <t>Renault Megane 176 CZ 61</t>
  </si>
  <si>
    <t>Renault Megane 177 CZ 61</t>
  </si>
  <si>
    <t>Renault Megane 178 CZ 61</t>
  </si>
  <si>
    <t>Renault Megane 179 CZ 61</t>
  </si>
  <si>
    <t>Renault Megane 180 CZ 61</t>
  </si>
  <si>
    <t>Renault Megane 181 CZ 61</t>
  </si>
  <si>
    <t>Renault Kaleos 986 CX 61</t>
  </si>
  <si>
    <t>Renault Kaleos 987 CX 61</t>
  </si>
  <si>
    <t>Renault Kaleos 988 CX 61</t>
  </si>
  <si>
    <t>Renault Kaleos 989 CX 61</t>
  </si>
  <si>
    <t>Անձնակազմին սպասարկող</t>
  </si>
  <si>
    <t>Անձնակազմին և շահառուներին սպասարկող</t>
  </si>
  <si>
    <t xml:space="preserve">Ղեկավարին, անձնակազմին և շահառուներին սպասարկող </t>
  </si>
  <si>
    <t xml:space="preserve">Ղեկավարին սպասարկող </t>
  </si>
  <si>
    <t>Ղեկավարին սպասարկող</t>
  </si>
  <si>
    <t>Ղեկավարին և անձնակազմին սպասարկող</t>
  </si>
  <si>
    <t>Ղեկավարին, անձնակազմին և շահառուներին սպասարկող</t>
  </si>
  <si>
    <t>Ղեկավարն, անձնակազմին և շահառուներին սպասարկող</t>
  </si>
  <si>
    <t xml:space="preserve">Անձնակազմին և շահառուներին սպասարկող </t>
  </si>
  <si>
    <t>Գազ 3110</t>
  </si>
  <si>
    <t xml:space="preserve">Գազ 322100 </t>
  </si>
  <si>
    <t>******) Ծանոթություն</t>
  </si>
  <si>
    <t>Նոր  միկրոավոտոբուսի անհրաժեշտության հիմնավորումը նույնն է, ինչ որ նախորդ տողերում  բերված հիմնավորումը: Իսկ ամենագնացի անհրաժեշտությունը պայմանավորված է հեռավոր, հատկապես բարձլեռնային, դժվարանցելի  բնակավայրեր իրականացվելիք տնայցեր կատարելու, ինչպես նաև՝ բուժհաստատություններ հաճախելու համար:</t>
  </si>
  <si>
    <t>Նոր ունիվերսալ տեսակի (կամ սեդանի) անհրաժեշտությունը պայմանավորված է հետևյալ գործոննեով՝
- կազմակերպությունների ղեկավար անձնակազմի և առանձին մասնագետների, մասնագիտական խմբերի այցելություններ վերադաս մարմին, տեղական ինքնակառավարման մարմիններ, կազմակերպությունների հետ համագործակցող այյ կառույցներ, բժկասոցիալական փորձաքննական հանձնաժողովներ, երեխաների ընտանիքներ և այլ,
- շահառու երեխաների ընտրության նպատակով մասնագիտական խմբերի տնային այցելություններ սոցիալապես անապահով ընտանիքներ,
- ինչպես նաև երեխաների տեղափոխումը բուժհինարկներ այն  դեպքերում, երբ միկրոավտոբուսի շահագործումը նպատակահարմար չէ․ 
- կազմակերպությունների տնտեսական կարիքների ապահովում և այլն։</t>
  </si>
  <si>
    <t>*******) Ծանոթություն</t>
  </si>
  <si>
    <t>Հիմնավորումները համարժեք են տարեցների տուն-ինտերնատների համար ձեռք բերման ենթակա ավտոմեքենաների համար ներկայացված հիմնավորումներին, սակայն հաշվի առնելով, որ Վարդենիսում բնակվում են հոգեկան առողջության խնդիրներ ունեցող բնակիչներ և միկրոավտոբուսների կարիքը անհամեմատ ավելի հրատապ է:</t>
  </si>
  <si>
    <t xml:space="preserve">Թեթև մարդատար ավտոմեքենայի  փոփոխության անհրաժեշտությունը պայմանավորված առկա մեքենայի հնամաշությամբ և ծախսատարությամբ: Նոր ավտոմեքենայով ապահովվելու են կազմակերպությունների ղեկավար անձնակազմի և առանձին մասնագետների, մասնագիտական խմբերի այցելությունները վերադաս մարմին, պետական կառավարման և տեղական կառավարման այլ մարմիններ, կազմակերպությունների հետ համագործակցող այյ կառույցներ, բժկասոցիալական փորձաքննական հանձնաժողովներ, տարեցների ընտանիքներ և այլ,
- օգտագործվելու է կազմակերպության տնտեսական կարիքների ապահապահովման նպատակով և այլն:
</t>
  </si>
  <si>
    <t>Նոր ունիվերսալ տիպի ավտոմեքենայի կարիքի հիմնավորումընույնական է սույն աղյուսակի AR58 վանդակում բերված հիմնավորման հետ, սակայն  դրա կարիքը պայմանվորված է նաև կազմակերպության գործառույթների և շահառուների թվի էական ավելացմամբ և նրանց բնակության աշխարհագրության ընդլայնմամբ՝ ՀՀ կառավարության 28․12․2023թ․ N 2341-Ն որոշման համաձայն։</t>
  </si>
  <si>
    <t>Նոր միկրոավտոբուսի ձեռք բերման հիմնավորումը նույնական է տարեցների և հաշմանդամություն ունեցող երեխաների և տարեցների խնամքի ծառայություններ մատուցող կազմակերպությունների համար ներկայացված հիմնավորումներին։ Բայ նաև՝ մեքենայի կարիքը  պայմանավորված է նաև կազմակերպության գործառույթների էական ավելացմամբ՝ ՀՀ կառավարության 28․12․2023թ․ N 2341-Ն որոշման համաձայն (տես՝ նախորդ տողը) ։</t>
  </si>
  <si>
    <t>«Երևանի երեխայի և ընտանիքի աջակցության կենտրոն» ՊՈԱԿ-ին ամրացված ավտոմեքենաները օտարվում են ՀՀ կառավարության 01․09․2022թ․ N 1377-Ա որոշման համաձայն</t>
  </si>
  <si>
    <t>Նախարարության ենթակայությանն հանձնված ՊՈԱԿ-ներին սպասարկող ավտոմեքենաները</t>
  </si>
  <si>
    <t>_</t>
  </si>
  <si>
    <t>Հ/հ</t>
  </si>
  <si>
    <t>նոր միկրոավտոբուսի հիմնավորումը՝ տես սույն աղյուսակի AR51,52,53 վանդակներում</t>
  </si>
  <si>
    <t>Նոր միկրոավտոբուսի հիմնավորումը՝ տես սույն աղյուսակի AR51,52,53 վանդակներում</t>
  </si>
  <si>
    <t>2 նոր միկրոավտոբուսի հիմնավորումը՝ տես սույն աղյուսակի AR51,52, 53 վանդակներում</t>
  </si>
  <si>
    <t xml:space="preserve">Ավտոմեքենայի փոխարինման անհրաժեշտությունը պայմանավորված է նույն գործոններով, որոնք բերված են սույն աղյուսակի AR51-53 վանդակներում, մասնավորապես բուժհիմնարկներ երեխաների տեղափոխմամբ և այլն։ </t>
  </si>
  <si>
    <t>Նոր միկրոավտոբուսի հիմնավորումը՝ տես սույն աղյուսակի AR51-53 վանդակներում, մասնավորապես երեխաների տեղափոխման ապահովումը բուժհիմնարկներ, էքսկուրսիաների կազմակերպումներ և այլն։ Ծառայության պատվիրակումը այս դեպքում նպատակահարմար չէ՝ երեխաների անվտանգության պահպանման նկատառումներով</t>
  </si>
  <si>
    <t>2 միկրոավտոբուսի համար ներկայացվող հիմնավորումները նույնական են «Վարդենիսի տուն-ինտերնատ» կազմակերպության համար նեռրկայացված հիմնավորումների հետ</t>
  </si>
  <si>
    <t>«Աշխատանքի և սոցիալական հետազոտությունների ազգային ինստիտուտ» ՊՈԱԿ-ին ամրացված ավտոմեքենան առևանգվել է 2023-ին, և ՀՀ ոստիկանությունը հայտնաբերել և վերադարձրել է, նախաձեռնվել է քրեական վարույթ, այժմ գտնվում է ՀՀ ոստիկանության բաժանմունքում:</t>
  </si>
  <si>
    <t>«Lոռու մարզի երեխայի և ընտանիքի աջակցության կենտրոն» ՊՈԱԿ-ին ամրացված ավտոմեքենան չի շահագործվել և ենթակա է օտարման ՀՀ կառավարության 01.09.2022թ 1377-Ա որոշման համաձայն:</t>
  </si>
  <si>
    <t>«Խարբերդի մասնագիտացված մանկատուն» ՊՈԱԿ-ին ամրացված Gaz31105-120 ավտոմեքենան շահագործվում է բենզինով և գազով</t>
  </si>
  <si>
    <t>«Տնային պայմաններում միայնակ տարեցների և հաշմանդամների սոցիալական սպասարկման կենտրոն» ՊՈԱԿ ՊՈԱԿ-ին ամրացված 3 թեթև մարդատար ավտոմեքենաները օտարվել են (նվիրաբերվել են Պետ․ գույքի կառ․-ն կոմիտեին) ՀՀ կառավարության 01․09․2022թN 1377-Ա որոշման համաձայն</t>
  </si>
  <si>
    <t xml:space="preserve">Համաշխարհային բանկի աջակցությամբ ձեռքբերված 13, ինչպես նաև գնվող նոր 5 տրանսպորտային միջոցները, որպես հերթապահ ավտոմեքենա, ծառայելու են Միասնական սոցիալական ծառայության գործառույթների պատշաճ սպասարկումն ապահովելու համար: Նախատեսված է, որ յուրաքանչյուր մարզի, ինչպես նաև Երևան քաղաքի տարածքային կենտրոնները կսպասարկի մեկ ավտոմեքենա, ինչպես նաև ըստ անհրաժեշտության, գնահատված կարիքի հիման վրա, լրացուցիչ մեքենաները կսպասարկեն ՀՀ մարզերի՝ ՄՍԾ այն տարածքային կենտրոնները, որտեղ առավել խիտ են բնակեցված ԼՂ-ից բռնի տեղահանված ընտանիքները:
Սույն վանդակում նշված տրանսպորտային միջոցների ձեռք բերման թույլտվություն ստանալու մասին ՀՀ կառավարության որշման համապատասխան նախագիծը ներկայումս շրջանառվում է:  </t>
  </si>
  <si>
    <t xml:space="preserve">«Երևանի Զատիկ մանկատուն» ՊՈԱԿ-ին ամրացված Նիվա-Շևրոլե Մեքենան 2023թ ընթացքում չի շահագործվել և վթարվածության հետևանքով: </t>
  </si>
  <si>
    <t xml:space="preserve">Ազգային ինստիտուտի կողմից իրականացվում են սոցիալական և գիտական հետազոտություններ, սոցիալական ոլորտի կադրերի վերապատրաստման, մեթոդական ձեռնարկների և ուղեցույցերի մշակման աշխատանքներ, որին ամրացված է 2 ավտոմեքենա, որոնք խիստ հնամաշ են և հետագա շահագործման համար կապված է ռիսկերի և չարդարացված ծախսերի հետ, ընդ որում 1 ավտոմեքենանան կայանված է ոստիկանությունում Նշված կազմակերպությանը ամրացված ավտոմեքենաների շահագործմամբ իրականացվում են՝
- աշխատանքային և մասնագիտական խմբերի այցելություններ հանրապետության բոլոր մարզեր, 
- կազմակերպությունների տնտեսական կարիքների ապահովում
- արտագնա դասընթացներ և այլ աշխատանքներ:
</t>
  </si>
  <si>
    <t>ամենագնացի անհրաժեշտությունը պայմանավորված է հեռավոր, հատկապես բարձլեռնային, դժվարանցելի  բնակավայրեր իրականացվելիք տնայցեր կատարելու, ինչպես նաև՝ բուժհաստատություններ հաճախելու համար:</t>
  </si>
  <si>
    <t>Նախատեսվում է շահառուների և ուղեկցող անձնակազմի սպասարկման համար,1-4 սալյակավոր ուղևորների տեղափոխումը մատչելի դարձնելու նպատակով: Դպրոցներ, տարբեր միջոցառումների մասնակցելու համար քիչ թվով սալյակավոր շահառուների մասնակցությունը ապահովելու նպատակով:</t>
  </si>
  <si>
    <t>Նախատեսվում է շահառուների և անձնակազմի սպասարկման համար,1-4 ուղևորների տեղափոխումը մատչելի դարձնելու նպատակով: Սոցիալական աշխատողների տարբեր գերատեսչություններ այցելությունները ապահովելու, հիվադանոցում գտնվող շահառուների սնունդ և այլ անրաժեշտ պարագաներով ապահովելու, դպրոցներ, տարբեր միջոցառումների մասնակցելու համար քիչ թվով շահառուների մասնակցությունը ապահովելու նպատակով:</t>
  </si>
  <si>
    <t xml:space="preserve">Ավտոմեքենան անհրաժեշտ է, քանի որ տուն-ինտերնատում բնակվում են 210 շահառուներ, որոշ շահառուներ բուժվում են  Երևան քաղաքի տարբեր հիվանդանոցներում և անհրաժեշտ է նրանց ապահովել սննդամթերքով, նաև շահառուներին տեղափոխել բուժզննման: </t>
  </si>
  <si>
    <t>1,9-2,2</t>
  </si>
  <si>
    <t>Քանակը (հատ)*</t>
  </si>
  <si>
    <t>1.00*</t>
  </si>
  <si>
    <t>********) Ծանոթություն</t>
  </si>
  <si>
    <t>Հյունդայի Սոնատա
(Hyundai Sonata)/055LL11**</t>
  </si>
  <si>
    <t>VAZ-21074***</t>
  </si>
  <si>
    <t>Միկրոավտոբուս Ռաֆ 2203****</t>
  </si>
  <si>
    <t>GAZ 31105-120*******</t>
  </si>
  <si>
    <t>Նիվա-Շևրոլե
(Niva-Chevrolet)*******</t>
  </si>
  <si>
    <t>Դեղին գույնով ներկված տողրում նշված ավտոմեքենաները կարելի դիտարկել նաև որպես նոր ավտոմեքենայի հատկացման տողի տակ, եթե ՀՀ պետական գույքի կառավարման կոմիտեի տնօրինությամբ լինեն նման, բայց  նոր ավտոմեքենաներ</t>
  </si>
  <si>
    <t xml:space="preserve">ՀՀ ԱՍՀ նախարարին սպասարկող ծառայողական ավտոմեքենաները </t>
  </si>
  <si>
    <t>ՀՀ ԱՍՀ նախարարությանն սպասարկող ավտոմեքենաները (սահմանաքանակը՝ 7)</t>
  </si>
  <si>
    <t>Նախարարության միասնական սոցիալական ծառայությանն սպասարկող (սահմանաքանակը՝ 26)</t>
  </si>
  <si>
    <r>
      <t xml:space="preserve">1. </t>
    </r>
    <r>
      <rPr>
        <b/>
        <sz val="12"/>
        <rFont val="GHEA Grapalat"/>
        <family val="3"/>
      </rPr>
      <t>«</t>
    </r>
    <r>
      <rPr>
        <b/>
        <i/>
        <sz val="12"/>
        <rFont val="GHEA Grapalat"/>
        <family val="3"/>
      </rPr>
      <t>Աշխատանքի և սոցիալական հետազոտությունների ազգային ինստիտուտ» ՊՈԱԿ (սահմանականակը՝ 2)</t>
    </r>
  </si>
  <si>
    <r>
      <t xml:space="preserve">2. </t>
    </r>
    <r>
      <rPr>
        <b/>
        <sz val="12"/>
        <rFont val="GHEA Grapalat"/>
        <family val="3"/>
      </rPr>
      <t>«</t>
    </r>
    <r>
      <rPr>
        <b/>
        <i/>
        <sz val="12"/>
        <rFont val="GHEA Grapalat"/>
        <family val="3"/>
      </rPr>
      <t>Շիրակի մարզի երեխայի և ընտանիքի աջակցության կենտրոն» ՊՈԱԿ (սահմանականակը՝ 3)</t>
    </r>
  </si>
  <si>
    <r>
      <t xml:space="preserve">3. </t>
    </r>
    <r>
      <rPr>
        <b/>
        <sz val="12"/>
        <rFont val="GHEA Grapalat"/>
        <family val="3"/>
      </rPr>
      <t>«</t>
    </r>
    <r>
      <rPr>
        <b/>
        <i/>
        <sz val="12"/>
        <rFont val="GHEA Grapalat"/>
        <family val="3"/>
      </rPr>
      <t>Լոռու մարզի երեխայի և ընտանիքի աջակցության կենտրոն» ՊՈԱԿ (սահմանականակը՝ 2)</t>
    </r>
  </si>
  <si>
    <r>
      <t>4. «Երևանի երեխայի և ընտանիքի աջակցության կենտրոն</t>
    </r>
    <r>
      <rPr>
        <b/>
        <sz val="10"/>
        <rFont val="GHEA Grapalat"/>
        <family val="3"/>
      </rPr>
      <t xml:space="preserve">» </t>
    </r>
    <r>
      <rPr>
        <b/>
        <i/>
        <sz val="12"/>
        <rFont val="GHEA Grapalat"/>
        <family val="3"/>
      </rPr>
      <t>ՊՈԱԿ (սահմանականակը՝ 2)</t>
    </r>
  </si>
  <si>
    <r>
      <t>5. «Սյունիքի մարզի երեխայի և ընտանիքի աջակցության կենտրոն</t>
    </r>
    <r>
      <rPr>
        <b/>
        <sz val="10"/>
        <rFont val="GHEA Grapalat"/>
        <family val="3"/>
      </rPr>
      <t xml:space="preserve">» </t>
    </r>
    <r>
      <rPr>
        <b/>
        <i/>
        <sz val="12"/>
        <rFont val="GHEA Grapalat"/>
        <family val="3"/>
      </rPr>
      <t>ՊՈԱԿ (սահմանականակը՝ 2)</t>
    </r>
  </si>
  <si>
    <r>
      <t xml:space="preserve">6. </t>
    </r>
    <r>
      <rPr>
        <b/>
        <sz val="12"/>
        <rFont val="GHEA Grapalat"/>
        <family val="3"/>
      </rPr>
      <t>«</t>
    </r>
    <r>
      <rPr>
        <b/>
        <i/>
        <sz val="12"/>
        <rFont val="GHEA Grapalat"/>
        <family val="3"/>
      </rPr>
      <t>Երևանի «Զատիկ» երեխաների աջակցության կենտրոն» ՊՈԱԿ (սահմանականակը՝ 2)</t>
    </r>
  </si>
  <si>
    <t>7. «Երևանի Աջափնյակ շրջանի երեխաների սոցիալական հոգածության կենտրոն» ՊՈԱԿ (սահմանականակը՝ 1)</t>
  </si>
  <si>
    <t>8. «Խարբերդի մասնագիտացված մանկատուն» ՊՈԱԿ (սահմանականակը՝ 8)</t>
  </si>
  <si>
    <r>
      <t xml:space="preserve">9․ </t>
    </r>
    <r>
      <rPr>
        <b/>
        <sz val="12"/>
        <rFont val="GHEA Grapalat"/>
        <family val="3"/>
      </rPr>
      <t>«</t>
    </r>
    <r>
      <rPr>
        <b/>
        <i/>
        <sz val="12"/>
        <rFont val="GHEA Grapalat"/>
        <family val="3"/>
      </rPr>
      <t>Մարի Իզմիրլյանի անվան մանկատուն» ՊՈԱԿ (սահմանականակը՝ 4)</t>
    </r>
  </si>
  <si>
    <t>10. «Գյումրու երեխաների տուն» ՊՈԱԿ (սահմանականակը՝ 3)</t>
  </si>
  <si>
    <t>11․ «Երևանի մանկան տուն» ՊՈԱԿ (սահմանականակը՝ 2)</t>
  </si>
  <si>
    <t>12. «Գավառի մանկատուն» ՊՈԱԿ (սահմանականակը՝ 3)</t>
  </si>
  <si>
    <t>13. «Նորքի տուն ինտերնատ» ՊՈԱԿ (սահմանականակը՝ 2)</t>
  </si>
  <si>
    <t>14. «Երևանի N1 տուն-ինտերնատ» ՊՈԱԿ(սահմանականակը՝ 4)</t>
  </si>
  <si>
    <t>15. «Վարդենիսի նյարդահոգեբանական տուն-ինտերնատ» ՊՈԱԿ (սահմանականակը՝ 3)</t>
  </si>
  <si>
    <t>16. «Տնային պայմաններում միայնակ տարեցների և հաշմանդամների սոցիալական սպասարկման կենտրոն» ՊՈԱԿ (սահմանականակը՝ 3)********</t>
  </si>
  <si>
    <t>17. «Ձորակ» հոգեկան խնդիրներ ունեցող անձանց խնամքի կենտրոն» ՊՈԱԿ (սահմանականակը՝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</si>
</sst>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_);_(* \(#,##0.00\);_(* &quot;-&quot;??_);_(@_)"/>
    <numFmt numFmtId="164" formatCode="_-* #,##0.00\ _₽_-;\-* #,##0.00\ _₽_-;_-* &quot;-&quot;??\ _₽_-;_-@_-"/>
    <numFmt numFmtId="165" formatCode="0_);[Red]\(0\)"/>
    <numFmt numFmtId="166" formatCode="_(* #,##0.0_);_(* \(#,##0.0\);_(* &quot;-&quot;??_);_(@_)"/>
  </numFmts>
  <fonts count="28" x14ac:knownFonts="1">
    <font>
      <sz val="14"/>
      <color theme="1"/>
      <name val="GHEA Grapalat"/>
      <family val="2"/>
    </font>
    <font>
      <sz val="14"/>
      <color theme="1"/>
      <name val="GHEA Grapalat"/>
      <family val="2"/>
    </font>
    <font>
      <i/>
      <u/>
      <sz val="11"/>
      <name val="GHEA Grapalat"/>
      <family val="3"/>
    </font>
    <font>
      <b/>
      <sz val="10"/>
      <name val="GHEA Grapalat"/>
      <family val="3"/>
    </font>
    <font>
      <sz val="10"/>
      <name val="GHEA Grapalat"/>
      <family val="3"/>
    </font>
    <font>
      <sz val="9"/>
      <name val="GHEA Grapalat"/>
      <family val="3"/>
    </font>
    <font>
      <b/>
      <sz val="12"/>
      <color rgb="FFFF0000"/>
      <name val="GHEA Grapalat"/>
      <family val="3"/>
    </font>
    <font>
      <b/>
      <sz val="9"/>
      <name val="GHEA Grapalat"/>
      <family val="3"/>
    </font>
    <font>
      <b/>
      <i/>
      <sz val="10"/>
      <name val="GHEA Grapalat"/>
      <family val="3"/>
    </font>
    <font>
      <i/>
      <sz val="9"/>
      <name val="GHEA Grapalat"/>
      <family val="3"/>
    </font>
    <font>
      <sz val="12"/>
      <name val="GHEA Grapalat"/>
      <family val="3"/>
    </font>
    <font>
      <b/>
      <sz val="12"/>
      <name val="GHEA Grapalat"/>
      <family val="3"/>
    </font>
    <font>
      <sz val="11"/>
      <color rgb="FF000000"/>
      <name val="Arial Unicode"/>
      <family val="2"/>
    </font>
    <font>
      <sz val="9"/>
      <color rgb="FFFF0000"/>
      <name val="GHEA Grapalat"/>
      <family val="3"/>
    </font>
    <font>
      <sz val="10"/>
      <color theme="0"/>
      <name val="GHEA Grapalat"/>
      <family val="3"/>
    </font>
    <font>
      <b/>
      <vertAlign val="superscript"/>
      <sz val="10"/>
      <name val="GHEA Grapalat"/>
      <family val="3"/>
    </font>
    <font>
      <sz val="12"/>
      <color theme="1"/>
      <name val="GHEA Grapalat"/>
      <family val="2"/>
    </font>
    <font>
      <b/>
      <vertAlign val="superscript"/>
      <sz val="12"/>
      <name val="GHEA Grapalat"/>
      <family val="3"/>
    </font>
    <font>
      <sz val="12"/>
      <color rgb="FF000000"/>
      <name val="GHEA Grapalat"/>
      <family val="3"/>
    </font>
    <font>
      <b/>
      <sz val="12"/>
      <color rgb="FF000000"/>
      <name val="GHEA Grapalat"/>
      <family val="3"/>
    </font>
    <font>
      <vertAlign val="superscript"/>
      <sz val="9"/>
      <name val="GHEA Grapalat"/>
      <family val="3"/>
    </font>
    <font>
      <sz val="12"/>
      <color rgb="FFFF0000"/>
      <name val="GHEA Grapalat"/>
      <family val="2"/>
    </font>
    <font>
      <sz val="16"/>
      <color theme="1"/>
      <name val="GHEA Grapalat"/>
      <family val="2"/>
    </font>
    <font>
      <sz val="10"/>
      <color theme="1"/>
      <name val="GHEA Grapalat"/>
      <family val="3"/>
    </font>
    <font>
      <sz val="8"/>
      <name val="GHEA Grapalat"/>
      <family val="3"/>
    </font>
    <font>
      <i/>
      <sz val="10"/>
      <name val="GHEA Grapalat"/>
      <family val="3"/>
    </font>
    <font>
      <b/>
      <i/>
      <sz val="12"/>
      <name val="GHEA Grapalat"/>
      <family val="3"/>
    </font>
    <font>
      <sz val="14"/>
      <color theme="1"/>
      <name val="GHEA Grapalat"/>
      <family val="3"/>
    </font>
  </fonts>
  <fills count="9">
    <fill>
      <patternFill patternType="none"/>
    </fill>
    <fill>
      <patternFill patternType="gray125"/>
    </fill>
    <fill>
      <patternFill patternType="solid">
        <fgColor indexed="9"/>
        <bgColor indexed="64"/>
      </patternFill>
    </fill>
    <fill>
      <patternFill patternType="solid">
        <fgColor theme="0" tint="-4.9989318521683403E-2"/>
        <bgColor indexed="64"/>
      </patternFill>
    </fill>
    <fill>
      <patternFill patternType="solid">
        <fgColor theme="8" tint="0.59999389629810485"/>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0"/>
        <bgColor indexed="64"/>
      </patternFill>
    </fill>
    <fill>
      <patternFill patternType="solid">
        <fgColor rgb="FFFFFF00"/>
        <bgColor indexed="64"/>
      </patternFill>
    </fill>
  </fills>
  <borders count="25">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right style="medium">
        <color indexed="64"/>
      </right>
      <top style="medium">
        <color indexed="64"/>
      </top>
      <bottom/>
      <diagonal/>
    </border>
    <border>
      <left style="thin">
        <color indexed="64"/>
      </left>
      <right/>
      <top/>
      <bottom/>
      <diagonal/>
    </border>
    <border>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s>
  <cellStyleXfs count="3">
    <xf numFmtId="0" fontId="0" fillId="0" borderId="0"/>
    <xf numFmtId="43" fontId="1" fillId="0" borderId="0" applyFont="0" applyFill="0" applyBorder="0" applyAlignment="0" applyProtection="0"/>
    <xf numFmtId="164" fontId="1" fillId="0" borderId="0" applyFont="0" applyFill="0" applyBorder="0" applyAlignment="0" applyProtection="0"/>
  </cellStyleXfs>
  <cellXfs count="218">
    <xf numFmtId="0" fontId="0" fillId="0" borderId="0" xfId="0"/>
    <xf numFmtId="0" fontId="0" fillId="0" borderId="0" xfId="0" applyAlignment="1"/>
    <xf numFmtId="0" fontId="10" fillId="0" borderId="11" xfId="0" applyFont="1" applyBorder="1" applyAlignment="1">
      <alignment horizontal="left" wrapText="1"/>
    </xf>
    <xf numFmtId="0" fontId="10" fillId="0" borderId="11" xfId="0" applyFont="1" applyBorder="1" applyAlignment="1">
      <alignment horizontal="left"/>
    </xf>
    <xf numFmtId="0" fontId="10" fillId="0" borderId="11" xfId="0" applyFont="1" applyBorder="1" applyAlignment="1">
      <alignment horizontal="left" vertical="center" wrapText="1"/>
    </xf>
    <xf numFmtId="166" fontId="10" fillId="0" borderId="11" xfId="1" applyNumberFormat="1" applyFont="1" applyBorder="1"/>
    <xf numFmtId="0" fontId="11" fillId="0" borderId="11" xfId="0" applyFont="1" applyBorder="1" applyAlignment="1">
      <alignment horizontal="center" vertical="center" wrapText="1"/>
    </xf>
    <xf numFmtId="0" fontId="12" fillId="0" borderId="0" xfId="0" applyFont="1" applyAlignment="1">
      <alignment horizontal="left" vertical="center"/>
    </xf>
    <xf numFmtId="0" fontId="10" fillId="0" borderId="0" xfId="0" applyFont="1" applyBorder="1" applyAlignment="1">
      <alignment horizontal="left"/>
    </xf>
    <xf numFmtId="166" fontId="10" fillId="0" borderId="0" xfId="1" applyNumberFormat="1" applyFont="1" applyBorder="1"/>
    <xf numFmtId="0" fontId="10" fillId="0" borderId="0" xfId="0" applyFont="1" applyBorder="1" applyAlignment="1">
      <alignment horizontal="left" vertical="center" wrapText="1"/>
    </xf>
    <xf numFmtId="0" fontId="12" fillId="0" borderId="0" xfId="0" applyFont="1" applyAlignment="1">
      <alignment horizontal="left" vertical="center" wrapText="1"/>
    </xf>
    <xf numFmtId="0" fontId="10" fillId="0" borderId="15" xfId="0" applyFont="1" applyFill="1" applyBorder="1" applyAlignment="1">
      <alignment horizontal="left" wrapText="1"/>
    </xf>
    <xf numFmtId="0" fontId="4" fillId="4" borderId="11" xfId="0" applyFont="1" applyFill="1" applyBorder="1" applyAlignment="1" applyProtection="1">
      <alignment horizontal="center" vertical="center" wrapText="1"/>
    </xf>
    <xf numFmtId="0" fontId="7" fillId="4" borderId="11" xfId="0" applyFont="1" applyFill="1" applyBorder="1" applyAlignment="1" applyProtection="1">
      <alignment horizontal="center" vertical="center"/>
      <protection locked="0"/>
    </xf>
    <xf numFmtId="0" fontId="8" fillId="4" borderId="12" xfId="0" applyFont="1" applyFill="1" applyBorder="1" applyAlignment="1" applyProtection="1">
      <alignment horizontal="left" vertical="center"/>
      <protection locked="0"/>
    </xf>
    <xf numFmtId="0" fontId="4" fillId="0" borderId="11" xfId="0" applyFont="1" applyBorder="1" applyAlignment="1" applyProtection="1">
      <alignment horizontal="center" vertical="center"/>
      <protection locked="0"/>
    </xf>
    <xf numFmtId="0" fontId="4" fillId="0" borderId="11" xfId="0" applyFont="1" applyBorder="1" applyAlignment="1" applyProtection="1">
      <alignment horizontal="left" vertical="center"/>
      <protection locked="0"/>
    </xf>
    <xf numFmtId="0" fontId="4" fillId="0" borderId="11" xfId="0" applyFont="1" applyBorder="1" applyAlignment="1" applyProtection="1">
      <alignment horizontal="center" vertical="center" wrapText="1"/>
      <protection locked="0"/>
    </xf>
    <xf numFmtId="165" fontId="4" fillId="0" borderId="11" xfId="0" applyNumberFormat="1" applyFont="1" applyBorder="1" applyAlignment="1" applyProtection="1">
      <alignment horizontal="center" vertical="center"/>
      <protection locked="0"/>
    </xf>
    <xf numFmtId="0" fontId="9" fillId="4" borderId="11" xfId="0" applyFont="1" applyFill="1" applyBorder="1" applyAlignment="1" applyProtection="1">
      <alignment horizontal="center" vertical="center"/>
      <protection locked="0"/>
    </xf>
    <xf numFmtId="0" fontId="4" fillId="4" borderId="11" xfId="0" applyFont="1" applyFill="1" applyBorder="1" applyAlignment="1" applyProtection="1">
      <alignment horizontal="center" vertical="center"/>
      <protection locked="0"/>
    </xf>
    <xf numFmtId="0" fontId="11" fillId="2" borderId="0" xfId="0" applyFont="1" applyFill="1" applyAlignment="1" applyProtection="1">
      <alignment horizontal="centerContinuous" vertical="center"/>
      <protection locked="0"/>
    </xf>
    <xf numFmtId="0" fontId="3" fillId="2" borderId="0" xfId="0" applyFont="1" applyFill="1" applyAlignment="1" applyProtection="1">
      <alignment horizontal="centerContinuous" vertical="center" wrapText="1"/>
      <protection locked="0"/>
    </xf>
    <xf numFmtId="0" fontId="3" fillId="2" borderId="0" xfId="0" applyFont="1" applyFill="1" applyAlignment="1" applyProtection="1">
      <alignment horizontal="centerContinuous" vertical="center"/>
      <protection locked="0"/>
    </xf>
    <xf numFmtId="0" fontId="3" fillId="2" borderId="0" xfId="0" applyFont="1" applyFill="1" applyAlignment="1" applyProtection="1">
      <alignment horizontal="center" vertical="center"/>
      <protection locked="0"/>
    </xf>
    <xf numFmtId="0" fontId="3" fillId="2" borderId="0" xfId="0" applyFont="1" applyFill="1" applyAlignment="1" applyProtection="1">
      <alignment horizontal="centerContinuous"/>
      <protection locked="0"/>
    </xf>
    <xf numFmtId="0" fontId="3" fillId="2" borderId="0" xfId="0" applyFont="1" applyFill="1" applyAlignment="1" applyProtection="1">
      <alignment horizontal="center" vertical="center" wrapText="1"/>
      <protection locked="0"/>
    </xf>
    <xf numFmtId="0" fontId="3" fillId="2" borderId="0" xfId="0" applyFont="1" applyFill="1" applyAlignment="1" applyProtection="1">
      <alignment horizontal="center"/>
      <protection locked="0"/>
    </xf>
    <xf numFmtId="0" fontId="3" fillId="2" borderId="0" xfId="0" applyFont="1" applyFill="1" applyAlignment="1" applyProtection="1">
      <alignment horizontal="centerContinuous" wrapText="1"/>
      <protection locked="0"/>
    </xf>
    <xf numFmtId="0" fontId="3" fillId="2" borderId="0" xfId="0" applyFont="1" applyFill="1" applyAlignment="1" applyProtection="1">
      <alignment horizontal="left"/>
      <protection locked="0"/>
    </xf>
    <xf numFmtId="0" fontId="3" fillId="2" borderId="0" xfId="0" applyFont="1" applyFill="1" applyAlignment="1" applyProtection="1">
      <alignment horizontal="left" wrapText="1"/>
      <protection locked="0"/>
    </xf>
    <xf numFmtId="0" fontId="4" fillId="0" borderId="0" xfId="0" applyFont="1" applyProtection="1">
      <protection locked="0"/>
    </xf>
    <xf numFmtId="0" fontId="4" fillId="2" borderId="0" xfId="0" applyFont="1" applyFill="1" applyProtection="1">
      <protection locked="0"/>
    </xf>
    <xf numFmtId="0" fontId="11" fillId="2" borderId="0" xfId="0" applyFont="1" applyFill="1" applyAlignment="1" applyProtection="1">
      <alignment horizontal="left" vertical="center"/>
    </xf>
    <xf numFmtId="0" fontId="2" fillId="2" borderId="0" xfId="0" applyFont="1" applyFill="1" applyAlignment="1" applyProtection="1">
      <alignment horizontal="left" vertical="center"/>
    </xf>
    <xf numFmtId="0" fontId="3" fillId="2" borderId="0" xfId="0" applyFont="1" applyFill="1" applyAlignment="1" applyProtection="1">
      <alignment horizontal="left"/>
    </xf>
    <xf numFmtId="0" fontId="4" fillId="2" borderId="2" xfId="0" applyFont="1" applyFill="1" applyBorder="1" applyAlignment="1" applyProtection="1">
      <alignment wrapText="1"/>
    </xf>
    <xf numFmtId="0" fontId="4" fillId="2" borderId="3" xfId="0" applyFont="1" applyFill="1" applyBorder="1" applyAlignment="1" applyProtection="1">
      <alignment horizontal="left"/>
    </xf>
    <xf numFmtId="0" fontId="4" fillId="2" borderId="16" xfId="0" applyFont="1" applyFill="1" applyBorder="1" applyAlignment="1" applyProtection="1">
      <alignment horizontal="center" wrapText="1"/>
    </xf>
    <xf numFmtId="0" fontId="4" fillId="2" borderId="2" xfId="0" applyFont="1" applyFill="1" applyBorder="1" applyAlignment="1" applyProtection="1">
      <alignment horizontal="center" wrapText="1"/>
    </xf>
    <xf numFmtId="0" fontId="4" fillId="4" borderId="1" xfId="0" applyFont="1" applyFill="1" applyBorder="1" applyAlignment="1" applyProtection="1">
      <alignment horizontal="centerContinuous"/>
    </xf>
    <xf numFmtId="0" fontId="3" fillId="0" borderId="7" xfId="0" applyFont="1" applyFill="1" applyBorder="1" applyAlignment="1" applyProtection="1">
      <alignment horizontal="center" wrapText="1"/>
    </xf>
    <xf numFmtId="43" fontId="4" fillId="0" borderId="11" xfId="1" applyFont="1" applyBorder="1" applyAlignment="1" applyProtection="1">
      <alignment horizontal="center" vertical="center"/>
      <protection locked="0"/>
    </xf>
    <xf numFmtId="2" fontId="4" fillId="0" borderId="11" xfId="0" applyNumberFormat="1" applyFont="1" applyBorder="1" applyAlignment="1" applyProtection="1">
      <alignment horizontal="center" vertical="center"/>
      <protection locked="0"/>
    </xf>
    <xf numFmtId="2" fontId="4" fillId="4" borderId="11" xfId="0" applyNumberFormat="1" applyFont="1" applyFill="1" applyBorder="1" applyAlignment="1" applyProtection="1">
      <alignment horizontal="center" vertical="center"/>
      <protection locked="0"/>
    </xf>
    <xf numFmtId="2" fontId="4" fillId="0" borderId="11" xfId="0" applyNumberFormat="1" applyFont="1" applyBorder="1" applyAlignment="1" applyProtection="1">
      <alignment horizontal="center" vertical="center" wrapText="1"/>
      <protection locked="0"/>
    </xf>
    <xf numFmtId="0" fontId="16" fillId="0" borderId="0" xfId="0" applyFont="1"/>
    <xf numFmtId="0" fontId="16" fillId="0" borderId="0" xfId="0" applyFont="1" applyAlignment="1">
      <alignment horizontal="center" vertical="center"/>
    </xf>
    <xf numFmtId="0" fontId="16" fillId="0" borderId="0" xfId="0" applyFont="1" applyAlignment="1">
      <alignment wrapText="1"/>
    </xf>
    <xf numFmtId="0" fontId="18" fillId="0" borderId="0" xfId="0" applyFont="1" applyAlignment="1">
      <alignment horizontal="left" wrapText="1"/>
    </xf>
    <xf numFmtId="43" fontId="4" fillId="3" borderId="11" xfId="1" applyFont="1" applyFill="1" applyBorder="1" applyAlignment="1" applyProtection="1">
      <alignment horizontal="center" vertical="center"/>
    </xf>
    <xf numFmtId="0" fontId="18" fillId="0" borderId="0" xfId="0" applyFont="1" applyAlignment="1">
      <alignment horizontal="justify"/>
    </xf>
    <xf numFmtId="0" fontId="9" fillId="0" borderId="11" xfId="0" applyFont="1" applyBorder="1" applyAlignment="1" applyProtection="1">
      <alignment horizontal="left" vertical="center"/>
      <protection locked="0"/>
    </xf>
    <xf numFmtId="0" fontId="3" fillId="0" borderId="0" xfId="0" applyFont="1" applyFill="1" applyBorder="1" applyAlignment="1" applyProtection="1">
      <alignment horizontal="center" wrapText="1"/>
      <protection locked="0"/>
    </xf>
    <xf numFmtId="0" fontId="3" fillId="0" borderId="0" xfId="0" applyFont="1" applyFill="1" applyBorder="1" applyAlignment="1" applyProtection="1">
      <alignment horizontal="left" wrapText="1"/>
      <protection locked="0"/>
    </xf>
    <xf numFmtId="0" fontId="5" fillId="0" borderId="0" xfId="0" applyFont="1" applyFill="1" applyBorder="1" applyAlignment="1" applyProtection="1">
      <alignment horizontal="center" wrapText="1"/>
      <protection locked="0"/>
    </xf>
    <xf numFmtId="0" fontId="5" fillId="0" borderId="14" xfId="0" applyFont="1" applyFill="1" applyBorder="1" applyAlignment="1" applyProtection="1">
      <alignment horizontal="center" wrapText="1"/>
      <protection locked="0"/>
    </xf>
    <xf numFmtId="0" fontId="5" fillId="0" borderId="15" xfId="0" applyFont="1" applyFill="1" applyBorder="1" applyAlignment="1" applyProtection="1">
      <alignment horizontal="center" wrapText="1"/>
      <protection locked="0"/>
    </xf>
    <xf numFmtId="1" fontId="6" fillId="0" borderId="11" xfId="0" applyNumberFormat="1" applyFont="1" applyBorder="1" applyAlignment="1" applyProtection="1">
      <alignment horizontal="center" wrapText="1"/>
      <protection locked="0"/>
    </xf>
    <xf numFmtId="0" fontId="13" fillId="0" borderId="14" xfId="0" applyFont="1" applyFill="1" applyBorder="1" applyAlignment="1" applyProtection="1">
      <alignment horizontal="center" wrapText="1"/>
      <protection locked="0"/>
    </xf>
    <xf numFmtId="0" fontId="5" fillId="0" borderId="17" xfId="0" applyFont="1" applyFill="1" applyBorder="1" applyAlignment="1" applyProtection="1">
      <alignment horizontal="center" wrapText="1"/>
      <protection locked="0"/>
    </xf>
    <xf numFmtId="0" fontId="5" fillId="4" borderId="0" xfId="0" applyFont="1" applyFill="1" applyBorder="1" applyAlignment="1" applyProtection="1">
      <alignment horizontal="center" wrapText="1"/>
      <protection locked="0"/>
    </xf>
    <xf numFmtId="0" fontId="21" fillId="6" borderId="0" xfId="0" applyFont="1" applyFill="1" applyAlignment="1">
      <alignment wrapText="1"/>
    </xf>
    <xf numFmtId="43" fontId="14" fillId="3" borderId="11" xfId="1" applyFont="1" applyFill="1" applyBorder="1" applyAlignment="1" applyProtection="1">
      <alignment horizontal="center" vertical="center"/>
    </xf>
    <xf numFmtId="43" fontId="4" fillId="3" borderId="13" xfId="1" applyFont="1" applyFill="1" applyBorder="1" applyAlignment="1" applyProtection="1">
      <alignment horizontal="center" vertical="center"/>
    </xf>
    <xf numFmtId="0" fontId="16" fillId="5" borderId="0" xfId="0" applyFont="1" applyFill="1" applyAlignment="1">
      <alignment horizontal="center" vertical="center"/>
    </xf>
    <xf numFmtId="0" fontId="16" fillId="5" borderId="0" xfId="0" applyFont="1" applyFill="1" applyAlignment="1">
      <alignment wrapText="1"/>
    </xf>
    <xf numFmtId="165" fontId="4" fillId="3" borderId="11" xfId="0" applyNumberFormat="1" applyFont="1" applyFill="1" applyBorder="1" applyAlignment="1" applyProtection="1">
      <alignment horizontal="center" vertical="center" wrapText="1"/>
      <protection hidden="1"/>
    </xf>
    <xf numFmtId="0" fontId="4" fillId="4" borderId="11" xfId="0" applyFont="1" applyFill="1" applyBorder="1" applyAlignment="1" applyProtection="1">
      <alignment horizontal="center" vertical="center" wrapText="1"/>
      <protection hidden="1"/>
    </xf>
    <xf numFmtId="0" fontId="3" fillId="7" borderId="1" xfId="0" applyFont="1" applyFill="1" applyBorder="1" applyAlignment="1" applyProtection="1">
      <alignment horizontal="centerContinuous"/>
      <protection locked="0"/>
    </xf>
    <xf numFmtId="0" fontId="3" fillId="7" borderId="13" xfId="0" applyFont="1" applyFill="1" applyBorder="1" applyAlignment="1" applyProtection="1">
      <alignment horizontal="left" vertical="center"/>
      <protection locked="0"/>
    </xf>
    <xf numFmtId="0" fontId="22" fillId="0" borderId="0" xfId="0" applyFont="1" applyAlignment="1">
      <alignment vertical="center" wrapText="1"/>
    </xf>
    <xf numFmtId="0" fontId="3" fillId="7" borderId="18" xfId="0" applyFont="1" applyFill="1" applyBorder="1" applyAlignment="1" applyProtection="1">
      <alignment horizontal="centerContinuous" vertical="center" wrapText="1"/>
      <protection locked="0"/>
    </xf>
    <xf numFmtId="0" fontId="4" fillId="4" borderId="13"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protection locked="0"/>
    </xf>
    <xf numFmtId="43" fontId="4" fillId="3" borderId="11" xfId="1" applyNumberFormat="1" applyFont="1" applyFill="1" applyBorder="1" applyAlignment="1" applyProtection="1">
      <alignment horizontal="center" vertical="center"/>
    </xf>
    <xf numFmtId="43" fontId="14" fillId="3" borderId="11" xfId="1" applyFont="1" applyFill="1" applyBorder="1" applyAlignment="1" applyProtection="1">
      <alignment horizontal="right" vertical="center"/>
    </xf>
    <xf numFmtId="43" fontId="4" fillId="0" borderId="11" xfId="1" applyFont="1" applyBorder="1" applyAlignment="1" applyProtection="1">
      <alignment horizontal="right" vertical="center"/>
      <protection locked="0"/>
    </xf>
    <xf numFmtId="165" fontId="4" fillId="0" borderId="11" xfId="0" applyNumberFormat="1" applyFont="1" applyFill="1" applyBorder="1" applyAlignment="1" applyProtection="1">
      <alignment horizontal="center" vertical="center"/>
      <protection locked="0"/>
    </xf>
    <xf numFmtId="165" fontId="4" fillId="0" borderId="11" xfId="0" applyNumberFormat="1" applyFont="1" applyFill="1" applyBorder="1" applyAlignment="1" applyProtection="1">
      <alignment horizontal="center" vertical="center" wrapText="1"/>
      <protection hidden="1"/>
    </xf>
    <xf numFmtId="2" fontId="4" fillId="0" borderId="11" xfId="0" applyNumberFormat="1" applyFont="1" applyFill="1" applyBorder="1" applyAlignment="1" applyProtection="1">
      <alignment horizontal="center" vertical="center"/>
      <protection locked="0"/>
    </xf>
    <xf numFmtId="43" fontId="14" fillId="0" borderId="11" xfId="1" applyFont="1" applyFill="1" applyBorder="1" applyAlignment="1" applyProtection="1">
      <alignment horizontal="center" vertical="center"/>
    </xf>
    <xf numFmtId="43" fontId="4" fillId="0" borderId="13" xfId="1" applyFont="1" applyFill="1" applyBorder="1" applyAlignment="1" applyProtection="1">
      <alignment horizontal="center" vertical="center"/>
    </xf>
    <xf numFmtId="2" fontId="4" fillId="0" borderId="11" xfId="0" applyNumberFormat="1" applyFont="1" applyFill="1" applyBorder="1" applyAlignment="1" applyProtection="1">
      <alignment horizontal="center" vertical="center" wrapText="1"/>
      <protection locked="0"/>
    </xf>
    <xf numFmtId="0" fontId="4" fillId="0" borderId="11" xfId="0" applyFont="1" applyFill="1" applyBorder="1" applyAlignment="1" applyProtection="1">
      <alignment horizontal="left" vertical="center"/>
      <protection locked="0"/>
    </xf>
    <xf numFmtId="0" fontId="4" fillId="7" borderId="11" xfId="0" applyFont="1" applyFill="1" applyBorder="1" applyAlignment="1" applyProtection="1">
      <alignment horizontal="center" vertical="center"/>
      <protection locked="0"/>
    </xf>
    <xf numFmtId="0" fontId="4" fillId="7" borderId="11" xfId="0" applyFont="1" applyFill="1" applyBorder="1" applyAlignment="1" applyProtection="1">
      <alignment horizontal="center" vertical="center" wrapText="1"/>
      <protection locked="0"/>
    </xf>
    <xf numFmtId="165" fontId="4" fillId="7" borderId="11" xfId="0" applyNumberFormat="1" applyFont="1" applyFill="1" applyBorder="1" applyAlignment="1" applyProtection="1">
      <alignment horizontal="center" vertical="center"/>
      <protection locked="0"/>
    </xf>
    <xf numFmtId="165" fontId="4" fillId="7" borderId="11" xfId="0" applyNumberFormat="1" applyFont="1" applyFill="1" applyBorder="1" applyAlignment="1" applyProtection="1">
      <alignment horizontal="center" vertical="center" wrapText="1"/>
      <protection hidden="1"/>
    </xf>
    <xf numFmtId="2" fontId="4" fillId="7" borderId="11" xfId="0" applyNumberFormat="1" applyFont="1" applyFill="1" applyBorder="1" applyAlignment="1" applyProtection="1">
      <alignment horizontal="center" vertical="center"/>
      <protection locked="0"/>
    </xf>
    <xf numFmtId="43" fontId="4" fillId="7" borderId="11" xfId="1" applyFont="1" applyFill="1" applyBorder="1" applyAlignment="1" applyProtection="1">
      <alignment horizontal="center" vertical="center"/>
      <protection locked="0"/>
    </xf>
    <xf numFmtId="43" fontId="4" fillId="7" borderId="11" xfId="1" applyFont="1" applyFill="1" applyBorder="1" applyAlignment="1" applyProtection="1">
      <alignment horizontal="center" vertical="center"/>
    </xf>
    <xf numFmtId="0" fontId="4" fillId="0" borderId="11" xfId="0" applyFont="1" applyBorder="1" applyAlignment="1" applyProtection="1">
      <alignment horizontal="left" vertical="center" wrapText="1"/>
      <protection locked="0"/>
    </xf>
    <xf numFmtId="0" fontId="3" fillId="7" borderId="0" xfId="0" applyFont="1" applyFill="1" applyAlignment="1" applyProtection="1">
      <alignment horizontal="centerContinuous" vertical="center"/>
      <protection locked="0"/>
    </xf>
    <xf numFmtId="0" fontId="3" fillId="7" borderId="0" xfId="0" applyFont="1" applyFill="1" applyAlignment="1" applyProtection="1">
      <alignment horizontal="centerContinuous"/>
      <protection locked="0"/>
    </xf>
    <xf numFmtId="0" fontId="3" fillId="7" borderId="0" xfId="0" applyFont="1" applyFill="1" applyAlignment="1" applyProtection="1">
      <alignment horizontal="left"/>
      <protection locked="0"/>
    </xf>
    <xf numFmtId="0" fontId="5" fillId="7" borderId="15" xfId="0" applyFont="1" applyFill="1" applyBorder="1" applyAlignment="1" applyProtection="1">
      <alignment horizontal="center" wrapText="1"/>
      <protection locked="0"/>
    </xf>
    <xf numFmtId="164" fontId="4" fillId="7" borderId="11" xfId="0" applyNumberFormat="1" applyFont="1" applyFill="1" applyBorder="1" applyAlignment="1" applyProtection="1">
      <alignment horizontal="center" vertical="center"/>
      <protection locked="0"/>
    </xf>
    <xf numFmtId="164" fontId="4" fillId="0" borderId="11" xfId="0" applyNumberFormat="1" applyFont="1" applyFill="1" applyBorder="1" applyAlignment="1" applyProtection="1">
      <alignment horizontal="center" vertical="center"/>
      <protection locked="0"/>
    </xf>
    <xf numFmtId="43" fontId="14" fillId="0" borderId="11" xfId="1" applyFont="1" applyFill="1" applyBorder="1" applyAlignment="1" applyProtection="1">
      <alignment horizontal="right" vertical="center"/>
    </xf>
    <xf numFmtId="0" fontId="4" fillId="0" borderId="11" xfId="1" applyNumberFormat="1" applyFont="1" applyFill="1" applyBorder="1" applyAlignment="1" applyProtection="1">
      <alignment horizontal="center" vertical="center"/>
      <protection locked="0"/>
    </xf>
    <xf numFmtId="2" fontId="4" fillId="0" borderId="11" xfId="1" applyNumberFormat="1" applyFont="1" applyFill="1" applyBorder="1" applyAlignment="1" applyProtection="1">
      <alignment horizontal="center" vertical="center"/>
      <protection locked="0"/>
    </xf>
    <xf numFmtId="43" fontId="4" fillId="0" borderId="11" xfId="1" applyFont="1" applyFill="1" applyBorder="1" applyAlignment="1" applyProtection="1">
      <alignment horizontal="right" vertical="center"/>
      <protection locked="0"/>
    </xf>
    <xf numFmtId="0" fontId="9" fillId="0" borderId="11" xfId="0" applyFont="1" applyFill="1" applyBorder="1" applyAlignment="1" applyProtection="1">
      <alignment horizontal="left" vertical="center"/>
      <protection locked="0"/>
    </xf>
    <xf numFmtId="164" fontId="4" fillId="7" borderId="11" xfId="0" applyNumberFormat="1" applyFont="1" applyFill="1" applyBorder="1" applyAlignment="1" applyProtection="1">
      <alignment horizontal="right" vertical="center"/>
      <protection locked="0"/>
    </xf>
    <xf numFmtId="0" fontId="4" fillId="4" borderId="11" xfId="0" applyFont="1" applyFill="1" applyBorder="1" applyAlignment="1" applyProtection="1">
      <alignment horizontal="center" vertical="center" wrapText="1"/>
      <protection locked="0"/>
    </xf>
    <xf numFmtId="43" fontId="4" fillId="0" borderId="11" xfId="1" applyNumberFormat="1" applyFont="1" applyFill="1" applyBorder="1" applyAlignment="1" applyProtection="1">
      <alignment horizontal="center" vertical="center"/>
    </xf>
    <xf numFmtId="0" fontId="14" fillId="0" borderId="11" xfId="1" applyNumberFormat="1" applyFont="1" applyFill="1" applyBorder="1" applyAlignment="1" applyProtection="1">
      <alignment horizontal="center" vertical="center"/>
    </xf>
    <xf numFmtId="0" fontId="3" fillId="0" borderId="11" xfId="0" applyFont="1" applyFill="1" applyBorder="1" applyAlignment="1" applyProtection="1">
      <alignment horizontal="center" vertical="center" wrapText="1"/>
      <protection locked="0"/>
    </xf>
    <xf numFmtId="0" fontId="3" fillId="0" borderId="11" xfId="0" applyFont="1" applyBorder="1" applyAlignment="1" applyProtection="1">
      <alignment horizontal="center" vertical="center" wrapText="1"/>
      <protection locked="0"/>
    </xf>
    <xf numFmtId="43" fontId="4" fillId="0" borderId="11" xfId="0" applyNumberFormat="1" applyFont="1" applyFill="1" applyBorder="1" applyAlignment="1" applyProtection="1">
      <alignment horizontal="center" vertical="center" wrapText="1"/>
      <protection locked="0"/>
    </xf>
    <xf numFmtId="0" fontId="24" fillId="0" borderId="11" xfId="0" applyFont="1" applyBorder="1" applyAlignment="1" applyProtection="1">
      <alignment horizontal="left" vertical="center" wrapText="1"/>
      <protection locked="0"/>
    </xf>
    <xf numFmtId="0" fontId="4" fillId="0" borderId="11" xfId="0" applyFont="1" applyFill="1" applyBorder="1" applyAlignment="1" applyProtection="1">
      <alignment horizontal="left" vertical="center" wrapText="1"/>
      <protection locked="0"/>
    </xf>
    <xf numFmtId="0" fontId="14" fillId="3" borderId="11" xfId="1" applyNumberFormat="1" applyFont="1" applyFill="1" applyBorder="1" applyAlignment="1" applyProtection="1">
      <alignment horizontal="center" vertical="center"/>
    </xf>
    <xf numFmtId="0" fontId="23" fillId="0" borderId="0" xfId="0" applyFont="1" applyAlignment="1" applyProtection="1">
      <alignment vertical="center"/>
      <protection locked="0"/>
    </xf>
    <xf numFmtId="0" fontId="25" fillId="4" borderId="12" xfId="0" applyFont="1" applyFill="1" applyBorder="1" applyAlignment="1" applyProtection="1">
      <alignment horizontal="left" vertical="center"/>
      <protection locked="0"/>
    </xf>
    <xf numFmtId="164" fontId="4" fillId="0" borderId="11" xfId="1" applyNumberFormat="1" applyFont="1" applyFill="1" applyBorder="1" applyAlignment="1" applyProtection="1">
      <alignment horizontal="center" vertical="center"/>
      <protection locked="0"/>
    </xf>
    <xf numFmtId="0" fontId="24" fillId="0" borderId="11" xfId="0" applyFont="1" applyFill="1" applyBorder="1" applyAlignment="1" applyProtection="1">
      <alignment horizontal="left" vertical="center" wrapText="1"/>
      <protection locked="0"/>
    </xf>
    <xf numFmtId="0" fontId="26" fillId="4" borderId="12" xfId="0" applyFont="1" applyFill="1" applyBorder="1" applyAlignment="1" applyProtection="1">
      <alignment horizontal="left" vertical="center"/>
      <protection locked="0"/>
    </xf>
    <xf numFmtId="0" fontId="9" fillId="0" borderId="11" xfId="0" applyFont="1" applyFill="1" applyBorder="1" applyAlignment="1" applyProtection="1">
      <alignment horizontal="center" vertical="center"/>
      <protection locked="0"/>
    </xf>
    <xf numFmtId="0" fontId="4" fillId="0" borderId="11" xfId="0" applyFont="1" applyFill="1" applyBorder="1" applyAlignment="1" applyProtection="1">
      <alignment horizontal="center" vertical="center" wrapText="1"/>
    </xf>
    <xf numFmtId="0" fontId="4" fillId="0" borderId="13" xfId="0" applyFont="1" applyFill="1" applyBorder="1" applyAlignment="1" applyProtection="1">
      <alignment horizontal="center" vertical="center" wrapText="1"/>
    </xf>
    <xf numFmtId="0" fontId="3" fillId="0" borderId="7" xfId="0" applyFont="1" applyFill="1" applyBorder="1" applyAlignment="1" applyProtection="1">
      <alignment horizontal="center" vertical="center" wrapText="1"/>
    </xf>
    <xf numFmtId="0" fontId="5" fillId="0" borderId="7" xfId="0" applyFont="1" applyFill="1" applyBorder="1" applyAlignment="1" applyProtection="1">
      <alignment horizontal="center" vertical="center" wrapText="1"/>
    </xf>
    <xf numFmtId="0" fontId="5" fillId="0" borderId="8" xfId="0" applyFont="1" applyFill="1" applyBorder="1" applyAlignment="1" applyProtection="1">
      <alignment horizontal="center" vertical="center" wrapText="1"/>
    </xf>
    <xf numFmtId="0" fontId="5" fillId="7" borderId="9" xfId="0" applyFont="1" applyFill="1" applyBorder="1" applyAlignment="1" applyProtection="1">
      <alignment horizontal="center" vertical="center" wrapText="1"/>
    </xf>
    <xf numFmtId="0" fontId="5" fillId="3" borderId="9" xfId="0" applyFont="1" applyFill="1" applyBorder="1" applyAlignment="1" applyProtection="1">
      <alignment horizontal="center" vertical="center" wrapText="1"/>
    </xf>
    <xf numFmtId="0" fontId="5" fillId="0" borderId="9" xfId="0" applyFont="1" applyFill="1" applyBorder="1" applyAlignment="1" applyProtection="1">
      <alignment horizontal="center" vertical="center" wrapText="1"/>
    </xf>
    <xf numFmtId="0" fontId="5" fillId="0" borderId="10" xfId="0" applyFont="1" applyFill="1" applyBorder="1" applyAlignment="1" applyProtection="1">
      <alignment horizontal="center" vertical="center" wrapText="1"/>
    </xf>
    <xf numFmtId="0" fontId="5" fillId="4" borderId="7" xfId="0" applyFont="1" applyFill="1" applyBorder="1" applyAlignment="1" applyProtection="1">
      <alignment horizontal="center" vertical="center" wrapText="1"/>
    </xf>
    <xf numFmtId="0" fontId="5" fillId="0" borderId="7" xfId="0" applyFont="1" applyFill="1" applyBorder="1" applyAlignment="1" applyProtection="1">
      <alignment horizontal="left" vertical="center" wrapText="1"/>
    </xf>
    <xf numFmtId="0" fontId="4" fillId="0" borderId="11" xfId="0" quotePrefix="1" applyFont="1" applyFill="1" applyBorder="1" applyAlignment="1" applyProtection="1">
      <alignment horizontal="center" vertical="center" wrapText="1"/>
      <protection locked="0"/>
    </xf>
    <xf numFmtId="0" fontId="7" fillId="4" borderId="12" xfId="0" applyFont="1" applyFill="1" applyBorder="1" applyAlignment="1" applyProtection="1">
      <alignment horizontal="center" vertical="center"/>
      <protection locked="0"/>
    </xf>
    <xf numFmtId="0" fontId="4" fillId="0" borderId="12" xfId="0" applyFont="1" applyBorder="1" applyAlignment="1" applyProtection="1">
      <alignment horizontal="center" vertical="center"/>
      <protection locked="0"/>
    </xf>
    <xf numFmtId="0" fontId="9" fillId="4" borderId="12" xfId="0" applyFont="1" applyFill="1" applyBorder="1" applyAlignment="1" applyProtection="1">
      <alignment horizontal="center" vertical="center"/>
      <protection locked="0"/>
    </xf>
    <xf numFmtId="0" fontId="4" fillId="0" borderId="22" xfId="0" applyFont="1" applyFill="1" applyBorder="1" applyAlignment="1" applyProtection="1">
      <alignment horizontal="center" vertical="center" wrapText="1"/>
      <protection locked="0"/>
    </xf>
    <xf numFmtId="43" fontId="4" fillId="0" borderId="11" xfId="1" applyFont="1" applyFill="1" applyBorder="1" applyAlignment="1" applyProtection="1">
      <alignment horizontal="center" vertical="center"/>
      <protection locked="0"/>
    </xf>
    <xf numFmtId="43" fontId="4" fillId="0" borderId="11" xfId="1" applyFont="1" applyFill="1" applyBorder="1" applyAlignment="1" applyProtection="1">
      <alignment horizontal="center" vertical="center"/>
    </xf>
    <xf numFmtId="0" fontId="4" fillId="0" borderId="11" xfId="0" applyFont="1" applyFill="1" applyBorder="1" applyAlignment="1" applyProtection="1">
      <alignment horizontal="center" vertical="center" wrapText="1"/>
      <protection locked="0"/>
    </xf>
    <xf numFmtId="0" fontId="27" fillId="0" borderId="0" xfId="0" applyFont="1" applyProtection="1">
      <protection locked="0"/>
    </xf>
    <xf numFmtId="0" fontId="27" fillId="0" borderId="0" xfId="0" applyFont="1" applyAlignment="1" applyProtection="1">
      <alignment horizontal="left" vertical="top"/>
      <protection locked="0"/>
    </xf>
    <xf numFmtId="0" fontId="27" fillId="0" borderId="0" xfId="0" applyFont="1" applyAlignment="1" applyProtection="1">
      <alignment wrapText="1"/>
      <protection locked="0"/>
    </xf>
    <xf numFmtId="0" fontId="27" fillId="7" borderId="0" xfId="0" applyFont="1" applyFill="1" applyProtection="1">
      <protection locked="0"/>
    </xf>
    <xf numFmtId="0" fontId="27" fillId="0" borderId="0" xfId="0" applyFont="1" applyAlignment="1" applyProtection="1">
      <alignment horizontal="center"/>
      <protection locked="0"/>
    </xf>
    <xf numFmtId="0" fontId="27" fillId="0" borderId="0" xfId="0" applyFont="1" applyProtection="1"/>
    <xf numFmtId="0" fontId="27" fillId="0" borderId="0" xfId="0" applyFont="1" applyAlignment="1" applyProtection="1">
      <alignment horizontal="center" vertical="center"/>
      <protection locked="0"/>
    </xf>
    <xf numFmtId="0" fontId="27" fillId="0" borderId="0" xfId="0" applyFont="1" applyFill="1" applyAlignment="1" applyProtection="1">
      <alignment horizontal="center" vertical="center"/>
      <protection locked="0"/>
    </xf>
    <xf numFmtId="0" fontId="27" fillId="7" borderId="0" xfId="0" applyFont="1" applyFill="1" applyAlignment="1" applyProtection="1">
      <alignment horizontal="center" vertical="center"/>
      <protection locked="0"/>
    </xf>
    <xf numFmtId="0" fontId="27" fillId="0" borderId="0" xfId="0" applyFont="1" applyFill="1" applyProtection="1">
      <protection locked="0"/>
    </xf>
    <xf numFmtId="0" fontId="27" fillId="0" borderId="11" xfId="0" applyFont="1" applyFill="1" applyBorder="1" applyAlignment="1" applyProtection="1">
      <alignment horizontal="center" vertical="center"/>
      <protection locked="0"/>
    </xf>
    <xf numFmtId="0" fontId="27" fillId="0" borderId="11" xfId="0" applyFont="1" applyFill="1" applyBorder="1" applyProtection="1">
      <protection locked="0"/>
    </xf>
    <xf numFmtId="0" fontId="27" fillId="0" borderId="0" xfId="0" applyFont="1" applyAlignment="1" applyProtection="1">
      <alignment horizontal="left"/>
      <protection locked="0"/>
    </xf>
    <xf numFmtId="0" fontId="4" fillId="0" borderId="11" xfId="0" applyFont="1" applyFill="1" applyBorder="1" applyAlignment="1" applyProtection="1">
      <alignment horizontal="center" vertical="center" wrapText="1"/>
      <protection locked="0"/>
    </xf>
    <xf numFmtId="43" fontId="4" fillId="0" borderId="11" xfId="1" applyFont="1" applyFill="1" applyBorder="1" applyAlignment="1" applyProtection="1">
      <alignment horizontal="center" vertical="center"/>
      <protection locked="0"/>
    </xf>
    <xf numFmtId="43" fontId="4" fillId="0" borderId="11" xfId="1" applyFont="1" applyFill="1" applyBorder="1" applyAlignment="1" applyProtection="1">
      <alignment horizontal="center" vertical="center"/>
    </xf>
    <xf numFmtId="2" fontId="4" fillId="8" borderId="11" xfId="0" applyNumberFormat="1" applyFont="1" applyFill="1" applyBorder="1" applyAlignment="1" applyProtection="1">
      <alignment horizontal="center" vertical="center" wrapText="1"/>
      <protection locked="0"/>
    </xf>
    <xf numFmtId="0" fontId="4" fillId="8" borderId="11" xfId="0" applyFont="1" applyFill="1" applyBorder="1" applyAlignment="1" applyProtection="1">
      <alignment horizontal="center" vertical="center"/>
      <protection locked="0"/>
    </xf>
    <xf numFmtId="2" fontId="4" fillId="8" borderId="11" xfId="0" applyNumberFormat="1" applyFont="1" applyFill="1" applyBorder="1" applyAlignment="1" applyProtection="1">
      <alignment horizontal="center" vertical="center"/>
      <protection locked="0"/>
    </xf>
    <xf numFmtId="43" fontId="4" fillId="8" borderId="11" xfId="0" applyNumberFormat="1" applyFont="1" applyFill="1" applyBorder="1" applyAlignment="1" applyProtection="1">
      <alignment horizontal="center" vertical="center" wrapText="1"/>
      <protection locked="0"/>
    </xf>
    <xf numFmtId="0" fontId="24" fillId="0" borderId="21" xfId="0" applyFont="1" applyBorder="1" applyAlignment="1" applyProtection="1">
      <alignment horizontal="left" vertical="center" wrapText="1"/>
      <protection locked="0"/>
    </xf>
    <xf numFmtId="0" fontId="24" fillId="0" borderId="15" xfId="0" applyFont="1" applyBorder="1" applyAlignment="1" applyProtection="1">
      <alignment horizontal="left" vertical="center" wrapText="1"/>
      <protection locked="0"/>
    </xf>
    <xf numFmtId="0" fontId="24" fillId="0" borderId="22" xfId="0" applyFont="1" applyBorder="1" applyAlignment="1" applyProtection="1">
      <alignment horizontal="left" vertical="center" wrapText="1"/>
      <protection locked="0"/>
    </xf>
    <xf numFmtId="43" fontId="4" fillId="0" borderId="11" xfId="1" applyFont="1" applyFill="1" applyBorder="1" applyAlignment="1" applyProtection="1">
      <alignment horizontal="center" vertical="center"/>
      <protection locked="0"/>
    </xf>
    <xf numFmtId="43" fontId="4" fillId="0" borderId="23" xfId="1" applyFont="1" applyFill="1" applyBorder="1" applyAlignment="1" applyProtection="1">
      <alignment horizontal="center" vertical="center"/>
    </xf>
    <xf numFmtId="43" fontId="4" fillId="0" borderId="24" xfId="1" applyFont="1" applyFill="1" applyBorder="1" applyAlignment="1" applyProtection="1">
      <alignment horizontal="center" vertical="center"/>
    </xf>
    <xf numFmtId="43" fontId="4" fillId="0" borderId="11" xfId="1" applyFont="1" applyFill="1" applyBorder="1" applyAlignment="1" applyProtection="1">
      <alignment horizontal="center" vertical="center"/>
    </xf>
    <xf numFmtId="2" fontId="4" fillId="0" borderId="21" xfId="0" applyNumberFormat="1" applyFont="1" applyFill="1" applyBorder="1" applyAlignment="1" applyProtection="1">
      <alignment horizontal="center" vertical="center"/>
      <protection locked="0"/>
    </xf>
    <xf numFmtId="2" fontId="4" fillId="0" borderId="22" xfId="0" applyNumberFormat="1" applyFont="1" applyFill="1" applyBorder="1" applyAlignment="1" applyProtection="1">
      <alignment horizontal="center" vertical="center"/>
      <protection locked="0"/>
    </xf>
    <xf numFmtId="0" fontId="4" fillId="0" borderId="21" xfId="0" applyFont="1" applyFill="1" applyBorder="1" applyAlignment="1" applyProtection="1">
      <alignment horizontal="center" vertical="center" wrapText="1"/>
      <protection locked="0"/>
    </xf>
    <xf numFmtId="0" fontId="4" fillId="0" borderId="22" xfId="0" applyFont="1" applyFill="1" applyBorder="1" applyAlignment="1" applyProtection="1">
      <alignment horizontal="center" vertical="center" wrapText="1"/>
      <protection locked="0"/>
    </xf>
    <xf numFmtId="164" fontId="4" fillId="0" borderId="21" xfId="0" applyNumberFormat="1" applyFont="1" applyFill="1" applyBorder="1" applyAlignment="1" applyProtection="1">
      <alignment horizontal="center" vertical="center"/>
      <protection locked="0"/>
    </xf>
    <xf numFmtId="164" fontId="4" fillId="0" borderId="22" xfId="0" applyNumberFormat="1" applyFont="1" applyFill="1" applyBorder="1" applyAlignment="1" applyProtection="1">
      <alignment horizontal="center" vertical="center"/>
      <protection locked="0"/>
    </xf>
    <xf numFmtId="0" fontId="4" fillId="0" borderId="21" xfId="0" applyFont="1" applyFill="1" applyBorder="1" applyAlignment="1" applyProtection="1">
      <alignment horizontal="center" vertical="center"/>
      <protection locked="0"/>
    </xf>
    <xf numFmtId="0" fontId="4" fillId="0" borderId="22" xfId="0" applyFont="1" applyFill="1" applyBorder="1" applyAlignment="1" applyProtection="1">
      <alignment horizontal="center" vertical="center"/>
      <protection locked="0"/>
    </xf>
    <xf numFmtId="165" fontId="4" fillId="0" borderId="21" xfId="0" applyNumberFormat="1" applyFont="1" applyFill="1" applyBorder="1" applyAlignment="1" applyProtection="1">
      <alignment horizontal="center" vertical="center" wrapText="1"/>
      <protection hidden="1"/>
    </xf>
    <xf numFmtId="165" fontId="4" fillId="0" borderId="22" xfId="0" applyNumberFormat="1" applyFont="1" applyFill="1" applyBorder="1" applyAlignment="1" applyProtection="1">
      <alignment horizontal="center" vertical="center" wrapText="1"/>
      <protection hidden="1"/>
    </xf>
    <xf numFmtId="164" fontId="4" fillId="0" borderId="19" xfId="0" applyNumberFormat="1" applyFont="1" applyFill="1" applyBorder="1" applyAlignment="1" applyProtection="1">
      <alignment horizontal="center" vertical="center"/>
      <protection locked="0"/>
    </xf>
    <xf numFmtId="164" fontId="4" fillId="0" borderId="20" xfId="0" applyNumberFormat="1" applyFont="1" applyFill="1" applyBorder="1" applyAlignment="1" applyProtection="1">
      <alignment horizontal="center" vertical="center"/>
      <protection locked="0"/>
    </xf>
    <xf numFmtId="0" fontId="23" fillId="0" borderId="23" xfId="0" applyFont="1" applyBorder="1" applyAlignment="1">
      <alignment horizontal="left" vertical="center" wrapText="1"/>
    </xf>
    <xf numFmtId="0" fontId="23" fillId="0" borderId="17" xfId="0" applyFont="1" applyBorder="1" applyAlignment="1">
      <alignment horizontal="left" vertical="center" wrapText="1"/>
    </xf>
    <xf numFmtId="0" fontId="23" fillId="0" borderId="24" xfId="0" applyFont="1" applyBorder="1" applyAlignment="1">
      <alignment horizontal="left" vertical="center" wrapText="1"/>
    </xf>
    <xf numFmtId="0" fontId="4" fillId="0" borderId="21" xfId="0" applyFont="1" applyBorder="1" applyAlignment="1" applyProtection="1">
      <alignment horizontal="left" vertical="center" wrapText="1"/>
      <protection locked="0"/>
    </xf>
    <xf numFmtId="0" fontId="4" fillId="0" borderId="22" xfId="0" applyFont="1" applyBorder="1" applyAlignment="1" applyProtection="1">
      <alignment horizontal="left" vertical="center" wrapText="1"/>
      <protection locked="0"/>
    </xf>
    <xf numFmtId="0" fontId="4" fillId="2" borderId="4" xfId="0" applyFont="1" applyFill="1" applyBorder="1" applyAlignment="1" applyProtection="1">
      <alignment horizontal="center" vertical="center" wrapText="1"/>
    </xf>
    <xf numFmtId="0" fontId="4" fillId="2" borderId="5" xfId="0" applyFont="1" applyFill="1" applyBorder="1" applyAlignment="1" applyProtection="1">
      <alignment horizontal="center" vertical="center" wrapText="1"/>
    </xf>
    <xf numFmtId="0" fontId="4" fillId="2" borderId="6" xfId="0" applyFont="1" applyFill="1" applyBorder="1" applyAlignment="1" applyProtection="1">
      <alignment horizontal="center" vertical="center" wrapText="1"/>
    </xf>
    <xf numFmtId="0" fontId="3" fillId="2" borderId="4" xfId="0" applyFont="1" applyFill="1" applyBorder="1" applyAlignment="1" applyProtection="1">
      <alignment horizontal="center" vertical="center"/>
    </xf>
    <xf numFmtId="0" fontId="3" fillId="2" borderId="5" xfId="0" applyFont="1" applyFill="1" applyBorder="1" applyAlignment="1" applyProtection="1">
      <alignment horizontal="center" vertical="center"/>
    </xf>
    <xf numFmtId="0" fontId="3" fillId="2" borderId="6" xfId="0" applyFont="1" applyFill="1" applyBorder="1" applyAlignment="1" applyProtection="1">
      <alignment horizontal="center" vertical="center"/>
    </xf>
    <xf numFmtId="0" fontId="4" fillId="2" borderId="4" xfId="0" applyFont="1" applyFill="1" applyBorder="1" applyAlignment="1" applyProtection="1">
      <alignment horizontal="center" wrapText="1"/>
    </xf>
    <xf numFmtId="0" fontId="4" fillId="2" borderId="5" xfId="0" applyFont="1" applyFill="1" applyBorder="1" applyAlignment="1" applyProtection="1">
      <alignment horizontal="center" wrapText="1"/>
    </xf>
    <xf numFmtId="0" fontId="4" fillId="2" borderId="6" xfId="0" applyFont="1" applyFill="1" applyBorder="1" applyAlignment="1" applyProtection="1">
      <alignment horizontal="center" wrapText="1"/>
    </xf>
    <xf numFmtId="165" fontId="4" fillId="0" borderId="21" xfId="0" applyNumberFormat="1" applyFont="1" applyFill="1" applyBorder="1" applyAlignment="1" applyProtection="1">
      <alignment horizontal="center" vertical="center"/>
      <protection locked="0"/>
    </xf>
    <xf numFmtId="165" fontId="4" fillId="0" borderId="22" xfId="0" applyNumberFormat="1" applyFont="1" applyFill="1" applyBorder="1" applyAlignment="1" applyProtection="1">
      <alignment horizontal="center" vertical="center"/>
      <protection locked="0"/>
    </xf>
    <xf numFmtId="0" fontId="4" fillId="0" borderId="21" xfId="0" applyFont="1" applyBorder="1" applyAlignment="1" applyProtection="1">
      <alignment horizontal="left" vertical="center"/>
      <protection locked="0"/>
    </xf>
    <xf numFmtId="0" fontId="4" fillId="0" borderId="22" xfId="0" applyFont="1" applyBorder="1" applyAlignment="1" applyProtection="1">
      <alignment horizontal="left" vertical="center"/>
      <protection locked="0"/>
    </xf>
    <xf numFmtId="0" fontId="4" fillId="2" borderId="2" xfId="0" applyFont="1" applyFill="1" applyBorder="1" applyAlignment="1" applyProtection="1">
      <alignment horizontal="center" vertical="center" wrapText="1"/>
    </xf>
    <xf numFmtId="0" fontId="4" fillId="2" borderId="7" xfId="0" applyFont="1" applyFill="1" applyBorder="1" applyAlignment="1" applyProtection="1">
      <alignment horizontal="center" vertical="center" wrapText="1"/>
    </xf>
    <xf numFmtId="0" fontId="3" fillId="0" borderId="21" xfId="0" applyFont="1" applyFill="1" applyBorder="1" applyAlignment="1" applyProtection="1">
      <alignment horizontal="center" vertical="center" wrapText="1"/>
      <protection locked="0"/>
    </xf>
    <xf numFmtId="0" fontId="3" fillId="0" borderId="22" xfId="0" applyFont="1" applyFill="1" applyBorder="1" applyAlignment="1" applyProtection="1">
      <alignment horizontal="center" vertical="center" wrapText="1"/>
      <protection locked="0"/>
    </xf>
    <xf numFmtId="0" fontId="4" fillId="0" borderId="11" xfId="0" applyFont="1" applyFill="1" applyBorder="1" applyAlignment="1" applyProtection="1">
      <alignment horizontal="center" vertical="center" wrapText="1"/>
      <protection locked="0"/>
    </xf>
    <xf numFmtId="0" fontId="4" fillId="8" borderId="11" xfId="0" applyFont="1" applyFill="1" applyBorder="1" applyAlignment="1" applyProtection="1">
      <alignment horizontal="center" vertical="center" wrapText="1"/>
      <protection locked="0"/>
    </xf>
    <xf numFmtId="0" fontId="9" fillId="0" borderId="0" xfId="0" applyFont="1" applyBorder="1" applyAlignment="1" applyProtection="1">
      <alignment horizontal="left" vertical="center"/>
      <protection locked="0"/>
    </xf>
    <xf numFmtId="0" fontId="4" fillId="0" borderId="0" xfId="0" applyFont="1" applyBorder="1" applyAlignment="1" applyProtection="1">
      <alignment horizontal="center" vertical="center" wrapText="1"/>
      <protection locked="0"/>
    </xf>
    <xf numFmtId="0" fontId="4" fillId="0" borderId="0" xfId="0" applyFont="1" applyBorder="1" applyAlignment="1" applyProtection="1">
      <alignment horizontal="center" vertical="center"/>
      <protection locked="0"/>
    </xf>
    <xf numFmtId="165" fontId="4" fillId="0" borderId="0" xfId="0" applyNumberFormat="1" applyFont="1" applyBorder="1" applyAlignment="1" applyProtection="1">
      <alignment horizontal="center" vertical="center"/>
      <protection locked="0"/>
    </xf>
    <xf numFmtId="164" fontId="4" fillId="7" borderId="0" xfId="0" applyNumberFormat="1" applyFont="1" applyFill="1" applyBorder="1" applyAlignment="1" applyProtection="1">
      <alignment horizontal="center" vertical="center"/>
      <protection locked="0"/>
    </xf>
    <xf numFmtId="165" fontId="4" fillId="3" borderId="0" xfId="0" applyNumberFormat="1" applyFont="1" applyFill="1" applyBorder="1" applyAlignment="1" applyProtection="1">
      <alignment horizontal="center" vertical="center" wrapText="1"/>
      <protection hidden="1"/>
    </xf>
    <xf numFmtId="2" fontId="4" fillId="0" borderId="0" xfId="0" applyNumberFormat="1" applyFont="1" applyBorder="1" applyAlignment="1" applyProtection="1">
      <alignment horizontal="center" vertical="center"/>
      <protection locked="0"/>
    </xf>
    <xf numFmtId="43" fontId="4" fillId="0" borderId="0" xfId="1" applyFont="1" applyBorder="1" applyAlignment="1" applyProtection="1">
      <alignment horizontal="center" vertical="center"/>
      <protection locked="0"/>
    </xf>
    <xf numFmtId="43" fontId="4" fillId="3" borderId="0" xfId="1" applyFont="1" applyFill="1" applyBorder="1" applyAlignment="1" applyProtection="1">
      <alignment horizontal="center" vertical="center"/>
    </xf>
    <xf numFmtId="43" fontId="4" fillId="0" borderId="0" xfId="1" applyFont="1" applyBorder="1" applyAlignment="1" applyProtection="1">
      <alignment horizontal="right" vertical="center"/>
      <protection locked="0"/>
    </xf>
    <xf numFmtId="43" fontId="14" fillId="3" borderId="0" xfId="1" applyFont="1" applyFill="1" applyBorder="1" applyAlignment="1" applyProtection="1">
      <alignment horizontal="right" vertical="center"/>
    </xf>
    <xf numFmtId="43" fontId="14" fillId="3" borderId="0" xfId="1" applyFont="1" applyFill="1" applyBorder="1" applyAlignment="1" applyProtection="1">
      <alignment horizontal="center" vertical="center"/>
    </xf>
    <xf numFmtId="0" fontId="4" fillId="4" borderId="0" xfId="0" applyFont="1" applyFill="1" applyBorder="1" applyAlignment="1" applyProtection="1">
      <alignment horizontal="center" vertical="center"/>
      <protection locked="0"/>
    </xf>
    <xf numFmtId="2" fontId="4" fillId="4" borderId="0" xfId="0" applyNumberFormat="1" applyFont="1" applyFill="1" applyBorder="1" applyAlignment="1" applyProtection="1">
      <alignment horizontal="center" vertical="center"/>
      <protection locked="0"/>
    </xf>
    <xf numFmtId="2" fontId="4" fillId="0" borderId="0" xfId="0" applyNumberFormat="1" applyFont="1" applyBorder="1" applyAlignment="1" applyProtection="1">
      <alignment horizontal="center" vertical="center" wrapText="1"/>
      <protection locked="0"/>
    </xf>
  </cellXfs>
  <cellStyles count="3">
    <cellStyle name="Comma" xfId="1" builtinId="3"/>
    <cellStyle name="Normal" xfId="0" builtinId="0"/>
    <cellStyle name="Финансовый 2" xfId="2"/>
  </cellStyles>
  <dxfs count="101">
    <dxf>
      <font>
        <color auto="1"/>
      </font>
    </dxf>
    <dxf>
      <font>
        <color auto="1"/>
      </font>
    </dxf>
    <dxf>
      <font>
        <color auto="1"/>
      </font>
    </dxf>
    <dxf>
      <font>
        <color theme="0"/>
      </font>
    </dxf>
    <dxf>
      <font>
        <color auto="1"/>
      </font>
    </dxf>
    <dxf>
      <font>
        <color theme="0"/>
      </font>
    </dxf>
    <dxf>
      <font>
        <color auto="1"/>
      </font>
    </dxf>
    <dxf>
      <font>
        <color theme="0"/>
      </font>
    </dxf>
    <dxf>
      <font>
        <color auto="1"/>
      </font>
    </dxf>
    <dxf>
      <font>
        <color auto="1"/>
      </font>
    </dxf>
    <dxf>
      <font>
        <color auto="1"/>
      </font>
    </dxf>
    <dxf>
      <font>
        <color auto="1"/>
      </font>
    </dxf>
    <dxf>
      <font>
        <color auto="1"/>
      </font>
    </dxf>
    <dxf>
      <font>
        <color auto="1"/>
      </font>
    </dxf>
    <dxf>
      <font>
        <color theme="0"/>
      </font>
    </dxf>
    <dxf>
      <font>
        <color auto="1"/>
      </font>
    </dxf>
    <dxf>
      <font>
        <color auto="1"/>
      </font>
    </dxf>
    <dxf>
      <font>
        <color theme="0"/>
      </font>
    </dxf>
    <dxf>
      <font>
        <color auto="1"/>
      </font>
    </dxf>
    <dxf>
      <font>
        <color auto="1"/>
      </font>
    </dxf>
    <dxf>
      <font>
        <color theme="0"/>
      </font>
    </dxf>
    <dxf>
      <font>
        <color theme="0"/>
      </font>
    </dxf>
    <dxf>
      <font>
        <color theme="0"/>
      </font>
    </dxf>
    <dxf>
      <font>
        <color auto="1"/>
      </font>
    </dxf>
    <dxf>
      <font>
        <color auto="1"/>
      </font>
    </dxf>
    <dxf>
      <font>
        <color theme="0"/>
      </font>
    </dxf>
    <dxf>
      <font>
        <color auto="1"/>
      </font>
    </dxf>
    <dxf>
      <font>
        <color auto="1"/>
      </font>
    </dxf>
    <dxf>
      <font>
        <color theme="0"/>
      </font>
    </dxf>
    <dxf>
      <font>
        <color auto="1"/>
      </font>
    </dxf>
    <dxf>
      <font>
        <color auto="1"/>
      </font>
    </dxf>
    <dxf>
      <font>
        <color theme="0"/>
      </font>
    </dxf>
    <dxf>
      <font>
        <color auto="1"/>
      </font>
    </dxf>
    <dxf>
      <font>
        <color auto="1"/>
      </font>
    </dxf>
    <dxf>
      <font>
        <color theme="0"/>
      </font>
    </dxf>
    <dxf>
      <font>
        <color auto="1"/>
      </font>
    </dxf>
    <dxf>
      <font>
        <color auto="1"/>
      </font>
    </dxf>
    <dxf>
      <font>
        <color theme="0"/>
      </font>
    </dxf>
    <dxf>
      <font>
        <color auto="1"/>
      </font>
    </dxf>
    <dxf>
      <font>
        <color auto="1"/>
      </font>
    </dxf>
    <dxf>
      <font>
        <color theme="0"/>
      </font>
    </dxf>
    <dxf>
      <font>
        <color auto="1"/>
      </font>
    </dxf>
    <dxf>
      <font>
        <color auto="1"/>
      </font>
    </dxf>
    <dxf>
      <font>
        <color auto="1"/>
      </font>
    </dxf>
    <dxf>
      <font>
        <color auto="1"/>
      </font>
    </dxf>
    <dxf>
      <font>
        <color auto="1"/>
      </font>
    </dxf>
    <dxf>
      <font>
        <color auto="1"/>
      </font>
    </dxf>
    <dxf>
      <font>
        <color auto="1"/>
      </font>
    </dxf>
    <dxf>
      <font>
        <color auto="1"/>
      </font>
    </dxf>
    <dxf>
      <font>
        <color auto="1"/>
      </font>
    </dxf>
    <dxf>
      <font>
        <color theme="0"/>
      </font>
    </dxf>
    <dxf>
      <font>
        <color auto="1"/>
      </font>
    </dxf>
    <dxf>
      <font>
        <color auto="1"/>
      </font>
    </dxf>
    <dxf>
      <font>
        <color auto="1"/>
      </font>
    </dxf>
    <dxf>
      <font>
        <color auto="1"/>
      </font>
    </dxf>
    <dxf>
      <font>
        <color theme="0"/>
      </font>
    </dxf>
    <dxf>
      <font>
        <color auto="1"/>
      </font>
    </dxf>
    <dxf>
      <font>
        <color auto="1"/>
      </font>
    </dxf>
    <dxf>
      <font>
        <color theme="0"/>
      </font>
    </dxf>
    <dxf>
      <font>
        <color auto="1"/>
      </font>
    </dxf>
    <dxf>
      <font>
        <color auto="1"/>
      </font>
    </dxf>
    <dxf>
      <font>
        <color auto="1"/>
      </font>
    </dxf>
    <dxf>
      <font>
        <color theme="0"/>
      </font>
    </dxf>
    <dxf>
      <font>
        <color auto="1"/>
      </font>
    </dxf>
    <dxf>
      <font>
        <color auto="1"/>
      </font>
    </dxf>
    <dxf>
      <font>
        <color theme="0"/>
      </font>
    </dxf>
    <dxf>
      <font>
        <color auto="1"/>
      </font>
    </dxf>
    <dxf>
      <font>
        <color auto="1"/>
      </font>
    </dxf>
    <dxf>
      <font>
        <color auto="1"/>
      </font>
    </dxf>
    <dxf>
      <font>
        <color auto="1"/>
      </font>
    </dxf>
    <dxf>
      <font>
        <color theme="0"/>
      </font>
    </dxf>
    <dxf>
      <font>
        <color auto="1"/>
      </font>
    </dxf>
    <dxf>
      <font>
        <color auto="1"/>
      </font>
    </dxf>
    <dxf>
      <font>
        <color auto="1"/>
      </font>
    </dxf>
    <dxf>
      <font>
        <color auto="1"/>
      </font>
    </dxf>
    <dxf>
      <font>
        <color auto="1"/>
      </font>
    </dxf>
    <dxf>
      <font>
        <color theme="0"/>
      </font>
    </dxf>
    <dxf>
      <font>
        <color auto="1"/>
      </font>
    </dxf>
    <dxf>
      <font>
        <color theme="0"/>
      </font>
    </dxf>
    <dxf>
      <font>
        <color theme="0"/>
      </font>
    </dxf>
    <dxf>
      <font>
        <color theme="0"/>
      </font>
    </dxf>
    <dxf>
      <font>
        <color theme="0"/>
      </font>
    </dxf>
    <dxf>
      <font>
        <color auto="1"/>
      </font>
    </dxf>
    <dxf>
      <font>
        <color auto="1"/>
      </font>
    </dxf>
    <dxf>
      <font>
        <color theme="0"/>
      </font>
    </dxf>
    <dxf>
      <font>
        <color auto="1"/>
      </font>
    </dxf>
    <dxf>
      <font>
        <color auto="1"/>
      </font>
    </dxf>
    <dxf>
      <font>
        <color auto="1"/>
      </font>
    </dxf>
    <dxf>
      <font>
        <color auto="1"/>
      </font>
    </dxf>
    <dxf>
      <font>
        <color auto="1"/>
      </font>
    </dxf>
    <dxf>
      <font>
        <color auto="1"/>
      </font>
    </dxf>
    <dxf>
      <font>
        <color theme="0"/>
      </font>
    </dxf>
    <dxf>
      <font>
        <color auto="1"/>
      </font>
    </dxf>
    <dxf>
      <font>
        <color auto="1"/>
      </font>
    </dxf>
    <dxf>
      <font>
        <color theme="0"/>
      </font>
    </dxf>
    <dxf>
      <font>
        <color auto="1"/>
      </font>
    </dxf>
    <dxf>
      <font>
        <color auto="1"/>
      </font>
    </dxf>
    <dxf>
      <font>
        <color auto="1"/>
      </font>
    </dxf>
    <dxf>
      <font>
        <color auto="1"/>
      </font>
    </dxf>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Admin/Downloads/10%2001202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Հայտի ձևաչափ"/>
      <sheetName val="Լրացման պահանջները"/>
      <sheetName val="List"/>
      <sheetName val="Лист1"/>
    </sheetNames>
    <sheetDataSet>
      <sheetData sheetId="0"/>
      <sheetData sheetId="1"/>
      <sheetData sheetId="2"/>
      <sheetData sheetId="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125"/>
  <sheetViews>
    <sheetView tabSelected="1" topLeftCell="B10" zoomScale="90" zoomScaleNormal="90" workbookViewId="0">
      <pane xSplit="3" ySplit="4" topLeftCell="E34" activePane="bottomRight" state="frozen"/>
      <selection activeCell="B10" sqref="B10"/>
      <selection pane="topRight" activeCell="D10" sqref="D10"/>
      <selection pane="bottomLeft" activeCell="B14" sqref="B14"/>
      <selection pane="bottomRight" activeCell="G108" sqref="G108"/>
    </sheetView>
  </sheetViews>
  <sheetFormatPr defaultColWidth="8.6640625" defaultRowHeight="20.25" x14ac:dyDescent="0.35"/>
  <cols>
    <col min="1" max="2" width="8.6640625" style="140" customWidth="1"/>
    <col min="3" max="3" width="23.83203125" style="152" customWidth="1"/>
    <col min="4" max="4" width="23" style="140" customWidth="1"/>
    <col min="5" max="5" width="9.9140625" style="140" customWidth="1"/>
    <col min="6" max="6" width="9.58203125" style="142" customWidth="1"/>
    <col min="7" max="7" width="8.58203125" style="140" bestFit="1" customWidth="1"/>
    <col min="8" max="8" width="8.9140625" style="140" bestFit="1" customWidth="1"/>
    <col min="9" max="9" width="11.33203125" style="143" customWidth="1"/>
    <col min="10" max="10" width="8.58203125" style="144" bestFit="1" customWidth="1"/>
    <col min="11" max="11" width="13.08203125" style="142" bestFit="1" customWidth="1"/>
    <col min="12" max="12" width="11.33203125" style="142" bestFit="1" customWidth="1"/>
    <col min="13" max="15" width="8.6640625" style="140"/>
    <col min="16" max="16" width="10.1640625" style="140" bestFit="1" customWidth="1"/>
    <col min="17" max="19" width="8.6640625" style="140"/>
    <col min="20" max="21" width="11.5" style="140" customWidth="1"/>
    <col min="22" max="25" width="8.6640625" style="140"/>
    <col min="26" max="26" width="11.6640625" style="140" customWidth="1"/>
    <col min="27" max="27" width="11.08203125" style="140" customWidth="1"/>
    <col min="28" max="29" width="8.6640625" style="140"/>
    <col min="30" max="30" width="10.1640625" style="140" customWidth="1"/>
    <col min="31" max="31" width="26.83203125" style="140" customWidth="1"/>
    <col min="32" max="32" width="39.5" style="140" customWidth="1"/>
    <col min="33" max="33" width="0.58203125" style="140" customWidth="1"/>
    <col min="34" max="34" width="9.58203125" style="140" customWidth="1"/>
    <col min="35" max="36" width="8.6640625" style="140"/>
    <col min="37" max="37" width="9.75" style="140" customWidth="1"/>
    <col min="38" max="38" width="0.4140625" style="140" customWidth="1"/>
    <col min="39" max="39" width="8.6640625" style="140"/>
    <col min="40" max="40" width="9.1640625" style="140" customWidth="1"/>
    <col min="41" max="44" width="8.6640625" style="140"/>
    <col min="45" max="45" width="30.75" style="140" customWidth="1"/>
    <col min="46" max="16384" width="8.6640625" style="140"/>
  </cols>
  <sheetData>
    <row r="1" spans="1:45" hidden="1" x14ac:dyDescent="0.35">
      <c r="C1" s="141"/>
      <c r="D1" s="142"/>
      <c r="AE1" s="142"/>
      <c r="AF1" s="142"/>
      <c r="AG1" s="142"/>
      <c r="AH1" s="142"/>
      <c r="AI1" s="142"/>
      <c r="AJ1" s="142"/>
      <c r="AK1" s="142"/>
      <c r="AL1" s="142"/>
      <c r="AM1" s="142"/>
      <c r="AN1" s="142"/>
      <c r="AO1" s="142"/>
      <c r="AP1" s="142"/>
      <c r="AQ1" s="142"/>
    </row>
    <row r="2" spans="1:45" hidden="1" x14ac:dyDescent="0.35">
      <c r="A2" s="22"/>
      <c r="B2" s="22"/>
      <c r="C2" s="34" t="s">
        <v>119</v>
      </c>
      <c r="D2" s="23"/>
      <c r="E2" s="24"/>
      <c r="F2" s="23"/>
      <c r="G2" s="24"/>
      <c r="H2" s="24"/>
      <c r="I2" s="94"/>
      <c r="J2" s="25"/>
      <c r="K2" s="23"/>
      <c r="L2" s="23"/>
      <c r="M2" s="24"/>
      <c r="N2" s="24"/>
      <c r="O2" s="24"/>
      <c r="P2" s="24"/>
      <c r="Q2" s="26"/>
      <c r="R2" s="26"/>
      <c r="S2" s="26"/>
      <c r="T2" s="26"/>
      <c r="U2" s="26"/>
      <c r="V2" s="26"/>
      <c r="W2" s="26"/>
      <c r="X2" s="26"/>
      <c r="Y2" s="26"/>
      <c r="Z2" s="26"/>
      <c r="AA2" s="26"/>
      <c r="AB2" s="26"/>
      <c r="AC2" s="26"/>
      <c r="AE2" s="142"/>
      <c r="AF2" s="142"/>
      <c r="AG2" s="142"/>
      <c r="AH2" s="142"/>
      <c r="AI2" s="142"/>
      <c r="AJ2" s="142"/>
      <c r="AK2" s="142"/>
      <c r="AL2" s="142"/>
      <c r="AM2" s="142"/>
      <c r="AN2" s="142"/>
      <c r="AO2" s="142"/>
      <c r="AP2" s="142"/>
      <c r="AQ2" s="142"/>
    </row>
    <row r="3" spans="1:45" hidden="1" x14ac:dyDescent="0.35">
      <c r="A3" s="22"/>
      <c r="B3" s="22"/>
      <c r="C3" s="34" t="s">
        <v>120</v>
      </c>
      <c r="D3" s="23"/>
      <c r="E3" s="24"/>
      <c r="F3" s="23"/>
      <c r="G3" s="24"/>
      <c r="H3" s="24"/>
      <c r="I3" s="94"/>
      <c r="J3" s="25"/>
      <c r="K3" s="23"/>
      <c r="L3" s="23"/>
      <c r="M3" s="24"/>
      <c r="N3" s="24"/>
      <c r="O3" s="24"/>
      <c r="P3" s="24"/>
      <c r="Q3" s="26"/>
      <c r="R3" s="26"/>
      <c r="S3" s="26"/>
      <c r="T3" s="26"/>
      <c r="U3" s="26"/>
      <c r="V3" s="26"/>
      <c r="W3" s="26"/>
      <c r="X3" s="26"/>
      <c r="Y3" s="26"/>
      <c r="Z3" s="26"/>
      <c r="AA3" s="26"/>
      <c r="AB3" s="26"/>
      <c r="AC3" s="26"/>
      <c r="AE3" s="142"/>
      <c r="AF3" s="142"/>
      <c r="AG3" s="142"/>
      <c r="AH3" s="142"/>
      <c r="AI3" s="142"/>
      <c r="AJ3" s="142"/>
      <c r="AK3" s="142"/>
      <c r="AL3" s="142"/>
      <c r="AM3" s="142"/>
      <c r="AN3" s="142"/>
      <c r="AO3" s="142"/>
      <c r="AP3" s="142"/>
      <c r="AQ3" s="142"/>
    </row>
    <row r="4" spans="1:45" hidden="1" x14ac:dyDescent="0.35">
      <c r="A4" s="22"/>
      <c r="B4" s="22"/>
      <c r="C4" s="34" t="s">
        <v>122</v>
      </c>
      <c r="D4" s="23"/>
      <c r="E4" s="24"/>
      <c r="F4" s="23"/>
      <c r="G4" s="24"/>
      <c r="H4" s="24"/>
      <c r="I4" s="94"/>
      <c r="J4" s="25"/>
      <c r="K4" s="23"/>
      <c r="L4" s="23"/>
      <c r="M4" s="24"/>
      <c r="N4" s="24"/>
      <c r="O4" s="24"/>
      <c r="P4" s="24"/>
      <c r="Q4" s="26"/>
      <c r="R4" s="26"/>
      <c r="S4" s="26"/>
      <c r="T4" s="26"/>
      <c r="U4" s="26"/>
      <c r="V4" s="26"/>
      <c r="W4" s="26"/>
      <c r="X4" s="26"/>
      <c r="Y4" s="26"/>
      <c r="Z4" s="26"/>
      <c r="AA4" s="26"/>
      <c r="AB4" s="26"/>
      <c r="AC4" s="26"/>
      <c r="AE4" s="142"/>
      <c r="AF4" s="142"/>
      <c r="AG4" s="142"/>
      <c r="AH4" s="142"/>
      <c r="AI4" s="142"/>
      <c r="AJ4" s="142"/>
      <c r="AK4" s="142"/>
      <c r="AL4" s="142"/>
      <c r="AM4" s="142"/>
      <c r="AN4" s="142"/>
      <c r="AO4" s="142"/>
      <c r="AP4" s="142"/>
      <c r="AQ4" s="142"/>
    </row>
    <row r="5" spans="1:45" ht="38.25" hidden="1" customHeight="1" x14ac:dyDescent="0.35">
      <c r="A5" s="22"/>
      <c r="B5" s="22"/>
      <c r="C5" s="71"/>
      <c r="D5" s="73"/>
      <c r="E5" s="24"/>
      <c r="F5" s="23"/>
      <c r="G5" s="24"/>
      <c r="H5" s="24"/>
      <c r="I5" s="94"/>
      <c r="J5" s="25"/>
      <c r="K5" s="23"/>
      <c r="L5" s="23"/>
      <c r="M5" s="24"/>
      <c r="N5" s="24"/>
      <c r="O5" s="24"/>
      <c r="P5" s="24"/>
      <c r="Q5" s="26"/>
      <c r="R5" s="26"/>
      <c r="S5" s="26"/>
      <c r="T5" s="26"/>
      <c r="U5" s="26"/>
      <c r="V5" s="26"/>
      <c r="W5" s="26"/>
      <c r="X5" s="26"/>
      <c r="Y5" s="26"/>
      <c r="Z5" s="26"/>
      <c r="AA5" s="26"/>
      <c r="AB5" s="26"/>
      <c r="AC5" s="26"/>
      <c r="AE5" s="142"/>
      <c r="AF5" s="142"/>
      <c r="AG5" s="142"/>
      <c r="AH5" s="142"/>
      <c r="AI5" s="142"/>
      <c r="AJ5" s="142"/>
      <c r="AK5" s="142"/>
      <c r="AL5" s="142"/>
      <c r="AM5" s="142"/>
      <c r="AN5" s="142"/>
      <c r="AO5" s="142"/>
      <c r="AP5" s="142"/>
      <c r="AQ5" s="142"/>
    </row>
    <row r="6" spans="1:45" ht="21" hidden="1" thickBot="1" x14ac:dyDescent="0.4">
      <c r="A6" s="26"/>
      <c r="B6" s="26"/>
      <c r="C6" s="35" t="s">
        <v>49</v>
      </c>
      <c r="D6" s="27"/>
      <c r="E6" s="26"/>
      <c r="F6" s="29"/>
      <c r="G6" s="26"/>
      <c r="H6" s="26"/>
      <c r="I6" s="95"/>
      <c r="J6" s="28"/>
      <c r="K6" s="29"/>
      <c r="L6" s="29"/>
      <c r="M6" s="26"/>
      <c r="N6" s="26"/>
      <c r="O6" s="26"/>
      <c r="P6" s="26"/>
      <c r="Q6" s="26"/>
      <c r="R6" s="26"/>
      <c r="S6" s="26"/>
      <c r="T6" s="26"/>
      <c r="U6" s="26"/>
      <c r="V6" s="26"/>
      <c r="W6" s="26"/>
      <c r="X6" s="26"/>
      <c r="Y6" s="26"/>
      <c r="Z6" s="26"/>
      <c r="AA6" s="26"/>
      <c r="AB6" s="26"/>
      <c r="AC6" s="26"/>
      <c r="AE6" s="142"/>
      <c r="AF6" s="142"/>
      <c r="AG6" s="142"/>
      <c r="AH6" s="142"/>
      <c r="AI6" s="142"/>
      <c r="AJ6" s="142"/>
      <c r="AK6" s="142"/>
      <c r="AL6" s="142"/>
      <c r="AM6" s="142"/>
      <c r="AN6" s="142"/>
      <c r="AO6" s="142"/>
      <c r="AP6" s="142"/>
      <c r="AQ6" s="142"/>
    </row>
    <row r="7" spans="1:45" ht="21" hidden="1" thickBot="1" x14ac:dyDescent="0.4">
      <c r="C7" s="36" t="s">
        <v>71</v>
      </c>
      <c r="D7" s="31"/>
      <c r="E7" s="70"/>
      <c r="G7" s="30"/>
      <c r="J7" s="28"/>
      <c r="K7" s="31"/>
      <c r="L7" s="31"/>
      <c r="M7" s="30"/>
      <c r="N7" s="30"/>
      <c r="O7" s="30"/>
      <c r="P7" s="30"/>
      <c r="Q7" s="30"/>
      <c r="T7" s="32"/>
      <c r="AE7" s="142"/>
      <c r="AF7" s="142"/>
      <c r="AG7" s="142"/>
      <c r="AH7" s="142"/>
      <c r="AI7" s="142"/>
      <c r="AJ7" s="142"/>
      <c r="AK7" s="142"/>
      <c r="AL7" s="142"/>
      <c r="AM7" s="142"/>
      <c r="AN7" s="142"/>
      <c r="AO7" s="142"/>
      <c r="AP7" s="142"/>
      <c r="AQ7" s="142"/>
    </row>
    <row r="8" spans="1:45" ht="21" hidden="1" thickBot="1" x14ac:dyDescent="0.4">
      <c r="C8" s="36" t="s">
        <v>0</v>
      </c>
      <c r="D8" s="31"/>
      <c r="E8" s="70"/>
      <c r="G8" s="30"/>
      <c r="J8" s="28"/>
      <c r="K8" s="31"/>
      <c r="L8" s="31"/>
      <c r="M8" s="30"/>
      <c r="N8" s="30"/>
      <c r="O8" s="30"/>
      <c r="P8" s="30"/>
      <c r="Q8" s="30"/>
      <c r="T8" s="32"/>
      <c r="AE8" s="142"/>
      <c r="AF8" s="142"/>
      <c r="AG8" s="142"/>
      <c r="AH8" s="142"/>
      <c r="AI8" s="142"/>
      <c r="AJ8" s="142"/>
      <c r="AK8" s="142"/>
      <c r="AL8" s="142"/>
      <c r="AM8" s="142"/>
      <c r="AN8" s="142"/>
      <c r="AO8" s="142"/>
      <c r="AP8" s="142"/>
      <c r="AQ8" s="142"/>
    </row>
    <row r="9" spans="1:45" ht="21" hidden="1" thickBot="1" x14ac:dyDescent="0.4">
      <c r="C9" s="30"/>
      <c r="D9" s="31"/>
      <c r="E9" s="30"/>
      <c r="F9" s="31"/>
      <c r="G9" s="30"/>
      <c r="H9" s="30"/>
      <c r="I9" s="96"/>
      <c r="J9" s="28"/>
      <c r="M9" s="30"/>
      <c r="N9" s="30"/>
      <c r="O9" s="30"/>
      <c r="P9" s="30"/>
      <c r="Q9" s="30"/>
      <c r="T9" s="32"/>
      <c r="U9" s="33"/>
      <c r="V9" s="33"/>
      <c r="W9" s="33"/>
      <c r="X9" s="33"/>
      <c r="Y9" s="33"/>
      <c r="Z9" s="33"/>
      <c r="AA9" s="33"/>
      <c r="AB9" s="33"/>
      <c r="AC9" s="33"/>
      <c r="AE9" s="142"/>
      <c r="AF9" s="142"/>
      <c r="AG9" s="142"/>
      <c r="AH9" s="142"/>
      <c r="AI9" s="142"/>
      <c r="AJ9" s="142"/>
      <c r="AK9" s="142"/>
      <c r="AL9" s="142"/>
      <c r="AM9" s="142"/>
      <c r="AN9" s="142"/>
      <c r="AO9" s="142"/>
      <c r="AP9" s="142"/>
      <c r="AQ9" s="142"/>
    </row>
    <row r="10" spans="1:45" s="145" customFormat="1" ht="42.75" customHeight="1" thickBot="1" x14ac:dyDescent="0.4">
      <c r="A10" s="37"/>
      <c r="B10" s="197" t="s">
        <v>224</v>
      </c>
      <c r="C10" s="38"/>
      <c r="D10" s="187" t="s">
        <v>65</v>
      </c>
      <c r="E10" s="188"/>
      <c r="F10" s="188"/>
      <c r="G10" s="188"/>
      <c r="H10" s="188"/>
      <c r="I10" s="188"/>
      <c r="J10" s="188"/>
      <c r="K10" s="188"/>
      <c r="L10" s="188"/>
      <c r="M10" s="189"/>
      <c r="N10" s="187" t="s">
        <v>51</v>
      </c>
      <c r="O10" s="188"/>
      <c r="P10" s="188"/>
      <c r="Q10" s="188"/>
      <c r="R10" s="188"/>
      <c r="S10" s="188"/>
      <c r="T10" s="188"/>
      <c r="U10" s="188"/>
      <c r="V10" s="189"/>
      <c r="W10" s="187" t="s">
        <v>50</v>
      </c>
      <c r="X10" s="188"/>
      <c r="Y10" s="188"/>
      <c r="Z10" s="188"/>
      <c r="AA10" s="188"/>
      <c r="AB10" s="188"/>
      <c r="AC10" s="188"/>
      <c r="AD10" s="189"/>
      <c r="AE10" s="39"/>
      <c r="AF10" s="40"/>
      <c r="AG10" s="41"/>
      <c r="AH10" s="190" t="s">
        <v>46</v>
      </c>
      <c r="AI10" s="191"/>
      <c r="AJ10" s="191"/>
      <c r="AK10" s="192"/>
      <c r="AL10" s="41"/>
      <c r="AM10" s="184" t="s">
        <v>47</v>
      </c>
      <c r="AN10" s="185"/>
      <c r="AO10" s="185"/>
      <c r="AP10" s="185"/>
      <c r="AQ10" s="185"/>
      <c r="AR10" s="185"/>
      <c r="AS10" s="186"/>
    </row>
    <row r="11" spans="1:45" s="145" customFormat="1" ht="96.75" thickBot="1" x14ac:dyDescent="0.4">
      <c r="A11" s="42" t="s">
        <v>1</v>
      </c>
      <c r="B11" s="198"/>
      <c r="C11" s="123" t="s">
        <v>2</v>
      </c>
      <c r="D11" s="123" t="s">
        <v>70</v>
      </c>
      <c r="E11" s="124" t="s">
        <v>66</v>
      </c>
      <c r="F11" s="125" t="s">
        <v>103</v>
      </c>
      <c r="G11" s="125" t="s">
        <v>25</v>
      </c>
      <c r="H11" s="125" t="s">
        <v>56</v>
      </c>
      <c r="I11" s="126" t="s">
        <v>4</v>
      </c>
      <c r="J11" s="125" t="s">
        <v>100</v>
      </c>
      <c r="K11" s="127" t="s">
        <v>104</v>
      </c>
      <c r="L11" s="124" t="s">
        <v>102</v>
      </c>
      <c r="M11" s="125" t="s">
        <v>63</v>
      </c>
      <c r="N11" s="125" t="s">
        <v>55</v>
      </c>
      <c r="O11" s="127" t="s">
        <v>67</v>
      </c>
      <c r="P11" s="125" t="s">
        <v>5</v>
      </c>
      <c r="Q11" s="127" t="s">
        <v>138</v>
      </c>
      <c r="R11" s="125" t="s">
        <v>28</v>
      </c>
      <c r="S11" s="127" t="s">
        <v>68</v>
      </c>
      <c r="T11" s="125" t="s">
        <v>43</v>
      </c>
      <c r="U11" s="125" t="s">
        <v>44</v>
      </c>
      <c r="V11" s="127" t="s">
        <v>6</v>
      </c>
      <c r="W11" s="127" t="s">
        <v>59</v>
      </c>
      <c r="X11" s="128" t="s">
        <v>57</v>
      </c>
      <c r="Y11" s="128" t="s">
        <v>58</v>
      </c>
      <c r="Z11" s="128" t="s">
        <v>105</v>
      </c>
      <c r="AA11" s="127" t="s">
        <v>106</v>
      </c>
      <c r="AB11" s="128" t="s">
        <v>107</v>
      </c>
      <c r="AC11" s="129" t="s">
        <v>108</v>
      </c>
      <c r="AD11" s="127" t="s">
        <v>7</v>
      </c>
      <c r="AE11" s="124" t="s">
        <v>109</v>
      </c>
      <c r="AF11" s="124" t="s">
        <v>101</v>
      </c>
      <c r="AG11" s="130"/>
      <c r="AH11" s="125" t="s">
        <v>103</v>
      </c>
      <c r="AI11" s="125" t="s">
        <v>25</v>
      </c>
      <c r="AJ11" s="125" t="s">
        <v>60</v>
      </c>
      <c r="AK11" s="124" t="s">
        <v>102</v>
      </c>
      <c r="AL11" s="130"/>
      <c r="AM11" s="124" t="s">
        <v>243</v>
      </c>
      <c r="AN11" s="125" t="s">
        <v>103</v>
      </c>
      <c r="AO11" s="125" t="s">
        <v>25</v>
      </c>
      <c r="AP11" s="125" t="s">
        <v>60</v>
      </c>
      <c r="AQ11" s="124" t="s">
        <v>8</v>
      </c>
      <c r="AR11" s="124" t="s">
        <v>9</v>
      </c>
      <c r="AS11" s="131" t="s">
        <v>112</v>
      </c>
    </row>
    <row r="12" spans="1:45" x14ac:dyDescent="0.35">
      <c r="A12" s="54"/>
      <c r="B12" s="54"/>
      <c r="C12" s="55"/>
      <c r="D12" s="54"/>
      <c r="E12" s="56"/>
      <c r="F12" s="57"/>
      <c r="G12" s="57"/>
      <c r="H12" s="57"/>
      <c r="I12" s="97"/>
      <c r="J12" s="57"/>
      <c r="K12" s="59">
        <f>+List!A1</f>
        <v>2024</v>
      </c>
      <c r="L12" s="56"/>
      <c r="M12" s="57"/>
      <c r="N12" s="60"/>
      <c r="O12" s="60"/>
      <c r="P12" s="60"/>
      <c r="Q12" s="57"/>
      <c r="R12" s="57"/>
      <c r="S12" s="57"/>
      <c r="T12" s="57"/>
      <c r="U12" s="57"/>
      <c r="V12" s="56"/>
      <c r="W12" s="58"/>
      <c r="X12" s="58"/>
      <c r="Y12" s="58"/>
      <c r="Z12" s="58"/>
      <c r="AA12" s="58"/>
      <c r="AB12" s="58"/>
      <c r="AC12" s="61"/>
      <c r="AD12" s="61"/>
      <c r="AE12" s="56"/>
      <c r="AF12" s="56"/>
      <c r="AG12" s="62"/>
      <c r="AH12" s="57"/>
      <c r="AI12" s="57"/>
      <c r="AJ12" s="57"/>
      <c r="AK12" s="56"/>
      <c r="AL12" s="62"/>
      <c r="AM12" s="56"/>
      <c r="AN12" s="57"/>
      <c r="AO12" s="57"/>
      <c r="AP12" s="57"/>
      <c r="AQ12" s="56"/>
      <c r="AR12" s="56"/>
      <c r="AS12" s="56"/>
    </row>
    <row r="13" spans="1:45" s="146" customFormat="1" x14ac:dyDescent="0.35">
      <c r="A13" s="14">
        <v>1</v>
      </c>
      <c r="B13" s="133"/>
      <c r="C13" s="119" t="s">
        <v>252</v>
      </c>
      <c r="D13" s="106"/>
      <c r="E13" s="106"/>
      <c r="F13" s="106"/>
      <c r="G13" s="106"/>
      <c r="H13" s="106"/>
      <c r="I13" s="106"/>
      <c r="J13" s="106"/>
      <c r="K13" s="106"/>
      <c r="L13" s="106"/>
      <c r="M13" s="106"/>
      <c r="N13" s="106"/>
      <c r="O13" s="106"/>
      <c r="P13" s="106"/>
      <c r="Q13" s="106"/>
      <c r="R13" s="106"/>
      <c r="S13" s="106"/>
      <c r="T13" s="106"/>
      <c r="U13" s="106"/>
      <c r="V13" s="106"/>
      <c r="W13" s="106"/>
      <c r="X13" s="106"/>
      <c r="Y13" s="106"/>
      <c r="Z13" s="106"/>
      <c r="AA13" s="106"/>
      <c r="AB13" s="106"/>
      <c r="AC13" s="106"/>
      <c r="AD13" s="106"/>
      <c r="AE13" s="106"/>
      <c r="AF13" s="106"/>
      <c r="AG13" s="106"/>
      <c r="AH13" s="106"/>
      <c r="AI13" s="106"/>
      <c r="AJ13" s="106"/>
      <c r="AK13" s="106"/>
      <c r="AL13" s="106"/>
      <c r="AM13" s="106"/>
      <c r="AN13" s="106"/>
      <c r="AO13" s="106"/>
      <c r="AP13" s="106"/>
      <c r="AQ13" s="106"/>
      <c r="AR13" s="106"/>
      <c r="AS13" s="106"/>
    </row>
    <row r="14" spans="1:45" s="146" customFormat="1" ht="40.5" x14ac:dyDescent="0.35">
      <c r="A14" s="16">
        <v>1</v>
      </c>
      <c r="B14" s="16">
        <v>1</v>
      </c>
      <c r="C14" s="17" t="s">
        <v>125</v>
      </c>
      <c r="D14" s="18" t="s">
        <v>32</v>
      </c>
      <c r="E14" s="18" t="s">
        <v>124</v>
      </c>
      <c r="F14" s="18" t="s">
        <v>10</v>
      </c>
      <c r="G14" s="16" t="s">
        <v>11</v>
      </c>
      <c r="H14" s="19" t="s">
        <v>61</v>
      </c>
      <c r="I14" s="98">
        <v>6984.75</v>
      </c>
      <c r="J14" s="16">
        <v>2012</v>
      </c>
      <c r="K14" s="68">
        <f>IF(J14="մինչև 2000","օգտակար ծառայության ժամկետը սպառված է",10-($K$12-J14))</f>
        <v>-2</v>
      </c>
      <c r="L14" s="44" t="s">
        <v>15</v>
      </c>
      <c r="M14" s="43">
        <v>14.5</v>
      </c>
      <c r="N14" s="43">
        <v>15</v>
      </c>
      <c r="O14" s="51">
        <f>P14/21</f>
        <v>114.28571428571429</v>
      </c>
      <c r="P14" s="43">
        <v>2400</v>
      </c>
      <c r="Q14" s="64">
        <f>+P14*N14/100</f>
        <v>360</v>
      </c>
      <c r="R14" s="43">
        <f>Q14*410/1000</f>
        <v>147.6</v>
      </c>
      <c r="S14" s="64">
        <f>+R14*1000/Q14</f>
        <v>410</v>
      </c>
      <c r="T14" s="43"/>
      <c r="U14" s="43"/>
      <c r="V14" s="65">
        <f>(R14+U14)</f>
        <v>147.6</v>
      </c>
      <c r="W14" s="65">
        <f>V14*12</f>
        <v>1771.1999999999998</v>
      </c>
      <c r="X14" s="43">
        <v>120</v>
      </c>
      <c r="Y14" s="43"/>
      <c r="Z14" s="43">
        <f>33*2499/1000</f>
        <v>82.466999999999999</v>
      </c>
      <c r="AA14" s="51">
        <f>SUM(W14:Z14)</f>
        <v>1973.6669999999999</v>
      </c>
      <c r="AB14" s="43">
        <v>678.98900000000003</v>
      </c>
      <c r="AC14" s="43">
        <v>9.8000000000000007</v>
      </c>
      <c r="AD14" s="51">
        <f>SUM(AA14:AC14)</f>
        <v>2662.4560000000001</v>
      </c>
      <c r="AE14" s="18" t="s">
        <v>38</v>
      </c>
      <c r="AF14" s="18" t="s">
        <v>41</v>
      </c>
      <c r="AG14" s="21"/>
      <c r="AH14" s="16"/>
      <c r="AI14" s="44"/>
      <c r="AJ14" s="44"/>
      <c r="AK14" s="44"/>
      <c r="AL14" s="45"/>
      <c r="AM14" s="46">
        <v>1</v>
      </c>
      <c r="AN14" s="16" t="s">
        <v>10</v>
      </c>
      <c r="AO14" s="44" t="s">
        <v>11</v>
      </c>
      <c r="AP14" s="44" t="s">
        <v>26</v>
      </c>
      <c r="AQ14" s="44" t="s">
        <v>15</v>
      </c>
      <c r="AR14" s="46">
        <v>10700</v>
      </c>
      <c r="AS14" s="179" t="s">
        <v>185</v>
      </c>
    </row>
    <row r="15" spans="1:45" s="146" customFormat="1" x14ac:dyDescent="0.35">
      <c r="A15" s="14"/>
      <c r="B15" s="133"/>
      <c r="C15" s="15" t="s">
        <v>253</v>
      </c>
      <c r="D15" s="106"/>
      <c r="E15" s="106"/>
      <c r="F15" s="106"/>
      <c r="G15" s="106"/>
      <c r="H15" s="106"/>
      <c r="I15" s="106"/>
      <c r="J15" s="106"/>
      <c r="K15" s="69"/>
      <c r="L15" s="106"/>
      <c r="M15" s="106"/>
      <c r="N15" s="106"/>
      <c r="O15" s="13"/>
      <c r="P15" s="106"/>
      <c r="Q15" s="13"/>
      <c r="R15" s="106"/>
      <c r="S15" s="13"/>
      <c r="T15" s="106"/>
      <c r="U15" s="106"/>
      <c r="V15" s="13"/>
      <c r="W15" s="13"/>
      <c r="X15" s="106"/>
      <c r="Y15" s="106"/>
      <c r="Z15" s="106"/>
      <c r="AA15" s="13"/>
      <c r="AB15" s="106"/>
      <c r="AC15" s="106"/>
      <c r="AD15" s="13"/>
      <c r="AE15" s="106"/>
      <c r="AF15" s="106"/>
      <c r="AG15" s="106"/>
      <c r="AH15" s="106"/>
      <c r="AI15" s="106"/>
      <c r="AJ15" s="106"/>
      <c r="AK15" s="106"/>
      <c r="AL15" s="106"/>
      <c r="AM15" s="106"/>
      <c r="AN15" s="106"/>
      <c r="AO15" s="106"/>
      <c r="AP15" s="106"/>
      <c r="AQ15" s="106"/>
      <c r="AR15" s="106"/>
      <c r="AS15" s="180"/>
    </row>
    <row r="16" spans="1:45" s="146" customFormat="1" ht="60.6" customHeight="1" x14ac:dyDescent="0.35">
      <c r="A16" s="16">
        <v>1</v>
      </c>
      <c r="B16" s="16">
        <v>2</v>
      </c>
      <c r="C16" s="17" t="s">
        <v>186</v>
      </c>
      <c r="D16" s="18" t="s">
        <v>33</v>
      </c>
      <c r="E16" s="18" t="s">
        <v>128</v>
      </c>
      <c r="F16" s="18" t="s">
        <v>10</v>
      </c>
      <c r="G16" s="16" t="s">
        <v>11</v>
      </c>
      <c r="H16" s="19" t="s">
        <v>26</v>
      </c>
      <c r="I16" s="98">
        <v>5020.9799999999996</v>
      </c>
      <c r="J16" s="16">
        <v>2011</v>
      </c>
      <c r="K16" s="68">
        <f t="shared" ref="K16:K22" si="0">IF(J16="մինչև 2000","օգտակար ծառայության ժամկետը սպառված է",10-($K$12-J16))</f>
        <v>-3</v>
      </c>
      <c r="L16" s="44" t="s">
        <v>15</v>
      </c>
      <c r="M16" s="43">
        <v>11.5</v>
      </c>
      <c r="N16" s="43">
        <v>15.5</v>
      </c>
      <c r="O16" s="51">
        <f>P16/21</f>
        <v>61.428571428571431</v>
      </c>
      <c r="P16" s="43">
        <v>1290</v>
      </c>
      <c r="Q16" s="64">
        <f>+P16*N16/100</f>
        <v>199.95</v>
      </c>
      <c r="R16" s="43">
        <f>Q16*410/1000</f>
        <v>81.979500000000002</v>
      </c>
      <c r="S16" s="64">
        <f t="shared" ref="S16:S22" si="1">+R16*1000/Q16</f>
        <v>410</v>
      </c>
      <c r="T16" s="43">
        <v>0</v>
      </c>
      <c r="U16" s="43">
        <v>0</v>
      </c>
      <c r="V16" s="65">
        <f t="shared" ref="V16:V22" si="2">(R16+U16)</f>
        <v>81.979500000000002</v>
      </c>
      <c r="W16" s="65">
        <f t="shared" ref="W16:W22" si="3">V16*12</f>
        <v>983.75400000000002</v>
      </c>
      <c r="X16" s="43"/>
      <c r="Y16" s="43">
        <v>35</v>
      </c>
      <c r="Z16" s="43">
        <f>7*2499/1000</f>
        <v>17.492999999999999</v>
      </c>
      <c r="AA16" s="51">
        <f t="shared" ref="AA16:AA22" si="4">SUM(W16:Z16)</f>
        <v>1036.2470000000001</v>
      </c>
      <c r="AB16" s="43">
        <v>239.845</v>
      </c>
      <c r="AC16" s="43">
        <v>9.8000000000000007</v>
      </c>
      <c r="AD16" s="51">
        <f t="shared" ref="AD16:AD22" si="5">SUM(AA16:AC16)</f>
        <v>1285.8920000000001</v>
      </c>
      <c r="AE16" s="18" t="s">
        <v>38</v>
      </c>
      <c r="AF16" s="18" t="s">
        <v>39</v>
      </c>
      <c r="AG16" s="21"/>
      <c r="AH16" s="16"/>
      <c r="AI16" s="44"/>
      <c r="AJ16" s="44"/>
      <c r="AK16" s="44"/>
      <c r="AL16" s="45"/>
      <c r="AM16" s="46">
        <v>1</v>
      </c>
      <c r="AN16" s="16" t="s">
        <v>10</v>
      </c>
      <c r="AO16" s="44" t="s">
        <v>11</v>
      </c>
      <c r="AP16" s="44" t="s">
        <v>14</v>
      </c>
      <c r="AQ16" s="44" t="s">
        <v>15</v>
      </c>
      <c r="AR16" s="46">
        <v>10500</v>
      </c>
      <c r="AS16" s="180"/>
    </row>
    <row r="17" spans="1:45" s="146" customFormat="1" ht="60.75" customHeight="1" x14ac:dyDescent="0.35">
      <c r="A17" s="16">
        <v>2</v>
      </c>
      <c r="B17" s="16">
        <v>3</v>
      </c>
      <c r="C17" s="17" t="s">
        <v>186</v>
      </c>
      <c r="D17" s="18" t="s">
        <v>33</v>
      </c>
      <c r="E17" s="18" t="s">
        <v>129</v>
      </c>
      <c r="F17" s="18" t="s">
        <v>10</v>
      </c>
      <c r="G17" s="16" t="s">
        <v>11</v>
      </c>
      <c r="H17" s="19" t="s">
        <v>26</v>
      </c>
      <c r="I17" s="98">
        <v>8500</v>
      </c>
      <c r="J17" s="16">
        <v>2006</v>
      </c>
      <c r="K17" s="68">
        <f t="shared" si="0"/>
        <v>-8</v>
      </c>
      <c r="L17" s="44" t="s">
        <v>15</v>
      </c>
      <c r="M17" s="43">
        <v>11.5</v>
      </c>
      <c r="N17" s="43">
        <v>14.5</v>
      </c>
      <c r="O17" s="51">
        <f>P17/21</f>
        <v>62.857142857142854</v>
      </c>
      <c r="P17" s="43">
        <v>1320</v>
      </c>
      <c r="Q17" s="64">
        <f>+P17*N17/100</f>
        <v>191.4</v>
      </c>
      <c r="R17" s="43">
        <f>Q17*410/1000</f>
        <v>78.474000000000004</v>
      </c>
      <c r="S17" s="64">
        <f t="shared" si="1"/>
        <v>410</v>
      </c>
      <c r="T17" s="43">
        <v>0</v>
      </c>
      <c r="U17" s="43">
        <v>0</v>
      </c>
      <c r="V17" s="65">
        <f t="shared" si="2"/>
        <v>78.474000000000004</v>
      </c>
      <c r="W17" s="65">
        <f t="shared" si="3"/>
        <v>941.6880000000001</v>
      </c>
      <c r="X17" s="43">
        <v>120</v>
      </c>
      <c r="Y17" s="43">
        <v>35</v>
      </c>
      <c r="Z17" s="43">
        <f>23*2499/1000</f>
        <v>57.476999999999997</v>
      </c>
      <c r="AA17" s="51">
        <f t="shared" si="4"/>
        <v>1154.1650000000002</v>
      </c>
      <c r="AB17" s="43">
        <v>381.55500000000001</v>
      </c>
      <c r="AC17" s="43">
        <v>9.8000000000000007</v>
      </c>
      <c r="AD17" s="51">
        <f t="shared" si="5"/>
        <v>1545.5200000000002</v>
      </c>
      <c r="AE17" s="18" t="s">
        <v>38</v>
      </c>
      <c r="AF17" s="18" t="s">
        <v>39</v>
      </c>
      <c r="AG17" s="21"/>
      <c r="AH17" s="16"/>
      <c r="AI17" s="44"/>
      <c r="AJ17" s="44"/>
      <c r="AK17" s="44"/>
      <c r="AL17" s="45"/>
      <c r="AM17" s="46">
        <v>1</v>
      </c>
      <c r="AN17" s="16" t="s">
        <v>10</v>
      </c>
      <c r="AO17" s="44" t="s">
        <v>11</v>
      </c>
      <c r="AP17" s="44" t="s">
        <v>14</v>
      </c>
      <c r="AQ17" s="44" t="s">
        <v>15</v>
      </c>
      <c r="AR17" s="46">
        <v>10500</v>
      </c>
      <c r="AS17" s="180"/>
    </row>
    <row r="18" spans="1:45" s="146" customFormat="1" ht="98.45" customHeight="1" x14ac:dyDescent="0.35">
      <c r="A18" s="16">
        <v>3</v>
      </c>
      <c r="B18" s="16">
        <v>4</v>
      </c>
      <c r="C18" s="17" t="s">
        <v>186</v>
      </c>
      <c r="D18" s="18" t="s">
        <v>33</v>
      </c>
      <c r="E18" s="139" t="s">
        <v>246</v>
      </c>
      <c r="F18" s="18" t="s">
        <v>10</v>
      </c>
      <c r="G18" s="16" t="s">
        <v>11</v>
      </c>
      <c r="H18" s="19" t="s">
        <v>14</v>
      </c>
      <c r="I18" s="98">
        <v>5193.5</v>
      </c>
      <c r="J18" s="16">
        <v>2007</v>
      </c>
      <c r="K18" s="68">
        <f t="shared" si="0"/>
        <v>-7</v>
      </c>
      <c r="L18" s="44" t="s">
        <v>15</v>
      </c>
      <c r="M18" s="43">
        <v>12</v>
      </c>
      <c r="N18" s="43">
        <v>14.5</v>
      </c>
      <c r="O18" s="51"/>
      <c r="P18" s="43"/>
      <c r="Q18" s="64"/>
      <c r="R18" s="43"/>
      <c r="S18" s="114" t="e">
        <f t="shared" si="1"/>
        <v>#DIV/0!</v>
      </c>
      <c r="T18" s="43">
        <v>0</v>
      </c>
      <c r="U18" s="43">
        <v>0</v>
      </c>
      <c r="V18" s="65">
        <f t="shared" si="2"/>
        <v>0</v>
      </c>
      <c r="W18" s="65">
        <f t="shared" si="3"/>
        <v>0</v>
      </c>
      <c r="X18" s="43">
        <v>0</v>
      </c>
      <c r="Y18" s="43">
        <v>0</v>
      </c>
      <c r="Z18" s="43">
        <v>0</v>
      </c>
      <c r="AA18" s="51">
        <f t="shared" si="4"/>
        <v>0</v>
      </c>
      <c r="AB18" s="43"/>
      <c r="AC18" s="43">
        <v>9.8000000000000007</v>
      </c>
      <c r="AD18" s="51">
        <f t="shared" si="5"/>
        <v>9.8000000000000007</v>
      </c>
      <c r="AE18" s="18" t="s">
        <v>38</v>
      </c>
      <c r="AF18" s="18" t="s">
        <v>39</v>
      </c>
      <c r="AG18" s="21"/>
      <c r="AH18" s="16"/>
      <c r="AI18" s="44"/>
      <c r="AJ18" s="44"/>
      <c r="AK18" s="44"/>
      <c r="AL18" s="45"/>
      <c r="AM18" s="46">
        <v>1</v>
      </c>
      <c r="AN18" s="16" t="s">
        <v>10</v>
      </c>
      <c r="AO18" s="44" t="s">
        <v>11</v>
      </c>
      <c r="AP18" s="44" t="s">
        <v>14</v>
      </c>
      <c r="AQ18" s="44" t="s">
        <v>15</v>
      </c>
      <c r="AR18" s="46">
        <v>10500</v>
      </c>
      <c r="AS18" s="180"/>
    </row>
    <row r="19" spans="1:45" s="146" customFormat="1" ht="55.15" customHeight="1" x14ac:dyDescent="0.35">
      <c r="A19" s="16">
        <v>4</v>
      </c>
      <c r="B19" s="16">
        <v>5</v>
      </c>
      <c r="C19" s="17" t="s">
        <v>186</v>
      </c>
      <c r="D19" s="18" t="s">
        <v>33</v>
      </c>
      <c r="E19" s="18" t="s">
        <v>126</v>
      </c>
      <c r="F19" s="18" t="s">
        <v>10</v>
      </c>
      <c r="G19" s="16" t="s">
        <v>11</v>
      </c>
      <c r="H19" s="19" t="s">
        <v>26</v>
      </c>
      <c r="I19" s="98">
        <v>2713.5</v>
      </c>
      <c r="J19" s="16">
        <v>2010</v>
      </c>
      <c r="K19" s="68">
        <f t="shared" si="0"/>
        <v>-4</v>
      </c>
      <c r="L19" s="44" t="s">
        <v>15</v>
      </c>
      <c r="M19" s="43">
        <v>10.5</v>
      </c>
      <c r="N19" s="43">
        <v>16</v>
      </c>
      <c r="O19" s="51">
        <f>P19/21</f>
        <v>69.047619047619051</v>
      </c>
      <c r="P19" s="43">
        <v>1450</v>
      </c>
      <c r="Q19" s="64">
        <f>+P19*N19/100</f>
        <v>232</v>
      </c>
      <c r="R19" s="43">
        <f>Q19*410/1000</f>
        <v>95.12</v>
      </c>
      <c r="S19" s="64">
        <f t="shared" si="1"/>
        <v>410</v>
      </c>
      <c r="T19" s="43">
        <v>0</v>
      </c>
      <c r="U19" s="43">
        <v>0</v>
      </c>
      <c r="V19" s="65">
        <f t="shared" si="2"/>
        <v>95.12</v>
      </c>
      <c r="W19" s="65">
        <f t="shared" si="3"/>
        <v>1141.44</v>
      </c>
      <c r="X19" s="43">
        <v>130</v>
      </c>
      <c r="Y19" s="43">
        <v>0</v>
      </c>
      <c r="Z19" s="43">
        <f>16*2499</f>
        <v>39984</v>
      </c>
      <c r="AA19" s="51">
        <f t="shared" si="4"/>
        <v>41255.440000000002</v>
      </c>
      <c r="AB19" s="43">
        <v>340.18200000000002</v>
      </c>
      <c r="AC19" s="43">
        <v>9.8000000000000007</v>
      </c>
      <c r="AD19" s="51">
        <f t="shared" si="5"/>
        <v>41605.422000000006</v>
      </c>
      <c r="AE19" s="18" t="s">
        <v>38</v>
      </c>
      <c r="AF19" s="18" t="s">
        <v>39</v>
      </c>
      <c r="AG19" s="21"/>
      <c r="AH19" s="16"/>
      <c r="AI19" s="44"/>
      <c r="AJ19" s="44"/>
      <c r="AK19" s="44"/>
      <c r="AL19" s="45"/>
      <c r="AM19" s="46">
        <v>1</v>
      </c>
      <c r="AN19" s="16" t="s">
        <v>10</v>
      </c>
      <c r="AO19" s="44" t="s">
        <v>11</v>
      </c>
      <c r="AP19" s="44" t="s">
        <v>14</v>
      </c>
      <c r="AQ19" s="44" t="s">
        <v>15</v>
      </c>
      <c r="AR19" s="46">
        <v>10500</v>
      </c>
      <c r="AS19" s="180"/>
    </row>
    <row r="20" spans="1:45" s="146" customFormat="1" ht="72.599999999999994" customHeight="1" x14ac:dyDescent="0.35">
      <c r="A20" s="16">
        <v>5</v>
      </c>
      <c r="B20" s="16">
        <v>6</v>
      </c>
      <c r="C20" s="17" t="s">
        <v>186</v>
      </c>
      <c r="D20" s="18" t="s">
        <v>33</v>
      </c>
      <c r="E20" s="18" t="s">
        <v>127</v>
      </c>
      <c r="F20" s="18" t="s">
        <v>10</v>
      </c>
      <c r="G20" s="16" t="s">
        <v>11</v>
      </c>
      <c r="H20" s="19" t="s">
        <v>61</v>
      </c>
      <c r="I20" s="98">
        <v>16000</v>
      </c>
      <c r="J20" s="16">
        <v>2006</v>
      </c>
      <c r="K20" s="68">
        <f t="shared" si="0"/>
        <v>-8</v>
      </c>
      <c r="L20" s="44" t="s">
        <v>15</v>
      </c>
      <c r="M20" s="43">
        <v>15.5</v>
      </c>
      <c r="N20" s="43">
        <v>18.5</v>
      </c>
      <c r="O20" s="51">
        <f>P20/21</f>
        <v>69.047619047619051</v>
      </c>
      <c r="P20" s="43">
        <v>1450</v>
      </c>
      <c r="Q20" s="64">
        <f>+P20*N20/100</f>
        <v>268.25</v>
      </c>
      <c r="R20" s="43">
        <f>Q20*410/1000</f>
        <v>109.9825</v>
      </c>
      <c r="S20" s="64">
        <f t="shared" si="1"/>
        <v>410</v>
      </c>
      <c r="T20" s="43">
        <v>0</v>
      </c>
      <c r="U20" s="43">
        <v>0</v>
      </c>
      <c r="V20" s="65">
        <f t="shared" si="2"/>
        <v>109.9825</v>
      </c>
      <c r="W20" s="65">
        <f t="shared" si="3"/>
        <v>1319.79</v>
      </c>
      <c r="X20" s="43">
        <v>120</v>
      </c>
      <c r="Y20" s="43">
        <v>0</v>
      </c>
      <c r="Z20" s="43">
        <f>15*2499/1000</f>
        <v>37.484999999999999</v>
      </c>
      <c r="AA20" s="51">
        <f t="shared" si="4"/>
        <v>1477.2749999999999</v>
      </c>
      <c r="AB20" s="43">
        <v>343.76260000000002</v>
      </c>
      <c r="AC20" s="43">
        <v>9.8000000000000007</v>
      </c>
      <c r="AD20" s="51">
        <f t="shared" si="5"/>
        <v>1830.8375999999998</v>
      </c>
      <c r="AE20" s="18" t="s">
        <v>38</v>
      </c>
      <c r="AF20" s="18" t="s">
        <v>39</v>
      </c>
      <c r="AG20" s="21"/>
      <c r="AH20" s="16"/>
      <c r="AI20" s="44"/>
      <c r="AJ20" s="44"/>
      <c r="AK20" s="44"/>
      <c r="AL20" s="45"/>
      <c r="AM20" s="46">
        <v>1</v>
      </c>
      <c r="AN20" s="16" t="s">
        <v>10</v>
      </c>
      <c r="AO20" s="44" t="s">
        <v>11</v>
      </c>
      <c r="AP20" s="44" t="s">
        <v>14</v>
      </c>
      <c r="AQ20" s="44" t="s">
        <v>15</v>
      </c>
      <c r="AR20" s="46">
        <v>10500</v>
      </c>
      <c r="AS20" s="180"/>
    </row>
    <row r="21" spans="1:45" s="146" customFormat="1" ht="78.599999999999994" customHeight="1" x14ac:dyDescent="0.35">
      <c r="A21" s="16">
        <v>6</v>
      </c>
      <c r="B21" s="16">
        <v>7</v>
      </c>
      <c r="C21" s="93" t="s">
        <v>187</v>
      </c>
      <c r="D21" s="18" t="s">
        <v>33</v>
      </c>
      <c r="E21" s="18" t="s">
        <v>173</v>
      </c>
      <c r="F21" s="18" t="s">
        <v>10</v>
      </c>
      <c r="G21" s="16" t="s">
        <v>11</v>
      </c>
      <c r="H21" s="19" t="s">
        <v>26</v>
      </c>
      <c r="I21" s="98">
        <v>4360</v>
      </c>
      <c r="J21" s="16">
        <v>2004</v>
      </c>
      <c r="K21" s="68">
        <f t="shared" si="0"/>
        <v>-10</v>
      </c>
      <c r="L21" s="44" t="s">
        <v>15</v>
      </c>
      <c r="M21" s="43">
        <v>12</v>
      </c>
      <c r="N21" s="43">
        <v>14</v>
      </c>
      <c r="O21" s="51">
        <f>P21/21</f>
        <v>0</v>
      </c>
      <c r="P21" s="43"/>
      <c r="Q21" s="64">
        <f>+P21*N21/100</f>
        <v>0</v>
      </c>
      <c r="R21" s="43"/>
      <c r="S21" s="64" t="e">
        <f t="shared" si="1"/>
        <v>#DIV/0!</v>
      </c>
      <c r="T21" s="43"/>
      <c r="U21" s="43"/>
      <c r="V21" s="65">
        <f t="shared" si="2"/>
        <v>0</v>
      </c>
      <c r="W21" s="65">
        <f t="shared" si="3"/>
        <v>0</v>
      </c>
      <c r="X21" s="43"/>
      <c r="Y21" s="43"/>
      <c r="Z21" s="43"/>
      <c r="AA21" s="51">
        <f t="shared" si="4"/>
        <v>0</v>
      </c>
      <c r="AB21" s="43"/>
      <c r="AC21" s="43">
        <v>9.8000000000000007</v>
      </c>
      <c r="AD21" s="51">
        <f t="shared" si="5"/>
        <v>9.8000000000000007</v>
      </c>
      <c r="AE21" s="18" t="s">
        <v>38</v>
      </c>
      <c r="AF21" s="18" t="s">
        <v>39</v>
      </c>
      <c r="AG21" s="21"/>
      <c r="AH21" s="16"/>
      <c r="AI21" s="44"/>
      <c r="AJ21" s="44"/>
      <c r="AK21" s="44"/>
      <c r="AL21" s="45"/>
      <c r="AM21" s="46">
        <v>1</v>
      </c>
      <c r="AN21" s="16" t="s">
        <v>10</v>
      </c>
      <c r="AO21" s="44" t="s">
        <v>11</v>
      </c>
      <c r="AP21" s="44" t="s">
        <v>14</v>
      </c>
      <c r="AQ21" s="44" t="s">
        <v>15</v>
      </c>
      <c r="AR21" s="46">
        <v>10500</v>
      </c>
      <c r="AS21" s="181"/>
    </row>
    <row r="22" spans="1:45" s="146" customFormat="1" ht="41.25" customHeight="1" x14ac:dyDescent="0.35">
      <c r="A22" s="16"/>
      <c r="B22" s="134"/>
      <c r="C22" s="15" t="s">
        <v>254</v>
      </c>
      <c r="D22" s="18"/>
      <c r="E22" s="16"/>
      <c r="F22" s="18"/>
      <c r="G22" s="16"/>
      <c r="H22" s="19"/>
      <c r="I22" s="98"/>
      <c r="J22" s="16"/>
      <c r="K22" s="68">
        <f t="shared" si="0"/>
        <v>-2014</v>
      </c>
      <c r="L22" s="44"/>
      <c r="M22" s="43"/>
      <c r="N22" s="43"/>
      <c r="O22" s="51">
        <f>P22/21</f>
        <v>0</v>
      </c>
      <c r="P22" s="43"/>
      <c r="Q22" s="64">
        <f>+P22*N22/100</f>
        <v>0</v>
      </c>
      <c r="R22" s="43"/>
      <c r="S22" s="64" t="e">
        <f t="shared" si="1"/>
        <v>#DIV/0!</v>
      </c>
      <c r="T22" s="43"/>
      <c r="U22" s="43"/>
      <c r="V22" s="65">
        <f t="shared" si="2"/>
        <v>0</v>
      </c>
      <c r="W22" s="65">
        <f t="shared" si="3"/>
        <v>0</v>
      </c>
      <c r="X22" s="43"/>
      <c r="Y22" s="43"/>
      <c r="Z22" s="43"/>
      <c r="AA22" s="51">
        <f t="shared" si="4"/>
        <v>0</v>
      </c>
      <c r="AB22" s="43"/>
      <c r="AC22" s="43"/>
      <c r="AD22" s="51">
        <f t="shared" si="5"/>
        <v>0</v>
      </c>
      <c r="AE22" s="18"/>
      <c r="AF22" s="18"/>
      <c r="AG22" s="21"/>
      <c r="AH22" s="16"/>
      <c r="AI22" s="44"/>
      <c r="AJ22" s="44"/>
      <c r="AK22" s="44"/>
      <c r="AL22" s="45"/>
      <c r="AM22" s="46"/>
      <c r="AN22" s="16"/>
      <c r="AO22" s="44"/>
      <c r="AP22" s="44"/>
      <c r="AQ22" s="44"/>
      <c r="AR22" s="46"/>
      <c r="AS22" s="18"/>
    </row>
    <row r="23" spans="1:45" s="146" customFormat="1" x14ac:dyDescent="0.35">
      <c r="A23" s="14">
        <v>1</v>
      </c>
      <c r="B23" s="133"/>
      <c r="C23" s="116" t="s">
        <v>69</v>
      </c>
      <c r="D23" s="106"/>
      <c r="E23" s="106"/>
      <c r="F23" s="106"/>
      <c r="G23" s="10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6"/>
      <c r="AH23" s="106"/>
      <c r="AI23" s="106"/>
      <c r="AJ23" s="106"/>
      <c r="AK23" s="106"/>
      <c r="AL23" s="106"/>
      <c r="AM23" s="106"/>
      <c r="AN23" s="106"/>
      <c r="AO23" s="106"/>
      <c r="AP23" s="106"/>
      <c r="AQ23" s="106"/>
      <c r="AR23" s="106"/>
      <c r="AS23" s="106"/>
    </row>
    <row r="24" spans="1:45" s="146" customFormat="1" ht="54" customHeight="1" x14ac:dyDescent="0.35">
      <c r="A24" s="16">
        <v>1</v>
      </c>
      <c r="B24" s="16">
        <v>1</v>
      </c>
      <c r="C24" s="182" t="s">
        <v>176</v>
      </c>
      <c r="D24" s="18" t="s">
        <v>32</v>
      </c>
      <c r="E24" s="18" t="s">
        <v>177</v>
      </c>
      <c r="F24" s="18" t="s">
        <v>10</v>
      </c>
      <c r="G24" s="16" t="s">
        <v>11</v>
      </c>
      <c r="H24" s="19" t="s">
        <v>61</v>
      </c>
      <c r="I24" s="98">
        <v>5554.2</v>
      </c>
      <c r="J24" s="16">
        <v>2011</v>
      </c>
      <c r="K24" s="68">
        <f>IF(J24="մինչև 2000","օգտակար ծառայության ժամկետը սպառված է",10-($K$12-J24))</f>
        <v>-3</v>
      </c>
      <c r="L24" s="44" t="s">
        <v>15</v>
      </c>
      <c r="M24" s="43">
        <v>10.5</v>
      </c>
      <c r="N24" s="43">
        <v>17.5</v>
      </c>
      <c r="O24" s="51">
        <f>P24/21</f>
        <v>80.952380952380949</v>
      </c>
      <c r="P24" s="43">
        <v>1700</v>
      </c>
      <c r="Q24" s="64">
        <v>300</v>
      </c>
      <c r="R24" s="43">
        <f>SUM(S24*Q24)/1000</f>
        <v>135</v>
      </c>
      <c r="S24" s="64">
        <v>450</v>
      </c>
      <c r="T24" s="43">
        <v>0</v>
      </c>
      <c r="U24" s="43">
        <v>0</v>
      </c>
      <c r="V24" s="65">
        <v>135</v>
      </c>
      <c r="W24" s="65">
        <f>V24*12</f>
        <v>1620</v>
      </c>
      <c r="X24" s="43">
        <v>76</v>
      </c>
      <c r="Y24" s="43">
        <v>0</v>
      </c>
      <c r="Z24" s="43">
        <v>400</v>
      </c>
      <c r="AA24" s="51">
        <f t="shared" ref="AA24:AA32" si="6">SUM(W24:Z24)</f>
        <v>2096</v>
      </c>
      <c r="AB24" s="43">
        <v>400</v>
      </c>
      <c r="AC24" s="43">
        <v>11</v>
      </c>
      <c r="AD24" s="51">
        <f t="shared" ref="AD24:AD35" si="7">SUM(AA24:AC24)</f>
        <v>2507</v>
      </c>
      <c r="AE24" s="18"/>
      <c r="AF24" s="18"/>
      <c r="AG24" s="21"/>
      <c r="AH24" s="16"/>
      <c r="AI24" s="44"/>
      <c r="AJ24" s="44"/>
      <c r="AK24" s="44"/>
      <c r="AL24" s="45"/>
      <c r="AM24" s="46">
        <v>5</v>
      </c>
      <c r="AN24" s="16" t="s">
        <v>17</v>
      </c>
      <c r="AO24" s="44" t="s">
        <v>11</v>
      </c>
      <c r="AP24" s="44" t="s">
        <v>61</v>
      </c>
      <c r="AQ24" s="44" t="s">
        <v>15</v>
      </c>
      <c r="AR24" s="46">
        <v>16000</v>
      </c>
      <c r="AS24" s="179" t="s">
        <v>235</v>
      </c>
    </row>
    <row r="25" spans="1:45" s="146" customFormat="1" ht="39" customHeight="1" x14ac:dyDescent="0.35">
      <c r="A25" s="16">
        <v>2</v>
      </c>
      <c r="B25" s="16">
        <v>2</v>
      </c>
      <c r="C25" s="183"/>
      <c r="D25" s="18" t="s">
        <v>32</v>
      </c>
      <c r="E25" s="18" t="s">
        <v>178</v>
      </c>
      <c r="F25" s="18" t="s">
        <v>20</v>
      </c>
      <c r="G25" s="16" t="s">
        <v>11</v>
      </c>
      <c r="H25" s="19" t="s">
        <v>61</v>
      </c>
      <c r="I25" s="98">
        <v>15400</v>
      </c>
      <c r="J25" s="16">
        <v>2023</v>
      </c>
      <c r="K25" s="68">
        <f>IF(J25="մինչև 2000","օգտակար ծառայության ժամկետը սպառված է",10-($K$12-J25))</f>
        <v>9</v>
      </c>
      <c r="L25" s="44" t="s">
        <v>15</v>
      </c>
      <c r="M25" s="43">
        <v>10.7</v>
      </c>
      <c r="N25" s="43">
        <v>10.7</v>
      </c>
      <c r="O25" s="51">
        <f t="shared" ref="O25:O39" si="8">P25/21</f>
        <v>0</v>
      </c>
      <c r="P25" s="43">
        <v>0</v>
      </c>
      <c r="Q25" s="64">
        <v>0</v>
      </c>
      <c r="R25" s="43">
        <v>0</v>
      </c>
      <c r="S25" s="64" t="e">
        <f>+R25*1000/Q25</f>
        <v>#DIV/0!</v>
      </c>
      <c r="T25" s="43">
        <v>0</v>
      </c>
      <c r="U25" s="43">
        <v>0</v>
      </c>
      <c r="V25" s="65">
        <f t="shared" ref="V25:V32" si="9">(R25+U25)</f>
        <v>0</v>
      </c>
      <c r="W25" s="65">
        <f>V25*12</f>
        <v>0</v>
      </c>
      <c r="X25" s="43"/>
      <c r="Y25" s="43">
        <v>0</v>
      </c>
      <c r="Z25" s="43">
        <v>0</v>
      </c>
      <c r="AA25" s="51">
        <f t="shared" si="6"/>
        <v>0</v>
      </c>
      <c r="AB25" s="43"/>
      <c r="AC25" s="43">
        <v>11</v>
      </c>
      <c r="AD25" s="51">
        <f t="shared" si="7"/>
        <v>11</v>
      </c>
      <c r="AE25" s="18"/>
      <c r="AF25" s="18"/>
      <c r="AG25" s="21"/>
      <c r="AH25" s="16"/>
      <c r="AI25" s="44"/>
      <c r="AJ25" s="44"/>
      <c r="AK25" s="44"/>
      <c r="AL25" s="45"/>
      <c r="AM25" s="46"/>
      <c r="AN25" s="16"/>
      <c r="AO25" s="44"/>
      <c r="AP25" s="44"/>
      <c r="AQ25" s="44"/>
      <c r="AR25" s="46"/>
      <c r="AS25" s="180"/>
    </row>
    <row r="26" spans="1:45" s="146" customFormat="1" ht="40.5" customHeight="1" x14ac:dyDescent="0.35">
      <c r="A26" s="16">
        <v>1</v>
      </c>
      <c r="B26" s="16">
        <v>3</v>
      </c>
      <c r="C26" s="17" t="s">
        <v>202</v>
      </c>
      <c r="D26" s="18" t="s">
        <v>72</v>
      </c>
      <c r="E26" s="18" t="s">
        <v>179</v>
      </c>
      <c r="F26" s="16" t="s">
        <v>10</v>
      </c>
      <c r="G26" s="16" t="s">
        <v>11</v>
      </c>
      <c r="H26" s="19" t="s">
        <v>14</v>
      </c>
      <c r="I26" s="98">
        <v>5280</v>
      </c>
      <c r="J26" s="16">
        <v>2015</v>
      </c>
      <c r="K26" s="68">
        <f t="shared" ref="K26:K44" si="10">IF(J26="մինչև 2000","օգտակար ծառայության ժամկետը սպառված է",10-($K$12-J26))</f>
        <v>1</v>
      </c>
      <c r="L26" s="44" t="s">
        <v>15</v>
      </c>
      <c r="M26" s="43">
        <v>9.1999999999999993</v>
      </c>
      <c r="N26" s="43">
        <v>9.8000000000000007</v>
      </c>
      <c r="O26" s="51">
        <f t="shared" si="8"/>
        <v>72.857142857142861</v>
      </c>
      <c r="P26" s="43">
        <v>1530</v>
      </c>
      <c r="Q26" s="64">
        <v>150</v>
      </c>
      <c r="R26" s="43">
        <f t="shared" ref="R26:R32" si="11">SUM(S26*Q26)/1000</f>
        <v>67.5</v>
      </c>
      <c r="S26" s="64">
        <v>450</v>
      </c>
      <c r="T26" s="43">
        <v>0</v>
      </c>
      <c r="U26" s="43">
        <v>0</v>
      </c>
      <c r="V26" s="65">
        <f t="shared" si="9"/>
        <v>67.5</v>
      </c>
      <c r="W26" s="65">
        <f>V26*12</f>
        <v>810</v>
      </c>
      <c r="X26" s="43">
        <v>171</v>
      </c>
      <c r="Y26" s="43">
        <v>0</v>
      </c>
      <c r="Z26" s="43">
        <v>400</v>
      </c>
      <c r="AA26" s="51">
        <f t="shared" si="6"/>
        <v>1381</v>
      </c>
      <c r="AB26" s="43"/>
      <c r="AC26" s="43">
        <v>11</v>
      </c>
      <c r="AD26" s="51">
        <f t="shared" si="7"/>
        <v>1392</v>
      </c>
      <c r="AE26" s="18"/>
      <c r="AF26" s="18"/>
      <c r="AG26" s="21"/>
      <c r="AH26" s="16"/>
      <c r="AI26" s="44"/>
      <c r="AJ26" s="44"/>
      <c r="AK26" s="44"/>
      <c r="AL26" s="45"/>
      <c r="AM26" s="46"/>
      <c r="AN26" s="16"/>
      <c r="AO26" s="44"/>
      <c r="AP26" s="44"/>
      <c r="AQ26" s="44"/>
      <c r="AR26" s="46"/>
      <c r="AS26" s="180"/>
    </row>
    <row r="27" spans="1:45" s="146" customFormat="1" ht="42" customHeight="1" x14ac:dyDescent="0.35">
      <c r="A27" s="16">
        <v>2</v>
      </c>
      <c r="B27" s="16">
        <v>4</v>
      </c>
      <c r="C27" s="17" t="s">
        <v>202</v>
      </c>
      <c r="D27" s="18" t="s">
        <v>72</v>
      </c>
      <c r="E27" s="18" t="s">
        <v>180</v>
      </c>
      <c r="F27" s="16" t="s">
        <v>10</v>
      </c>
      <c r="G27" s="16" t="s">
        <v>11</v>
      </c>
      <c r="H27" s="19" t="s">
        <v>14</v>
      </c>
      <c r="I27" s="98">
        <v>5280</v>
      </c>
      <c r="J27" s="16">
        <v>2015</v>
      </c>
      <c r="K27" s="68">
        <f t="shared" si="10"/>
        <v>1</v>
      </c>
      <c r="L27" s="44" t="s">
        <v>15</v>
      </c>
      <c r="M27" s="43">
        <v>9.1999999999999993</v>
      </c>
      <c r="N27" s="43">
        <v>9.8000000000000007</v>
      </c>
      <c r="O27" s="51">
        <f t="shared" si="8"/>
        <v>145.71428571428572</v>
      </c>
      <c r="P27" s="43">
        <v>3060</v>
      </c>
      <c r="Q27" s="64">
        <v>300</v>
      </c>
      <c r="R27" s="43">
        <f t="shared" si="11"/>
        <v>135</v>
      </c>
      <c r="S27" s="64">
        <v>450</v>
      </c>
      <c r="T27" s="43">
        <v>0</v>
      </c>
      <c r="U27" s="43">
        <v>0</v>
      </c>
      <c r="V27" s="65">
        <f t="shared" si="9"/>
        <v>135</v>
      </c>
      <c r="W27" s="65">
        <f t="shared" ref="W27:W40" si="12">V27*12</f>
        <v>1620</v>
      </c>
      <c r="X27" s="43">
        <v>174</v>
      </c>
      <c r="Y27" s="43">
        <v>0</v>
      </c>
      <c r="Z27" s="43">
        <v>400</v>
      </c>
      <c r="AA27" s="51">
        <f t="shared" si="6"/>
        <v>2194</v>
      </c>
      <c r="AB27" s="43"/>
      <c r="AC27" s="43">
        <v>11</v>
      </c>
      <c r="AD27" s="51">
        <f t="shared" si="7"/>
        <v>2205</v>
      </c>
      <c r="AE27" s="18"/>
      <c r="AF27" s="18"/>
      <c r="AG27" s="21"/>
      <c r="AH27" s="16"/>
      <c r="AI27" s="44"/>
      <c r="AJ27" s="44"/>
      <c r="AK27" s="44"/>
      <c r="AL27" s="45"/>
      <c r="AM27" s="46"/>
      <c r="AN27" s="16"/>
      <c r="AO27" s="44"/>
      <c r="AP27" s="44"/>
      <c r="AQ27" s="44"/>
      <c r="AR27" s="46"/>
      <c r="AS27" s="180"/>
    </row>
    <row r="28" spans="1:45" s="146" customFormat="1" ht="45.75" customHeight="1" x14ac:dyDescent="0.35">
      <c r="A28" s="16">
        <v>4</v>
      </c>
      <c r="B28" s="16">
        <v>5</v>
      </c>
      <c r="C28" s="17" t="s">
        <v>202</v>
      </c>
      <c r="D28" s="18" t="s">
        <v>72</v>
      </c>
      <c r="E28" s="18" t="s">
        <v>188</v>
      </c>
      <c r="F28" s="16" t="s">
        <v>10</v>
      </c>
      <c r="G28" s="16" t="s">
        <v>11</v>
      </c>
      <c r="H28" s="19" t="s">
        <v>14</v>
      </c>
      <c r="I28" s="98">
        <v>5280</v>
      </c>
      <c r="J28" s="16">
        <v>2015</v>
      </c>
      <c r="K28" s="68">
        <f t="shared" si="10"/>
        <v>1</v>
      </c>
      <c r="L28" s="44" t="s">
        <v>15</v>
      </c>
      <c r="M28" s="43">
        <v>9.1999999999999993</v>
      </c>
      <c r="N28" s="43">
        <v>9.8000000000000007</v>
      </c>
      <c r="O28" s="51">
        <f t="shared" si="8"/>
        <v>150</v>
      </c>
      <c r="P28" s="43">
        <v>3150</v>
      </c>
      <c r="Q28" s="64">
        <v>310</v>
      </c>
      <c r="R28" s="43">
        <f t="shared" si="11"/>
        <v>139.5</v>
      </c>
      <c r="S28" s="64">
        <v>450</v>
      </c>
      <c r="T28" s="43">
        <v>0</v>
      </c>
      <c r="U28" s="43">
        <v>0</v>
      </c>
      <c r="V28" s="65">
        <f t="shared" si="9"/>
        <v>139.5</v>
      </c>
      <c r="W28" s="65">
        <f t="shared" si="12"/>
        <v>1674</v>
      </c>
      <c r="X28" s="43">
        <v>174</v>
      </c>
      <c r="Y28" s="43">
        <v>21</v>
      </c>
      <c r="Z28" s="43">
        <v>400</v>
      </c>
      <c r="AA28" s="51">
        <f t="shared" si="6"/>
        <v>2269</v>
      </c>
      <c r="AB28" s="43"/>
      <c r="AC28" s="43">
        <v>11</v>
      </c>
      <c r="AD28" s="51">
        <f t="shared" si="7"/>
        <v>2280</v>
      </c>
      <c r="AE28" s="18"/>
      <c r="AF28" s="18"/>
      <c r="AG28" s="21"/>
      <c r="AH28" s="16"/>
      <c r="AI28" s="44"/>
      <c r="AJ28" s="44"/>
      <c r="AK28" s="44"/>
      <c r="AL28" s="45"/>
      <c r="AM28" s="46"/>
      <c r="AN28" s="16"/>
      <c r="AO28" s="44"/>
      <c r="AP28" s="44"/>
      <c r="AQ28" s="44"/>
      <c r="AR28" s="46"/>
      <c r="AS28" s="180"/>
    </row>
    <row r="29" spans="1:45" s="146" customFormat="1" ht="35.25" customHeight="1" x14ac:dyDescent="0.35">
      <c r="A29" s="16">
        <v>4</v>
      </c>
      <c r="B29" s="16">
        <v>6</v>
      </c>
      <c r="C29" s="17" t="s">
        <v>202</v>
      </c>
      <c r="D29" s="18" t="s">
        <v>72</v>
      </c>
      <c r="E29" s="18" t="s">
        <v>181</v>
      </c>
      <c r="F29" s="16" t="s">
        <v>10</v>
      </c>
      <c r="G29" s="16" t="s">
        <v>11</v>
      </c>
      <c r="H29" s="19" t="s">
        <v>14</v>
      </c>
      <c r="I29" s="98">
        <v>5280</v>
      </c>
      <c r="J29" s="16">
        <v>2015</v>
      </c>
      <c r="K29" s="68">
        <f t="shared" si="10"/>
        <v>1</v>
      </c>
      <c r="L29" s="44" t="s">
        <v>15</v>
      </c>
      <c r="M29" s="43">
        <v>9.1999999999999993</v>
      </c>
      <c r="N29" s="43">
        <v>9.8000000000000007</v>
      </c>
      <c r="O29" s="51">
        <f t="shared" si="8"/>
        <v>150</v>
      </c>
      <c r="P29" s="43">
        <v>3150</v>
      </c>
      <c r="Q29" s="64">
        <v>310</v>
      </c>
      <c r="R29" s="43">
        <f t="shared" si="11"/>
        <v>139.5</v>
      </c>
      <c r="S29" s="64">
        <v>450</v>
      </c>
      <c r="T29" s="43">
        <v>0</v>
      </c>
      <c r="U29" s="43">
        <v>0</v>
      </c>
      <c r="V29" s="65">
        <f t="shared" si="9"/>
        <v>139.5</v>
      </c>
      <c r="W29" s="65">
        <f t="shared" si="12"/>
        <v>1674</v>
      </c>
      <c r="X29" s="43">
        <v>174</v>
      </c>
      <c r="Y29" s="43">
        <v>21</v>
      </c>
      <c r="Z29" s="43">
        <v>400</v>
      </c>
      <c r="AA29" s="51">
        <f t="shared" si="6"/>
        <v>2269</v>
      </c>
      <c r="AB29" s="43"/>
      <c r="AC29" s="43">
        <v>11</v>
      </c>
      <c r="AD29" s="51">
        <f t="shared" si="7"/>
        <v>2280</v>
      </c>
      <c r="AE29" s="18"/>
      <c r="AF29" s="18"/>
      <c r="AG29" s="21"/>
      <c r="AH29" s="16"/>
      <c r="AI29" s="44"/>
      <c r="AJ29" s="44"/>
      <c r="AK29" s="44"/>
      <c r="AL29" s="45"/>
      <c r="AM29" s="46"/>
      <c r="AN29" s="16"/>
      <c r="AO29" s="44"/>
      <c r="AP29" s="44"/>
      <c r="AQ29" s="44"/>
      <c r="AR29" s="46"/>
      <c r="AS29" s="180"/>
    </row>
    <row r="30" spans="1:45" s="147" customFormat="1" ht="41.25" customHeight="1" x14ac:dyDescent="0.35">
      <c r="A30" s="75">
        <v>5</v>
      </c>
      <c r="B30" s="16">
        <v>7</v>
      </c>
      <c r="C30" s="17" t="s">
        <v>202</v>
      </c>
      <c r="D30" s="139" t="s">
        <v>72</v>
      </c>
      <c r="E30" s="139" t="s">
        <v>182</v>
      </c>
      <c r="F30" s="75" t="s">
        <v>10</v>
      </c>
      <c r="G30" s="75" t="s">
        <v>11</v>
      </c>
      <c r="H30" s="79" t="s">
        <v>61</v>
      </c>
      <c r="I30" s="99">
        <v>22268.1</v>
      </c>
      <c r="J30" s="75">
        <v>2016</v>
      </c>
      <c r="K30" s="80">
        <f t="shared" si="10"/>
        <v>2</v>
      </c>
      <c r="L30" s="81" t="s">
        <v>18</v>
      </c>
      <c r="M30" s="137">
        <v>12.8</v>
      </c>
      <c r="N30" s="137">
        <v>22</v>
      </c>
      <c r="O30" s="51">
        <f t="shared" si="8"/>
        <v>190.95238095238096</v>
      </c>
      <c r="P30" s="137">
        <v>4010</v>
      </c>
      <c r="Q30" s="64">
        <v>670</v>
      </c>
      <c r="R30" s="137">
        <f t="shared" si="11"/>
        <v>301.5</v>
      </c>
      <c r="S30" s="64">
        <v>450</v>
      </c>
      <c r="T30" s="137">
        <v>0</v>
      </c>
      <c r="U30" s="137">
        <v>0</v>
      </c>
      <c r="V30" s="83">
        <f t="shared" si="9"/>
        <v>301.5</v>
      </c>
      <c r="W30" s="83">
        <f t="shared" si="12"/>
        <v>3618</v>
      </c>
      <c r="X30" s="137">
        <v>160</v>
      </c>
      <c r="Y30" s="137">
        <v>47</v>
      </c>
      <c r="Z30" s="137">
        <v>400</v>
      </c>
      <c r="AA30" s="138">
        <f t="shared" si="6"/>
        <v>4225</v>
      </c>
      <c r="AB30" s="137"/>
      <c r="AC30" s="137">
        <v>11</v>
      </c>
      <c r="AD30" s="138">
        <f t="shared" si="7"/>
        <v>4236</v>
      </c>
      <c r="AE30" s="139"/>
      <c r="AF30" s="139"/>
      <c r="AG30" s="75"/>
      <c r="AH30" s="75"/>
      <c r="AI30" s="81"/>
      <c r="AJ30" s="81"/>
      <c r="AK30" s="81"/>
      <c r="AL30" s="81"/>
      <c r="AM30" s="84"/>
      <c r="AN30" s="75"/>
      <c r="AO30" s="81"/>
      <c r="AP30" s="81"/>
      <c r="AQ30" s="81"/>
      <c r="AR30" s="84"/>
      <c r="AS30" s="180"/>
    </row>
    <row r="31" spans="1:45" s="147" customFormat="1" ht="40.5" x14ac:dyDescent="0.35">
      <c r="A31" s="75">
        <v>6</v>
      </c>
      <c r="B31" s="16">
        <v>8</v>
      </c>
      <c r="C31" s="17" t="s">
        <v>202</v>
      </c>
      <c r="D31" s="139" t="s">
        <v>72</v>
      </c>
      <c r="E31" s="139" t="s">
        <v>183</v>
      </c>
      <c r="F31" s="75" t="s">
        <v>10</v>
      </c>
      <c r="G31" s="75" t="s">
        <v>11</v>
      </c>
      <c r="H31" s="79" t="s">
        <v>61</v>
      </c>
      <c r="I31" s="99">
        <v>4650</v>
      </c>
      <c r="J31" s="75">
        <v>2004</v>
      </c>
      <c r="K31" s="80">
        <f t="shared" si="10"/>
        <v>-10</v>
      </c>
      <c r="L31" s="81" t="s">
        <v>15</v>
      </c>
      <c r="M31" s="137">
        <v>11.9</v>
      </c>
      <c r="N31" s="137">
        <v>20.5</v>
      </c>
      <c r="O31" s="51">
        <f t="shared" si="8"/>
        <v>144.04761904761904</v>
      </c>
      <c r="P31" s="137">
        <v>3025</v>
      </c>
      <c r="Q31" s="64">
        <v>620</v>
      </c>
      <c r="R31" s="137">
        <f t="shared" si="11"/>
        <v>279</v>
      </c>
      <c r="S31" s="64">
        <v>450</v>
      </c>
      <c r="T31" s="137">
        <v>0</v>
      </c>
      <c r="U31" s="137">
        <v>0</v>
      </c>
      <c r="V31" s="83">
        <f t="shared" si="9"/>
        <v>279</v>
      </c>
      <c r="W31" s="83">
        <f t="shared" si="12"/>
        <v>3348</v>
      </c>
      <c r="X31" s="137">
        <v>124</v>
      </c>
      <c r="Y31" s="137">
        <v>47</v>
      </c>
      <c r="Z31" s="137">
        <v>400</v>
      </c>
      <c r="AA31" s="138">
        <f t="shared" si="6"/>
        <v>3919</v>
      </c>
      <c r="AB31" s="137"/>
      <c r="AC31" s="137">
        <v>11</v>
      </c>
      <c r="AD31" s="138">
        <f t="shared" si="7"/>
        <v>3930</v>
      </c>
      <c r="AE31" s="139"/>
      <c r="AF31" s="139"/>
      <c r="AG31" s="75"/>
      <c r="AH31" s="75"/>
      <c r="AI31" s="81"/>
      <c r="AJ31" s="81"/>
      <c r="AK31" s="81"/>
      <c r="AL31" s="81"/>
      <c r="AM31" s="84"/>
      <c r="AN31" s="75"/>
      <c r="AO31" s="81"/>
      <c r="AP31" s="81"/>
      <c r="AQ31" s="81"/>
      <c r="AR31" s="84"/>
      <c r="AS31" s="180"/>
    </row>
    <row r="32" spans="1:45" s="147" customFormat="1" ht="40.5" x14ac:dyDescent="0.35">
      <c r="A32" s="75">
        <v>7</v>
      </c>
      <c r="B32" s="16">
        <v>9</v>
      </c>
      <c r="C32" s="17" t="s">
        <v>202</v>
      </c>
      <c r="D32" s="139" t="s">
        <v>72</v>
      </c>
      <c r="E32" s="139" t="s">
        <v>184</v>
      </c>
      <c r="F32" s="139" t="s">
        <v>20</v>
      </c>
      <c r="G32" s="75" t="s">
        <v>11</v>
      </c>
      <c r="H32" s="79" t="s">
        <v>14</v>
      </c>
      <c r="I32" s="99">
        <v>3696</v>
      </c>
      <c r="J32" s="75">
        <v>2006</v>
      </c>
      <c r="K32" s="80">
        <f t="shared" si="10"/>
        <v>-8</v>
      </c>
      <c r="L32" s="81" t="s">
        <v>15</v>
      </c>
      <c r="M32" s="137">
        <v>8.5</v>
      </c>
      <c r="N32" s="137">
        <v>11</v>
      </c>
      <c r="O32" s="51">
        <f t="shared" si="8"/>
        <v>95.952380952380949</v>
      </c>
      <c r="P32" s="137">
        <v>2015</v>
      </c>
      <c r="Q32" s="64">
        <v>220</v>
      </c>
      <c r="R32" s="137">
        <f t="shared" si="11"/>
        <v>99</v>
      </c>
      <c r="S32" s="64">
        <v>450</v>
      </c>
      <c r="T32" s="137">
        <v>0</v>
      </c>
      <c r="U32" s="137"/>
      <c r="V32" s="83">
        <f t="shared" si="9"/>
        <v>99</v>
      </c>
      <c r="W32" s="83">
        <f t="shared" si="12"/>
        <v>1188</v>
      </c>
      <c r="X32" s="137">
        <v>62</v>
      </c>
      <c r="Y32" s="137">
        <v>22</v>
      </c>
      <c r="Z32" s="137">
        <v>400</v>
      </c>
      <c r="AA32" s="138">
        <f t="shared" si="6"/>
        <v>1672</v>
      </c>
      <c r="AB32" s="137"/>
      <c r="AC32" s="137">
        <v>11</v>
      </c>
      <c r="AD32" s="138">
        <f t="shared" si="7"/>
        <v>1683</v>
      </c>
      <c r="AE32" s="139"/>
      <c r="AF32" s="139"/>
      <c r="AG32" s="75"/>
      <c r="AH32" s="75"/>
      <c r="AI32" s="81"/>
      <c r="AJ32" s="81"/>
      <c r="AK32" s="81"/>
      <c r="AL32" s="81"/>
      <c r="AM32" s="84"/>
      <c r="AN32" s="75"/>
      <c r="AO32" s="81"/>
      <c r="AP32" s="81"/>
      <c r="AQ32" s="81"/>
      <c r="AR32" s="84"/>
      <c r="AS32" s="180"/>
    </row>
    <row r="33" spans="1:45" s="147" customFormat="1" ht="40.5" x14ac:dyDescent="0.35">
      <c r="A33" s="75">
        <v>8</v>
      </c>
      <c r="B33" s="16">
        <v>10</v>
      </c>
      <c r="C33" s="17" t="s">
        <v>202</v>
      </c>
      <c r="D33" s="139" t="s">
        <v>72</v>
      </c>
      <c r="E33" s="139" t="s">
        <v>190</v>
      </c>
      <c r="F33" s="75" t="s">
        <v>10</v>
      </c>
      <c r="G33" s="75" t="s">
        <v>11</v>
      </c>
      <c r="H33" s="79" t="s">
        <v>26</v>
      </c>
      <c r="I33" s="99">
        <v>10700</v>
      </c>
      <c r="J33" s="75">
        <v>2022</v>
      </c>
      <c r="K33" s="80">
        <f t="shared" si="10"/>
        <v>8</v>
      </c>
      <c r="L33" s="81" t="s">
        <v>15</v>
      </c>
      <c r="M33" s="137">
        <v>9.5</v>
      </c>
      <c r="N33" s="137">
        <v>14</v>
      </c>
      <c r="O33" s="64">
        <f t="shared" si="8"/>
        <v>0</v>
      </c>
      <c r="P33" s="137"/>
      <c r="Q33" s="64">
        <f t="shared" ref="Q33:Q44" si="13">+P33*N33/100</f>
        <v>0</v>
      </c>
      <c r="R33" s="137"/>
      <c r="S33" s="64">
        <v>450</v>
      </c>
      <c r="T33" s="137"/>
      <c r="U33" s="137"/>
      <c r="V33" s="83">
        <f t="shared" ref="V33:V40" si="14">(R33+U33)</f>
        <v>0</v>
      </c>
      <c r="W33" s="83">
        <f t="shared" si="12"/>
        <v>0</v>
      </c>
      <c r="X33" s="137"/>
      <c r="Y33" s="137"/>
      <c r="Z33" s="137"/>
      <c r="AA33" s="138">
        <f t="shared" ref="AA33:AA40" si="15">SUM(W33:Z33)</f>
        <v>0</v>
      </c>
      <c r="AB33" s="137"/>
      <c r="AC33" s="137">
        <v>11</v>
      </c>
      <c r="AD33" s="138">
        <f t="shared" si="7"/>
        <v>11</v>
      </c>
      <c r="AE33" s="139"/>
      <c r="AF33" s="139"/>
      <c r="AG33" s="75"/>
      <c r="AH33" s="75"/>
      <c r="AI33" s="81"/>
      <c r="AJ33" s="81"/>
      <c r="AK33" s="81"/>
      <c r="AL33" s="81"/>
      <c r="AM33" s="84"/>
      <c r="AN33" s="75"/>
      <c r="AO33" s="81"/>
      <c r="AP33" s="81"/>
      <c r="AQ33" s="81"/>
      <c r="AR33" s="84"/>
      <c r="AS33" s="180"/>
    </row>
    <row r="34" spans="1:45" s="146" customFormat="1" ht="40.5" x14ac:dyDescent="0.35">
      <c r="A34" s="16">
        <v>9</v>
      </c>
      <c r="B34" s="16">
        <v>11</v>
      </c>
      <c r="C34" s="17" t="s">
        <v>202</v>
      </c>
      <c r="D34" s="18" t="s">
        <v>72</v>
      </c>
      <c r="E34" s="139" t="s">
        <v>191</v>
      </c>
      <c r="F34" s="16" t="s">
        <v>10</v>
      </c>
      <c r="G34" s="16" t="s">
        <v>11</v>
      </c>
      <c r="H34" s="19" t="s">
        <v>26</v>
      </c>
      <c r="I34" s="99">
        <v>10700</v>
      </c>
      <c r="J34" s="16">
        <v>2022</v>
      </c>
      <c r="K34" s="68">
        <f t="shared" si="10"/>
        <v>8</v>
      </c>
      <c r="L34" s="44" t="s">
        <v>15</v>
      </c>
      <c r="M34" s="43">
        <v>9.5</v>
      </c>
      <c r="N34" s="43">
        <v>14</v>
      </c>
      <c r="O34" s="51">
        <f>P34/21</f>
        <v>0</v>
      </c>
      <c r="P34" s="43"/>
      <c r="Q34" s="64">
        <f t="shared" si="13"/>
        <v>0</v>
      </c>
      <c r="R34" s="43"/>
      <c r="S34" s="64">
        <v>450</v>
      </c>
      <c r="T34" s="43"/>
      <c r="U34" s="43"/>
      <c r="V34" s="65">
        <f t="shared" si="14"/>
        <v>0</v>
      </c>
      <c r="W34" s="65">
        <f t="shared" si="12"/>
        <v>0</v>
      </c>
      <c r="X34" s="43"/>
      <c r="Y34" s="43"/>
      <c r="Z34" s="43"/>
      <c r="AA34" s="51">
        <f t="shared" si="15"/>
        <v>0</v>
      </c>
      <c r="AB34" s="43"/>
      <c r="AC34" s="137">
        <v>11</v>
      </c>
      <c r="AD34" s="51">
        <f t="shared" si="7"/>
        <v>11</v>
      </c>
      <c r="AE34" s="18"/>
      <c r="AF34" s="18"/>
      <c r="AG34" s="21"/>
      <c r="AH34" s="16"/>
      <c r="AI34" s="44"/>
      <c r="AJ34" s="44"/>
      <c r="AK34" s="44"/>
      <c r="AL34" s="45"/>
      <c r="AM34" s="46"/>
      <c r="AN34" s="16"/>
      <c r="AO34" s="44"/>
      <c r="AP34" s="44"/>
      <c r="AQ34" s="44"/>
      <c r="AR34" s="46"/>
      <c r="AS34" s="180"/>
    </row>
    <row r="35" spans="1:45" s="146" customFormat="1" ht="40.5" x14ac:dyDescent="0.35">
      <c r="A35" s="16">
        <v>10</v>
      </c>
      <c r="B35" s="16">
        <v>12</v>
      </c>
      <c r="C35" s="17" t="s">
        <v>202</v>
      </c>
      <c r="D35" s="18" t="s">
        <v>72</v>
      </c>
      <c r="E35" s="139" t="s">
        <v>192</v>
      </c>
      <c r="F35" s="16" t="s">
        <v>10</v>
      </c>
      <c r="G35" s="16" t="s">
        <v>11</v>
      </c>
      <c r="H35" s="19" t="s">
        <v>26</v>
      </c>
      <c r="I35" s="99">
        <v>10700</v>
      </c>
      <c r="J35" s="16">
        <v>2022</v>
      </c>
      <c r="K35" s="68">
        <f t="shared" si="10"/>
        <v>8</v>
      </c>
      <c r="L35" s="44" t="s">
        <v>15</v>
      </c>
      <c r="M35" s="43">
        <v>9.5</v>
      </c>
      <c r="N35" s="43">
        <v>14</v>
      </c>
      <c r="O35" s="51">
        <f>P35/21</f>
        <v>0</v>
      </c>
      <c r="P35" s="43"/>
      <c r="Q35" s="64">
        <f t="shared" si="13"/>
        <v>0</v>
      </c>
      <c r="R35" s="43"/>
      <c r="S35" s="64">
        <v>450</v>
      </c>
      <c r="T35" s="43"/>
      <c r="U35" s="43"/>
      <c r="V35" s="65">
        <f t="shared" si="14"/>
        <v>0</v>
      </c>
      <c r="W35" s="65">
        <f t="shared" si="12"/>
        <v>0</v>
      </c>
      <c r="X35" s="43"/>
      <c r="Y35" s="43"/>
      <c r="Z35" s="43"/>
      <c r="AA35" s="51">
        <f t="shared" si="15"/>
        <v>0</v>
      </c>
      <c r="AB35" s="43"/>
      <c r="AC35" s="137">
        <v>11</v>
      </c>
      <c r="AD35" s="51">
        <f t="shared" si="7"/>
        <v>11</v>
      </c>
      <c r="AE35" s="18"/>
      <c r="AF35" s="18"/>
      <c r="AG35" s="21"/>
      <c r="AH35" s="16"/>
      <c r="AI35" s="44"/>
      <c r="AJ35" s="44"/>
      <c r="AK35" s="44"/>
      <c r="AL35" s="45"/>
      <c r="AM35" s="46"/>
      <c r="AN35" s="16"/>
      <c r="AO35" s="44"/>
      <c r="AP35" s="44"/>
      <c r="AQ35" s="44"/>
      <c r="AR35" s="46"/>
      <c r="AS35" s="180"/>
    </row>
    <row r="36" spans="1:45" s="146" customFormat="1" ht="40.5" x14ac:dyDescent="0.35">
      <c r="A36" s="16">
        <v>11</v>
      </c>
      <c r="B36" s="16">
        <v>13</v>
      </c>
      <c r="C36" s="17" t="s">
        <v>202</v>
      </c>
      <c r="D36" s="18" t="s">
        <v>72</v>
      </c>
      <c r="E36" s="139" t="s">
        <v>193</v>
      </c>
      <c r="F36" s="16" t="s">
        <v>10</v>
      </c>
      <c r="G36" s="16" t="s">
        <v>11</v>
      </c>
      <c r="H36" s="19" t="s">
        <v>26</v>
      </c>
      <c r="I36" s="99">
        <v>10700</v>
      </c>
      <c r="J36" s="16">
        <v>2022</v>
      </c>
      <c r="K36" s="68">
        <f t="shared" si="10"/>
        <v>8</v>
      </c>
      <c r="L36" s="44" t="s">
        <v>15</v>
      </c>
      <c r="M36" s="43">
        <v>9.5</v>
      </c>
      <c r="N36" s="43">
        <v>14</v>
      </c>
      <c r="O36" s="51">
        <f t="shared" si="8"/>
        <v>0</v>
      </c>
      <c r="P36" s="43"/>
      <c r="Q36" s="64">
        <f t="shared" si="13"/>
        <v>0</v>
      </c>
      <c r="R36" s="43"/>
      <c r="S36" s="64">
        <v>450</v>
      </c>
      <c r="T36" s="43"/>
      <c r="U36" s="43"/>
      <c r="V36" s="65">
        <f t="shared" si="14"/>
        <v>0</v>
      </c>
      <c r="W36" s="65">
        <f t="shared" si="12"/>
        <v>0</v>
      </c>
      <c r="X36" s="43"/>
      <c r="Y36" s="43"/>
      <c r="Z36" s="43"/>
      <c r="AA36" s="51">
        <f t="shared" si="15"/>
        <v>0</v>
      </c>
      <c r="AB36" s="43"/>
      <c r="AC36" s="137">
        <v>11</v>
      </c>
      <c r="AD36" s="51">
        <f t="shared" ref="AD36:AD44" si="16">SUM(AA36:AC36)</f>
        <v>11</v>
      </c>
      <c r="AE36" s="18"/>
      <c r="AF36" s="18"/>
      <c r="AG36" s="21"/>
      <c r="AH36" s="16"/>
      <c r="AI36" s="44"/>
      <c r="AJ36" s="44"/>
      <c r="AK36" s="44"/>
      <c r="AL36" s="45"/>
      <c r="AM36" s="46"/>
      <c r="AN36" s="16"/>
      <c r="AO36" s="44"/>
      <c r="AP36" s="44"/>
      <c r="AQ36" s="44"/>
      <c r="AR36" s="46"/>
      <c r="AS36" s="180"/>
    </row>
    <row r="37" spans="1:45" s="146" customFormat="1" ht="40.5" x14ac:dyDescent="0.35">
      <c r="A37" s="16">
        <v>12</v>
      </c>
      <c r="B37" s="16">
        <v>14</v>
      </c>
      <c r="C37" s="17" t="s">
        <v>202</v>
      </c>
      <c r="D37" s="18" t="s">
        <v>72</v>
      </c>
      <c r="E37" s="139" t="s">
        <v>194</v>
      </c>
      <c r="F37" s="16" t="s">
        <v>10</v>
      </c>
      <c r="G37" s="16" t="s">
        <v>11</v>
      </c>
      <c r="H37" s="19" t="s">
        <v>26</v>
      </c>
      <c r="I37" s="99">
        <v>10700</v>
      </c>
      <c r="J37" s="16">
        <v>2022</v>
      </c>
      <c r="K37" s="68">
        <f t="shared" si="10"/>
        <v>8</v>
      </c>
      <c r="L37" s="44" t="s">
        <v>15</v>
      </c>
      <c r="M37" s="43">
        <v>9.5</v>
      </c>
      <c r="N37" s="43">
        <v>14</v>
      </c>
      <c r="O37" s="51">
        <f t="shared" si="8"/>
        <v>0</v>
      </c>
      <c r="P37" s="43"/>
      <c r="Q37" s="64">
        <f t="shared" si="13"/>
        <v>0</v>
      </c>
      <c r="R37" s="43"/>
      <c r="S37" s="64">
        <v>450</v>
      </c>
      <c r="T37" s="43"/>
      <c r="U37" s="43"/>
      <c r="V37" s="65">
        <f t="shared" si="14"/>
        <v>0</v>
      </c>
      <c r="W37" s="65">
        <f t="shared" si="12"/>
        <v>0</v>
      </c>
      <c r="X37" s="43"/>
      <c r="Y37" s="43"/>
      <c r="Z37" s="43"/>
      <c r="AA37" s="51">
        <f t="shared" si="15"/>
        <v>0</v>
      </c>
      <c r="AB37" s="43"/>
      <c r="AC37" s="137">
        <v>11</v>
      </c>
      <c r="AD37" s="51">
        <f t="shared" si="16"/>
        <v>11</v>
      </c>
      <c r="AE37" s="18"/>
      <c r="AF37" s="18"/>
      <c r="AG37" s="21"/>
      <c r="AH37" s="16"/>
      <c r="AI37" s="44"/>
      <c r="AJ37" s="44"/>
      <c r="AK37" s="44"/>
      <c r="AL37" s="45"/>
      <c r="AM37" s="46"/>
      <c r="AN37" s="16"/>
      <c r="AO37" s="44"/>
      <c r="AP37" s="44"/>
      <c r="AQ37" s="44"/>
      <c r="AR37" s="46"/>
      <c r="AS37" s="180"/>
    </row>
    <row r="38" spans="1:45" s="146" customFormat="1" ht="40.5" x14ac:dyDescent="0.35">
      <c r="A38" s="16">
        <v>13</v>
      </c>
      <c r="B38" s="16">
        <v>15</v>
      </c>
      <c r="C38" s="17" t="s">
        <v>202</v>
      </c>
      <c r="D38" s="18" t="s">
        <v>72</v>
      </c>
      <c r="E38" s="139" t="s">
        <v>195</v>
      </c>
      <c r="F38" s="16" t="s">
        <v>10</v>
      </c>
      <c r="G38" s="16" t="s">
        <v>11</v>
      </c>
      <c r="H38" s="19" t="s">
        <v>26</v>
      </c>
      <c r="I38" s="99">
        <v>10700</v>
      </c>
      <c r="J38" s="16">
        <v>2022</v>
      </c>
      <c r="K38" s="68">
        <f t="shared" si="10"/>
        <v>8</v>
      </c>
      <c r="L38" s="44" t="s">
        <v>15</v>
      </c>
      <c r="M38" s="43">
        <v>9.5</v>
      </c>
      <c r="N38" s="43">
        <v>14</v>
      </c>
      <c r="O38" s="51">
        <f t="shared" si="8"/>
        <v>0</v>
      </c>
      <c r="P38" s="43"/>
      <c r="Q38" s="64">
        <f t="shared" si="13"/>
        <v>0</v>
      </c>
      <c r="R38" s="43"/>
      <c r="S38" s="64">
        <v>450</v>
      </c>
      <c r="T38" s="43"/>
      <c r="U38" s="43"/>
      <c r="V38" s="65">
        <f t="shared" si="14"/>
        <v>0</v>
      </c>
      <c r="W38" s="65">
        <f t="shared" si="12"/>
        <v>0</v>
      </c>
      <c r="X38" s="43"/>
      <c r="Y38" s="43"/>
      <c r="Z38" s="43"/>
      <c r="AA38" s="51">
        <f t="shared" si="15"/>
        <v>0</v>
      </c>
      <c r="AB38" s="43"/>
      <c r="AC38" s="137">
        <v>11</v>
      </c>
      <c r="AD38" s="51">
        <f t="shared" si="16"/>
        <v>11</v>
      </c>
      <c r="AE38" s="18"/>
      <c r="AF38" s="18"/>
      <c r="AG38" s="21"/>
      <c r="AH38" s="16"/>
      <c r="AI38" s="44"/>
      <c r="AJ38" s="44"/>
      <c r="AK38" s="44"/>
      <c r="AL38" s="45"/>
      <c r="AM38" s="46"/>
      <c r="AN38" s="16"/>
      <c r="AO38" s="44"/>
      <c r="AP38" s="44"/>
      <c r="AQ38" s="44"/>
      <c r="AR38" s="46"/>
      <c r="AS38" s="180"/>
    </row>
    <row r="39" spans="1:45" s="146" customFormat="1" ht="40.5" x14ac:dyDescent="0.35">
      <c r="A39" s="16">
        <v>14</v>
      </c>
      <c r="B39" s="16">
        <v>16</v>
      </c>
      <c r="C39" s="17" t="s">
        <v>202</v>
      </c>
      <c r="D39" s="18" t="s">
        <v>72</v>
      </c>
      <c r="E39" s="139" t="s">
        <v>196</v>
      </c>
      <c r="F39" s="16" t="s">
        <v>10</v>
      </c>
      <c r="G39" s="16" t="s">
        <v>11</v>
      </c>
      <c r="H39" s="19" t="s">
        <v>26</v>
      </c>
      <c r="I39" s="99">
        <v>10700</v>
      </c>
      <c r="J39" s="16">
        <v>2022</v>
      </c>
      <c r="K39" s="68">
        <f t="shared" si="10"/>
        <v>8</v>
      </c>
      <c r="L39" s="44" t="s">
        <v>15</v>
      </c>
      <c r="M39" s="43">
        <v>9.5</v>
      </c>
      <c r="N39" s="43">
        <v>14</v>
      </c>
      <c r="O39" s="51">
        <f t="shared" si="8"/>
        <v>0</v>
      </c>
      <c r="P39" s="43"/>
      <c r="Q39" s="64">
        <f t="shared" si="13"/>
        <v>0</v>
      </c>
      <c r="R39" s="43"/>
      <c r="S39" s="64">
        <v>450</v>
      </c>
      <c r="T39" s="43"/>
      <c r="U39" s="43"/>
      <c r="V39" s="65">
        <f t="shared" si="14"/>
        <v>0</v>
      </c>
      <c r="W39" s="65">
        <f t="shared" si="12"/>
        <v>0</v>
      </c>
      <c r="X39" s="43"/>
      <c r="Y39" s="43"/>
      <c r="Z39" s="43"/>
      <c r="AA39" s="51">
        <f t="shared" si="15"/>
        <v>0</v>
      </c>
      <c r="AB39" s="43"/>
      <c r="AC39" s="137">
        <v>11</v>
      </c>
      <c r="AD39" s="51">
        <f t="shared" si="16"/>
        <v>11</v>
      </c>
      <c r="AE39" s="18"/>
      <c r="AF39" s="18"/>
      <c r="AG39" s="21"/>
      <c r="AH39" s="16"/>
      <c r="AI39" s="44"/>
      <c r="AJ39" s="44"/>
      <c r="AK39" s="44"/>
      <c r="AL39" s="45"/>
      <c r="AM39" s="46"/>
      <c r="AN39" s="16"/>
      <c r="AO39" s="44"/>
      <c r="AP39" s="44"/>
      <c r="AQ39" s="44"/>
      <c r="AR39" s="46"/>
      <c r="AS39" s="180"/>
    </row>
    <row r="40" spans="1:45" s="146" customFormat="1" ht="40.5" x14ac:dyDescent="0.35">
      <c r="A40" s="16">
        <v>15</v>
      </c>
      <c r="B40" s="16">
        <v>17</v>
      </c>
      <c r="C40" s="17" t="s">
        <v>202</v>
      </c>
      <c r="D40" s="18" t="s">
        <v>72</v>
      </c>
      <c r="E40" s="139" t="s">
        <v>197</v>
      </c>
      <c r="F40" s="16" t="s">
        <v>10</v>
      </c>
      <c r="G40" s="16" t="s">
        <v>11</v>
      </c>
      <c r="H40" s="19" t="s">
        <v>26</v>
      </c>
      <c r="I40" s="99">
        <v>10700</v>
      </c>
      <c r="J40" s="16">
        <v>2022</v>
      </c>
      <c r="K40" s="68">
        <f t="shared" si="10"/>
        <v>8</v>
      </c>
      <c r="L40" s="44" t="s">
        <v>15</v>
      </c>
      <c r="M40" s="43">
        <v>9.5</v>
      </c>
      <c r="N40" s="43">
        <v>14</v>
      </c>
      <c r="O40" s="51">
        <f>P40/21</f>
        <v>0</v>
      </c>
      <c r="P40" s="43"/>
      <c r="Q40" s="64">
        <f t="shared" si="13"/>
        <v>0</v>
      </c>
      <c r="R40" s="43"/>
      <c r="S40" s="64">
        <v>450</v>
      </c>
      <c r="T40" s="43"/>
      <c r="U40" s="43"/>
      <c r="V40" s="65">
        <f t="shared" si="14"/>
        <v>0</v>
      </c>
      <c r="W40" s="65">
        <f t="shared" si="12"/>
        <v>0</v>
      </c>
      <c r="X40" s="43"/>
      <c r="Y40" s="43"/>
      <c r="Z40" s="43"/>
      <c r="AA40" s="51">
        <f t="shared" si="15"/>
        <v>0</v>
      </c>
      <c r="AB40" s="43"/>
      <c r="AC40" s="137">
        <v>11</v>
      </c>
      <c r="AD40" s="51">
        <f t="shared" si="16"/>
        <v>11</v>
      </c>
      <c r="AE40" s="18"/>
      <c r="AF40" s="18"/>
      <c r="AG40" s="21"/>
      <c r="AH40" s="16"/>
      <c r="AI40" s="44"/>
      <c r="AJ40" s="44"/>
      <c r="AK40" s="44"/>
      <c r="AL40" s="45"/>
      <c r="AM40" s="46"/>
      <c r="AN40" s="16"/>
      <c r="AO40" s="44"/>
      <c r="AP40" s="44"/>
      <c r="AQ40" s="44"/>
      <c r="AR40" s="46"/>
      <c r="AS40" s="180"/>
    </row>
    <row r="41" spans="1:45" s="146" customFormat="1" ht="40.5" x14ac:dyDescent="0.35">
      <c r="A41" s="16">
        <v>16</v>
      </c>
      <c r="B41" s="16">
        <v>18</v>
      </c>
      <c r="C41" s="17" t="s">
        <v>202</v>
      </c>
      <c r="D41" s="18" t="s">
        <v>72</v>
      </c>
      <c r="E41" s="139" t="s">
        <v>198</v>
      </c>
      <c r="F41" s="16" t="s">
        <v>20</v>
      </c>
      <c r="G41" s="16" t="s">
        <v>11</v>
      </c>
      <c r="H41" s="19" t="s">
        <v>61</v>
      </c>
      <c r="I41" s="99">
        <v>15400</v>
      </c>
      <c r="J41" s="16">
        <v>2023</v>
      </c>
      <c r="K41" s="68">
        <f>IF(J41="մինչև 2000","օգտակար ծառայության ժամկետը սպառված է",10-($K$12-J41))</f>
        <v>9</v>
      </c>
      <c r="L41" s="44" t="s">
        <v>15</v>
      </c>
      <c r="M41" s="43">
        <v>10.7</v>
      </c>
      <c r="N41" s="43">
        <v>16</v>
      </c>
      <c r="O41" s="51"/>
      <c r="P41" s="43"/>
      <c r="Q41" s="64">
        <f t="shared" si="13"/>
        <v>0</v>
      </c>
      <c r="R41" s="43"/>
      <c r="S41" s="64">
        <v>450</v>
      </c>
      <c r="T41" s="43"/>
      <c r="U41" s="43"/>
      <c r="V41" s="65"/>
      <c r="W41" s="65"/>
      <c r="X41" s="43"/>
      <c r="Y41" s="43"/>
      <c r="Z41" s="43"/>
      <c r="AA41" s="51"/>
      <c r="AB41" s="43"/>
      <c r="AC41" s="137">
        <v>11</v>
      </c>
      <c r="AD41" s="51">
        <f t="shared" si="16"/>
        <v>11</v>
      </c>
      <c r="AE41" s="18"/>
      <c r="AF41" s="18"/>
      <c r="AG41" s="21"/>
      <c r="AH41" s="16"/>
      <c r="AI41" s="44"/>
      <c r="AJ41" s="44"/>
      <c r="AK41" s="44"/>
      <c r="AL41" s="45"/>
      <c r="AM41" s="46"/>
      <c r="AN41" s="16"/>
      <c r="AO41" s="44"/>
      <c r="AP41" s="44"/>
      <c r="AQ41" s="44"/>
      <c r="AR41" s="46"/>
      <c r="AS41" s="180"/>
    </row>
    <row r="42" spans="1:45" s="146" customFormat="1" ht="40.5" x14ac:dyDescent="0.35">
      <c r="A42" s="16">
        <v>17</v>
      </c>
      <c r="B42" s="16">
        <v>19</v>
      </c>
      <c r="C42" s="17" t="s">
        <v>202</v>
      </c>
      <c r="D42" s="18" t="s">
        <v>72</v>
      </c>
      <c r="E42" s="139" t="s">
        <v>199</v>
      </c>
      <c r="F42" s="16" t="s">
        <v>20</v>
      </c>
      <c r="G42" s="16" t="s">
        <v>11</v>
      </c>
      <c r="H42" s="19" t="s">
        <v>61</v>
      </c>
      <c r="I42" s="99">
        <v>15400</v>
      </c>
      <c r="J42" s="16">
        <v>2023</v>
      </c>
      <c r="K42" s="68">
        <f t="shared" si="10"/>
        <v>9</v>
      </c>
      <c r="L42" s="44" t="s">
        <v>15</v>
      </c>
      <c r="M42" s="43">
        <v>10.7</v>
      </c>
      <c r="N42" s="43">
        <v>16</v>
      </c>
      <c r="O42" s="51"/>
      <c r="P42" s="43"/>
      <c r="Q42" s="64">
        <f t="shared" si="13"/>
        <v>0</v>
      </c>
      <c r="R42" s="43"/>
      <c r="S42" s="64" t="e">
        <f>+R42*1000/Q42</f>
        <v>#DIV/0!</v>
      </c>
      <c r="T42" s="43"/>
      <c r="U42" s="43"/>
      <c r="V42" s="65"/>
      <c r="W42" s="65"/>
      <c r="X42" s="43"/>
      <c r="Y42" s="43"/>
      <c r="Z42" s="43"/>
      <c r="AA42" s="51"/>
      <c r="AB42" s="43"/>
      <c r="AC42" s="137">
        <v>11</v>
      </c>
      <c r="AD42" s="51">
        <f t="shared" si="16"/>
        <v>11</v>
      </c>
      <c r="AE42" s="18"/>
      <c r="AF42" s="18"/>
      <c r="AG42" s="21"/>
      <c r="AH42" s="16"/>
      <c r="AI42" s="44"/>
      <c r="AJ42" s="44"/>
      <c r="AK42" s="44"/>
      <c r="AL42" s="45"/>
      <c r="AM42" s="46"/>
      <c r="AN42" s="16"/>
      <c r="AO42" s="44"/>
      <c r="AP42" s="44"/>
      <c r="AQ42" s="44"/>
      <c r="AR42" s="46"/>
      <c r="AS42" s="180"/>
    </row>
    <row r="43" spans="1:45" s="146" customFormat="1" ht="40.5" x14ac:dyDescent="0.35">
      <c r="A43" s="16">
        <v>18</v>
      </c>
      <c r="B43" s="16">
        <v>20</v>
      </c>
      <c r="C43" s="17" t="s">
        <v>202</v>
      </c>
      <c r="D43" s="18" t="s">
        <v>72</v>
      </c>
      <c r="E43" s="139" t="s">
        <v>200</v>
      </c>
      <c r="F43" s="16" t="s">
        <v>20</v>
      </c>
      <c r="G43" s="16" t="s">
        <v>11</v>
      </c>
      <c r="H43" s="19" t="s">
        <v>61</v>
      </c>
      <c r="I43" s="99">
        <v>15400</v>
      </c>
      <c r="J43" s="16">
        <v>2023</v>
      </c>
      <c r="K43" s="68">
        <f t="shared" si="10"/>
        <v>9</v>
      </c>
      <c r="L43" s="44" t="s">
        <v>15</v>
      </c>
      <c r="M43" s="43">
        <v>10.7</v>
      </c>
      <c r="N43" s="43">
        <v>16</v>
      </c>
      <c r="O43" s="51"/>
      <c r="P43" s="43"/>
      <c r="Q43" s="64">
        <f t="shared" si="13"/>
        <v>0</v>
      </c>
      <c r="R43" s="43"/>
      <c r="S43" s="64" t="e">
        <f>+R43*1000/Q43</f>
        <v>#DIV/0!</v>
      </c>
      <c r="T43" s="43"/>
      <c r="U43" s="43"/>
      <c r="V43" s="65"/>
      <c r="W43" s="65"/>
      <c r="X43" s="43"/>
      <c r="Y43" s="43"/>
      <c r="Z43" s="43"/>
      <c r="AA43" s="51"/>
      <c r="AB43" s="43"/>
      <c r="AC43" s="137">
        <v>11</v>
      </c>
      <c r="AD43" s="51">
        <f t="shared" si="16"/>
        <v>11</v>
      </c>
      <c r="AE43" s="18"/>
      <c r="AF43" s="18"/>
      <c r="AG43" s="21"/>
      <c r="AH43" s="16"/>
      <c r="AI43" s="44"/>
      <c r="AJ43" s="44"/>
      <c r="AK43" s="44"/>
      <c r="AL43" s="45"/>
      <c r="AM43" s="46"/>
      <c r="AN43" s="16"/>
      <c r="AO43" s="44"/>
      <c r="AP43" s="44"/>
      <c r="AQ43" s="44"/>
      <c r="AR43" s="46"/>
      <c r="AS43" s="180"/>
    </row>
    <row r="44" spans="1:45" s="146" customFormat="1" ht="40.5" x14ac:dyDescent="0.35">
      <c r="A44" s="16">
        <v>19</v>
      </c>
      <c r="B44" s="16">
        <v>21</v>
      </c>
      <c r="C44" s="17" t="s">
        <v>202</v>
      </c>
      <c r="D44" s="18" t="s">
        <v>72</v>
      </c>
      <c r="E44" s="139" t="s">
        <v>201</v>
      </c>
      <c r="F44" s="16" t="s">
        <v>20</v>
      </c>
      <c r="G44" s="16" t="s">
        <v>11</v>
      </c>
      <c r="H44" s="19" t="s">
        <v>61</v>
      </c>
      <c r="I44" s="99" t="s">
        <v>189</v>
      </c>
      <c r="J44" s="16">
        <v>2023</v>
      </c>
      <c r="K44" s="68">
        <f t="shared" si="10"/>
        <v>9</v>
      </c>
      <c r="L44" s="44" t="s">
        <v>15</v>
      </c>
      <c r="M44" s="43">
        <v>10.7</v>
      </c>
      <c r="N44" s="43">
        <v>16</v>
      </c>
      <c r="O44" s="51"/>
      <c r="P44" s="43"/>
      <c r="Q44" s="64">
        <f t="shared" si="13"/>
        <v>0</v>
      </c>
      <c r="R44" s="43"/>
      <c r="S44" s="64" t="e">
        <f>+R44*1000/Q44</f>
        <v>#DIV/0!</v>
      </c>
      <c r="T44" s="43"/>
      <c r="U44" s="43"/>
      <c r="V44" s="65"/>
      <c r="W44" s="65"/>
      <c r="X44" s="43"/>
      <c r="Y44" s="43"/>
      <c r="Z44" s="43"/>
      <c r="AA44" s="51"/>
      <c r="AB44" s="43"/>
      <c r="AC44" s="137">
        <v>11</v>
      </c>
      <c r="AD44" s="51">
        <f t="shared" si="16"/>
        <v>11</v>
      </c>
      <c r="AE44" s="18"/>
      <c r="AF44" s="18"/>
      <c r="AG44" s="21"/>
      <c r="AH44" s="16"/>
      <c r="AI44" s="44"/>
      <c r="AJ44" s="44"/>
      <c r="AK44" s="44"/>
      <c r="AL44" s="45"/>
      <c r="AM44" s="46"/>
      <c r="AN44" s="16"/>
      <c r="AO44" s="44"/>
      <c r="AP44" s="44"/>
      <c r="AQ44" s="44"/>
      <c r="AR44" s="46"/>
      <c r="AS44" s="181"/>
    </row>
    <row r="45" spans="1:45" s="146" customFormat="1" x14ac:dyDescent="0.35">
      <c r="A45" s="20"/>
      <c r="B45" s="135"/>
      <c r="C45" s="119" t="s">
        <v>222</v>
      </c>
      <c r="D45" s="106"/>
      <c r="E45" s="106"/>
      <c r="F45" s="106"/>
      <c r="G45" s="106"/>
      <c r="H45" s="106"/>
      <c r="I45" s="106"/>
      <c r="J45" s="106"/>
      <c r="K45" s="69"/>
      <c r="L45" s="106"/>
      <c r="M45" s="106"/>
      <c r="N45" s="106"/>
      <c r="O45" s="13"/>
      <c r="P45" s="106"/>
      <c r="Q45" s="13"/>
      <c r="R45" s="106"/>
      <c r="S45" s="13"/>
      <c r="T45" s="106"/>
      <c r="U45" s="106"/>
      <c r="V45" s="13"/>
      <c r="W45" s="13"/>
      <c r="X45" s="106"/>
      <c r="Y45" s="106"/>
      <c r="Z45" s="106"/>
      <c r="AA45" s="13"/>
      <c r="AB45" s="106"/>
      <c r="AC45" s="106"/>
      <c r="AD45" s="13"/>
      <c r="AE45" s="106"/>
      <c r="AF45" s="106"/>
      <c r="AG45" s="106"/>
      <c r="AH45" s="106"/>
      <c r="AI45" s="106"/>
      <c r="AJ45" s="106"/>
      <c r="AK45" s="106"/>
      <c r="AL45" s="106"/>
      <c r="AM45" s="106"/>
      <c r="AN45" s="106"/>
      <c r="AO45" s="106"/>
      <c r="AP45" s="106"/>
      <c r="AQ45" s="106"/>
      <c r="AR45" s="106"/>
      <c r="AS45" s="106"/>
    </row>
    <row r="46" spans="1:45" s="146" customFormat="1" x14ac:dyDescent="0.35">
      <c r="A46" s="20"/>
      <c r="B46" s="135"/>
      <c r="C46" s="119" t="s">
        <v>255</v>
      </c>
      <c r="D46" s="106"/>
      <c r="E46" s="106"/>
      <c r="F46" s="106"/>
      <c r="G46" s="106"/>
      <c r="H46" s="106"/>
      <c r="I46" s="106"/>
      <c r="J46" s="106"/>
      <c r="K46" s="69"/>
      <c r="L46" s="106"/>
      <c r="M46" s="106"/>
      <c r="N46" s="106"/>
      <c r="O46" s="13"/>
      <c r="P46" s="106"/>
      <c r="Q46" s="13"/>
      <c r="R46" s="106"/>
      <c r="S46" s="13"/>
      <c r="T46" s="106"/>
      <c r="U46" s="106"/>
      <c r="V46" s="74"/>
      <c r="W46" s="74"/>
      <c r="X46" s="106"/>
      <c r="Y46" s="106"/>
      <c r="Z46" s="106"/>
      <c r="AA46" s="13"/>
      <c r="AB46" s="106"/>
      <c r="AC46" s="106"/>
      <c r="AD46" s="13"/>
      <c r="AE46" s="106"/>
      <c r="AF46" s="106"/>
      <c r="AG46" s="106"/>
      <c r="AH46" s="106"/>
      <c r="AI46" s="106"/>
      <c r="AJ46" s="106"/>
      <c r="AK46" s="106"/>
      <c r="AL46" s="106"/>
      <c r="AM46" s="106"/>
      <c r="AN46" s="106"/>
      <c r="AO46" s="106"/>
      <c r="AP46" s="106"/>
      <c r="AQ46" s="106"/>
      <c r="AR46" s="106"/>
      <c r="AS46" s="106"/>
    </row>
    <row r="47" spans="1:45" s="146" customFormat="1" ht="165" customHeight="1" x14ac:dyDescent="0.35">
      <c r="A47" s="16">
        <v>1</v>
      </c>
      <c r="B47" s="16">
        <v>1</v>
      </c>
      <c r="C47" s="17" t="s">
        <v>207</v>
      </c>
      <c r="D47" s="18" t="s">
        <v>33</v>
      </c>
      <c r="E47" s="18" t="s">
        <v>130</v>
      </c>
      <c r="F47" s="18" t="s">
        <v>10</v>
      </c>
      <c r="G47" s="16" t="s">
        <v>11</v>
      </c>
      <c r="H47" s="19" t="s">
        <v>61</v>
      </c>
      <c r="I47" s="98">
        <v>612.30899999999997</v>
      </c>
      <c r="J47" s="16">
        <v>2002</v>
      </c>
      <c r="K47" s="68">
        <f>IF(J47="մինչև 2000","օգտակար ծառայության ժամկետը սպառված է",10-($K$12-J47))</f>
        <v>-12</v>
      </c>
      <c r="L47" s="44" t="s">
        <v>15</v>
      </c>
      <c r="M47" s="43">
        <v>13</v>
      </c>
      <c r="N47" s="137">
        <f>Q47/P47*100</f>
        <v>16</v>
      </c>
      <c r="O47" s="51">
        <f>P47/21</f>
        <v>45.535714285714285</v>
      </c>
      <c r="P47" s="43">
        <v>956.25</v>
      </c>
      <c r="Q47" s="64">
        <v>153</v>
      </c>
      <c r="R47" s="78">
        <v>57.088079999999998</v>
      </c>
      <c r="S47" s="64">
        <f>R47*1000/Q47</f>
        <v>373.12470588235288</v>
      </c>
      <c r="T47" s="43">
        <v>0</v>
      </c>
      <c r="U47" s="43">
        <v>0</v>
      </c>
      <c r="V47" s="65">
        <f t="shared" ref="V47:V55" si="17">(R47+U47)</f>
        <v>57.088079999999998</v>
      </c>
      <c r="W47" s="65">
        <f t="shared" ref="W47:W52" si="18">V47*12</f>
        <v>685.05696</v>
      </c>
      <c r="X47" s="43">
        <v>64</v>
      </c>
      <c r="Y47" s="43">
        <v>20</v>
      </c>
      <c r="Z47" s="43">
        <v>377</v>
      </c>
      <c r="AA47" s="51">
        <f>SUM(W47:Z47)</f>
        <v>1146.0569599999999</v>
      </c>
      <c r="AB47" s="43">
        <v>180</v>
      </c>
      <c r="AC47" s="43">
        <v>20</v>
      </c>
      <c r="AD47" s="51">
        <f>SUM(AA47:AC47)</f>
        <v>1346.0569599999999</v>
      </c>
      <c r="AE47" s="18" t="s">
        <v>38</v>
      </c>
      <c r="AF47" s="18" t="s">
        <v>39</v>
      </c>
      <c r="AG47" s="21"/>
      <c r="AH47" s="16" t="s">
        <v>10</v>
      </c>
      <c r="AI47" s="44" t="s">
        <v>11</v>
      </c>
      <c r="AJ47" s="46" t="s">
        <v>26</v>
      </c>
      <c r="AK47" s="44" t="s">
        <v>15</v>
      </c>
      <c r="AL47" s="45"/>
      <c r="AM47" s="46">
        <v>1</v>
      </c>
      <c r="AN47" s="16" t="s">
        <v>10</v>
      </c>
      <c r="AO47" s="44" t="s">
        <v>11</v>
      </c>
      <c r="AP47" s="44" t="s">
        <v>26</v>
      </c>
      <c r="AQ47" s="44" t="s">
        <v>15</v>
      </c>
      <c r="AR47" s="46"/>
      <c r="AS47" s="112" t="s">
        <v>237</v>
      </c>
    </row>
    <row r="48" spans="1:45" s="146" customFormat="1" x14ac:dyDescent="0.35">
      <c r="A48" s="16">
        <v>2</v>
      </c>
      <c r="B48" s="16">
        <v>2</v>
      </c>
      <c r="C48" s="17" t="s">
        <v>207</v>
      </c>
      <c r="D48" s="18" t="s">
        <v>33</v>
      </c>
      <c r="E48" s="110" t="s">
        <v>247</v>
      </c>
      <c r="F48" s="18" t="s">
        <v>10</v>
      </c>
      <c r="G48" s="16" t="s">
        <v>11</v>
      </c>
      <c r="H48" s="19" t="s">
        <v>26</v>
      </c>
      <c r="I48" s="98">
        <v>2440.35</v>
      </c>
      <c r="J48" s="16">
        <v>2001</v>
      </c>
      <c r="K48" s="68">
        <f>IF(J48="մինչև 2000","օգտակար ծառայության ժամկետը սպառված է",10-($K$12-J48))</f>
        <v>-13</v>
      </c>
      <c r="L48" s="44" t="s">
        <v>18</v>
      </c>
      <c r="M48" s="43">
        <v>11</v>
      </c>
      <c r="N48" s="137" t="s">
        <v>165</v>
      </c>
      <c r="O48" s="51">
        <f>P48/21</f>
        <v>0</v>
      </c>
      <c r="P48" s="43">
        <v>0</v>
      </c>
      <c r="Q48" s="64">
        <v>0</v>
      </c>
      <c r="R48" s="43">
        <f>Q48*410/1000</f>
        <v>0</v>
      </c>
      <c r="S48" s="64" t="e">
        <f>R48*1000/Q48</f>
        <v>#DIV/0!</v>
      </c>
      <c r="T48" s="43"/>
      <c r="U48" s="43"/>
      <c r="V48" s="65">
        <f t="shared" si="17"/>
        <v>0</v>
      </c>
      <c r="W48" s="65">
        <f t="shared" si="18"/>
        <v>0</v>
      </c>
      <c r="X48" s="43"/>
      <c r="Y48" s="43"/>
      <c r="Z48" s="43"/>
      <c r="AA48" s="51">
        <f>SUM(W48:Z48)</f>
        <v>0</v>
      </c>
      <c r="AB48" s="43"/>
      <c r="AC48" s="43"/>
      <c r="AD48" s="51">
        <f t="shared" ref="AD48:AD54" si="19">SUM(AA48:AC48)</f>
        <v>0</v>
      </c>
      <c r="AE48" s="18"/>
      <c r="AF48" s="18"/>
      <c r="AG48" s="21"/>
      <c r="AH48" s="16"/>
      <c r="AI48" s="44" t="s">
        <v>11</v>
      </c>
      <c r="AJ48" s="44" t="s">
        <v>26</v>
      </c>
      <c r="AK48" s="44" t="s">
        <v>15</v>
      </c>
      <c r="AL48" s="45"/>
      <c r="AM48" s="46"/>
      <c r="AN48" s="16"/>
      <c r="AO48" s="44"/>
      <c r="AP48" s="44"/>
      <c r="AQ48" s="44"/>
      <c r="AR48" s="46"/>
      <c r="AS48" s="18"/>
    </row>
    <row r="49" spans="1:45" s="146" customFormat="1" x14ac:dyDescent="0.35">
      <c r="A49" s="20"/>
      <c r="B49" s="135"/>
      <c r="C49" s="119" t="s">
        <v>256</v>
      </c>
      <c r="D49" s="106"/>
      <c r="E49" s="106"/>
      <c r="F49" s="106"/>
      <c r="G49" s="106"/>
      <c r="H49" s="106"/>
      <c r="I49" s="106"/>
      <c r="J49" s="106"/>
      <c r="K49" s="69"/>
      <c r="L49" s="106"/>
      <c r="M49" s="106"/>
      <c r="N49" s="106"/>
      <c r="O49" s="13"/>
      <c r="P49" s="106"/>
      <c r="Q49" s="13"/>
      <c r="R49" s="106"/>
      <c r="S49" s="13"/>
      <c r="T49" s="106"/>
      <c r="U49" s="106"/>
      <c r="V49" s="74"/>
      <c r="W49" s="74"/>
      <c r="X49" s="106"/>
      <c r="Y49" s="106"/>
      <c r="Z49" s="106"/>
      <c r="AA49" s="13"/>
      <c r="AB49" s="106"/>
      <c r="AC49" s="106"/>
      <c r="AD49" s="13"/>
      <c r="AE49" s="106"/>
      <c r="AF49" s="106"/>
      <c r="AG49" s="106"/>
      <c r="AH49" s="106"/>
      <c r="AI49" s="106"/>
      <c r="AJ49" s="106"/>
      <c r="AK49" s="106"/>
      <c r="AL49" s="106"/>
      <c r="AM49" s="106"/>
      <c r="AN49" s="106"/>
      <c r="AO49" s="106"/>
      <c r="AP49" s="106"/>
      <c r="AQ49" s="106"/>
      <c r="AR49" s="106"/>
      <c r="AS49" s="106"/>
    </row>
    <row r="50" spans="1:45" s="147" customFormat="1" ht="178.5" customHeight="1" x14ac:dyDescent="0.35">
      <c r="A50" s="75">
        <v>4</v>
      </c>
      <c r="B50" s="16">
        <v>1</v>
      </c>
      <c r="C50" s="113" t="s">
        <v>204</v>
      </c>
      <c r="D50" s="139" t="s">
        <v>33</v>
      </c>
      <c r="E50" s="139" t="s">
        <v>131</v>
      </c>
      <c r="F50" s="139" t="s">
        <v>17</v>
      </c>
      <c r="G50" s="75" t="s">
        <v>11</v>
      </c>
      <c r="H50" s="88" t="s">
        <v>26</v>
      </c>
      <c r="I50" s="98">
        <v>950</v>
      </c>
      <c r="J50" s="75">
        <v>2006</v>
      </c>
      <c r="K50" s="80">
        <f t="shared" ref="K50:K73" si="20">IF(J50="մինչև 2000","օգտակար ծառայության ժամկետը սպառված է",10-($K$12-J50))</f>
        <v>-8</v>
      </c>
      <c r="L50" s="81" t="s">
        <v>15</v>
      </c>
      <c r="M50" s="137">
        <v>10</v>
      </c>
      <c r="N50" s="137">
        <f>Q50/P50*100</f>
        <v>9.3333333333333339</v>
      </c>
      <c r="O50" s="51">
        <f>P50/21</f>
        <v>28.571428571428573</v>
      </c>
      <c r="P50" s="137">
        <v>600</v>
      </c>
      <c r="Q50" s="82">
        <v>56</v>
      </c>
      <c r="R50" s="137">
        <f>Q50*410/1000</f>
        <v>22.96</v>
      </c>
      <c r="S50" s="82">
        <f>+R50*1000/Q50</f>
        <v>410</v>
      </c>
      <c r="T50" s="137">
        <v>0</v>
      </c>
      <c r="U50" s="137">
        <v>0</v>
      </c>
      <c r="V50" s="83">
        <f t="shared" si="17"/>
        <v>22.96</v>
      </c>
      <c r="W50" s="83">
        <f t="shared" si="18"/>
        <v>275.52</v>
      </c>
      <c r="X50" s="137">
        <v>0</v>
      </c>
      <c r="Y50" s="137">
        <v>0</v>
      </c>
      <c r="Z50" s="137">
        <v>224.67500000000001</v>
      </c>
      <c r="AA50" s="138">
        <f>SUM(W50:Z50)</f>
        <v>500.19499999999999</v>
      </c>
      <c r="AB50" s="137">
        <v>90</v>
      </c>
      <c r="AC50" s="137">
        <v>11</v>
      </c>
      <c r="AD50" s="138">
        <f t="shared" si="19"/>
        <v>601.19499999999994</v>
      </c>
      <c r="AE50" s="139" t="s">
        <v>38</v>
      </c>
      <c r="AF50" s="139" t="s">
        <v>39</v>
      </c>
      <c r="AG50" s="75"/>
      <c r="AH50" s="75" t="s">
        <v>10</v>
      </c>
      <c r="AI50" s="81" t="s">
        <v>11</v>
      </c>
      <c r="AJ50" s="81" t="s">
        <v>26</v>
      </c>
      <c r="AK50" s="81" t="s">
        <v>15</v>
      </c>
      <c r="AL50" s="81"/>
      <c r="AM50" s="156" t="s">
        <v>244</v>
      </c>
      <c r="AN50" s="157" t="s">
        <v>10</v>
      </c>
      <c r="AO50" s="158" t="s">
        <v>11</v>
      </c>
      <c r="AP50" s="158" t="s">
        <v>26</v>
      </c>
      <c r="AQ50" s="158" t="s">
        <v>15</v>
      </c>
      <c r="AR50" s="159">
        <v>10000</v>
      </c>
      <c r="AS50" s="160" t="s">
        <v>162</v>
      </c>
    </row>
    <row r="51" spans="1:45" s="146" customFormat="1" ht="94.5" customHeight="1" x14ac:dyDescent="0.35">
      <c r="A51" s="16">
        <v>5</v>
      </c>
      <c r="B51" s="16">
        <v>2</v>
      </c>
      <c r="C51" s="113" t="s">
        <v>203</v>
      </c>
      <c r="D51" s="18" t="s">
        <v>72</v>
      </c>
      <c r="E51" s="18" t="s">
        <v>132</v>
      </c>
      <c r="F51" s="18" t="s">
        <v>22</v>
      </c>
      <c r="G51" s="16" t="s">
        <v>11</v>
      </c>
      <c r="H51" s="88" t="s">
        <v>61</v>
      </c>
      <c r="I51" s="98">
        <v>1100</v>
      </c>
      <c r="J51" s="16">
        <v>2008</v>
      </c>
      <c r="K51" s="68">
        <f t="shared" si="20"/>
        <v>-6</v>
      </c>
      <c r="L51" s="44" t="s">
        <v>18</v>
      </c>
      <c r="M51" s="43">
        <v>13</v>
      </c>
      <c r="N51" s="137">
        <f>Q51/P51*100</f>
        <v>14.975041597337771</v>
      </c>
      <c r="O51" s="51">
        <f>P51/21</f>
        <v>28.61904761904762</v>
      </c>
      <c r="P51" s="43">
        <v>601</v>
      </c>
      <c r="Q51" s="64">
        <v>90</v>
      </c>
      <c r="R51" s="43">
        <f>Q51*410/1000</f>
        <v>36.9</v>
      </c>
      <c r="S51" s="64">
        <f>+R51*1000/Q51</f>
        <v>410</v>
      </c>
      <c r="T51" s="43">
        <v>0</v>
      </c>
      <c r="U51" s="43">
        <v>0</v>
      </c>
      <c r="V51" s="65">
        <f t="shared" si="17"/>
        <v>36.9</v>
      </c>
      <c r="W51" s="65">
        <f t="shared" si="18"/>
        <v>442.79999999999995</v>
      </c>
      <c r="X51" s="43">
        <v>0</v>
      </c>
      <c r="Y51" s="43">
        <v>0</v>
      </c>
      <c r="Z51" s="43">
        <v>32.700000000000003</v>
      </c>
      <c r="AA51" s="51">
        <f>SUM(W51:Z51)</f>
        <v>475.49999999999994</v>
      </c>
      <c r="AB51" s="43">
        <v>10</v>
      </c>
      <c r="AC51" s="43">
        <v>11</v>
      </c>
      <c r="AD51" s="51">
        <f t="shared" si="19"/>
        <v>496.49999999999994</v>
      </c>
      <c r="AE51" s="18" t="s">
        <v>38</v>
      </c>
      <c r="AF51" s="18" t="s">
        <v>39</v>
      </c>
      <c r="AG51" s="21"/>
      <c r="AH51" s="16"/>
      <c r="AI51" s="44"/>
      <c r="AJ51" s="44"/>
      <c r="AK51" s="44"/>
      <c r="AL51" s="45"/>
      <c r="AM51" s="46">
        <v>1</v>
      </c>
      <c r="AN51" s="16" t="s">
        <v>22</v>
      </c>
      <c r="AO51" s="44" t="s">
        <v>11</v>
      </c>
      <c r="AP51" s="44" t="s">
        <v>61</v>
      </c>
      <c r="AQ51" s="44" t="s">
        <v>18</v>
      </c>
      <c r="AR51" s="111">
        <v>24166.666666666701</v>
      </c>
      <c r="AS51" s="161"/>
    </row>
    <row r="52" spans="1:45" s="146" customFormat="1" ht="89.25" customHeight="1" x14ac:dyDescent="0.35">
      <c r="A52" s="16">
        <v>6</v>
      </c>
      <c r="B52" s="16">
        <v>3</v>
      </c>
      <c r="C52" s="113" t="s">
        <v>203</v>
      </c>
      <c r="D52" s="18" t="s">
        <v>72</v>
      </c>
      <c r="E52" s="18" t="s">
        <v>133</v>
      </c>
      <c r="F52" s="18" t="s">
        <v>22</v>
      </c>
      <c r="G52" s="16" t="s">
        <v>19</v>
      </c>
      <c r="H52" s="88" t="s">
        <v>61</v>
      </c>
      <c r="I52" s="98">
        <v>15960.42</v>
      </c>
      <c r="J52" s="16">
        <v>1998</v>
      </c>
      <c r="K52" s="68">
        <f>IF(J52="մինչև 2000","օգտակար ծառայության ժամկետը սպառված է",10-($K$12-J52))</f>
        <v>-16</v>
      </c>
      <c r="L52" s="44" t="s">
        <v>18</v>
      </c>
      <c r="M52" s="43">
        <v>12</v>
      </c>
      <c r="N52" s="137">
        <f>Q52/P52*100</f>
        <v>12.074643249176729</v>
      </c>
      <c r="O52" s="51">
        <f>P52/21</f>
        <v>43.38095238095238</v>
      </c>
      <c r="P52" s="43">
        <v>911</v>
      </c>
      <c r="Q52" s="64">
        <v>110</v>
      </c>
      <c r="R52" s="43">
        <f>Q52*554/1000</f>
        <v>60.94</v>
      </c>
      <c r="S52" s="64">
        <f>+R52*1000/Q52</f>
        <v>554</v>
      </c>
      <c r="T52" s="43">
        <v>0</v>
      </c>
      <c r="U52" s="43">
        <v>0</v>
      </c>
      <c r="V52" s="65">
        <f t="shared" si="17"/>
        <v>60.94</v>
      </c>
      <c r="W52" s="65">
        <f t="shared" si="18"/>
        <v>731.28</v>
      </c>
      <c r="X52" s="43">
        <v>0</v>
      </c>
      <c r="Y52" s="43">
        <v>0</v>
      </c>
      <c r="Z52" s="43">
        <v>34.075000000000003</v>
      </c>
      <c r="AA52" s="51">
        <f>SUM(W52:Z52)</f>
        <v>765.35500000000002</v>
      </c>
      <c r="AB52" s="43">
        <v>47</v>
      </c>
      <c r="AC52" s="43">
        <v>12</v>
      </c>
      <c r="AD52" s="51">
        <f t="shared" si="19"/>
        <v>824.35500000000002</v>
      </c>
      <c r="AE52" s="18" t="s">
        <v>38</v>
      </c>
      <c r="AF52" s="18" t="s">
        <v>39</v>
      </c>
      <c r="AG52" s="21"/>
      <c r="AH52" s="16" t="s">
        <v>22</v>
      </c>
      <c r="AI52" s="44" t="s">
        <v>11</v>
      </c>
      <c r="AJ52" s="44" t="s">
        <v>61</v>
      </c>
      <c r="AK52" s="44" t="s">
        <v>18</v>
      </c>
      <c r="AL52" s="45"/>
      <c r="AM52" s="156" t="s">
        <v>244</v>
      </c>
      <c r="AN52" s="157" t="s">
        <v>22</v>
      </c>
      <c r="AO52" s="158" t="s">
        <v>11</v>
      </c>
      <c r="AP52" s="158" t="s">
        <v>61</v>
      </c>
      <c r="AQ52" s="158" t="s">
        <v>18</v>
      </c>
      <c r="AR52" s="159">
        <v>24166.666666666701</v>
      </c>
      <c r="AS52" s="162"/>
    </row>
    <row r="53" spans="1:45" s="146" customFormat="1" ht="31.9" customHeight="1" x14ac:dyDescent="0.35">
      <c r="A53" s="20"/>
      <c r="B53" s="135"/>
      <c r="C53" s="119" t="s">
        <v>257</v>
      </c>
      <c r="D53" s="106"/>
      <c r="E53" s="106"/>
      <c r="F53" s="106"/>
      <c r="G53" s="106"/>
      <c r="H53" s="106"/>
      <c r="I53" s="106"/>
      <c r="J53" s="106"/>
      <c r="K53" s="69"/>
      <c r="L53" s="106"/>
      <c r="M53" s="106"/>
      <c r="N53" s="106"/>
      <c r="O53" s="13"/>
      <c r="P53" s="106"/>
      <c r="Q53" s="13"/>
      <c r="R53" s="106"/>
      <c r="S53" s="13"/>
      <c r="T53" s="106"/>
      <c r="U53" s="106"/>
      <c r="V53" s="74"/>
      <c r="W53" s="74"/>
      <c r="X53" s="106"/>
      <c r="Y53" s="106"/>
      <c r="Z53" s="106"/>
      <c r="AA53" s="13"/>
      <c r="AB53" s="106"/>
      <c r="AC53" s="106"/>
      <c r="AD53" s="13"/>
      <c r="AE53" s="106"/>
      <c r="AF53" s="106"/>
      <c r="AG53" s="106"/>
      <c r="AH53" s="106"/>
      <c r="AI53" s="106"/>
      <c r="AJ53" s="106"/>
      <c r="AK53" s="106"/>
      <c r="AL53" s="106"/>
      <c r="AM53" s="106"/>
      <c r="AN53" s="106"/>
      <c r="AO53" s="106"/>
      <c r="AP53" s="106"/>
      <c r="AQ53" s="106"/>
      <c r="AR53" s="106"/>
      <c r="AS53" s="106"/>
    </row>
    <row r="54" spans="1:45" s="148" customFormat="1" ht="50.45" customHeight="1" x14ac:dyDescent="0.35">
      <c r="A54" s="86"/>
      <c r="B54" s="86"/>
      <c r="C54" s="113" t="s">
        <v>204</v>
      </c>
      <c r="D54" s="139" t="s">
        <v>72</v>
      </c>
      <c r="E54" s="87" t="s">
        <v>160</v>
      </c>
      <c r="F54" s="87" t="s">
        <v>17</v>
      </c>
      <c r="G54" s="86" t="s">
        <v>11</v>
      </c>
      <c r="H54" s="88" t="s">
        <v>61</v>
      </c>
      <c r="I54" s="98">
        <v>1800</v>
      </c>
      <c r="J54" s="86">
        <v>2005</v>
      </c>
      <c r="K54" s="89">
        <f t="shared" si="20"/>
        <v>-9</v>
      </c>
      <c r="L54" s="90" t="s">
        <v>15</v>
      </c>
      <c r="M54" s="91">
        <v>15.8</v>
      </c>
      <c r="N54" s="91">
        <f>Q54/P54*100</f>
        <v>20.09009009009009</v>
      </c>
      <c r="O54" s="92">
        <f>P54/21</f>
        <v>52.857142857142854</v>
      </c>
      <c r="P54" s="91">
        <v>1110</v>
      </c>
      <c r="Q54" s="137">
        <v>223</v>
      </c>
      <c r="R54" s="43">
        <v>80.28</v>
      </c>
      <c r="S54" s="64">
        <f>+R54*1000/Q54</f>
        <v>360</v>
      </c>
      <c r="T54" s="91">
        <v>0</v>
      </c>
      <c r="U54" s="91">
        <v>0</v>
      </c>
      <c r="V54" s="65">
        <f t="shared" si="17"/>
        <v>80.28</v>
      </c>
      <c r="W54" s="65">
        <f>V54*12</f>
        <v>963.36</v>
      </c>
      <c r="X54" s="91">
        <v>0</v>
      </c>
      <c r="Y54" s="91">
        <v>0</v>
      </c>
      <c r="Z54" s="91">
        <v>160</v>
      </c>
      <c r="AA54" s="92">
        <f>SUM(W54:Z54)</f>
        <v>1123.3600000000001</v>
      </c>
      <c r="AB54" s="91">
        <v>160</v>
      </c>
      <c r="AC54" s="91">
        <v>138.4</v>
      </c>
      <c r="AD54" s="51">
        <f t="shared" si="19"/>
        <v>1421.7600000000002</v>
      </c>
      <c r="AE54" s="87" t="s">
        <v>38</v>
      </c>
      <c r="AF54" s="87" t="s">
        <v>39</v>
      </c>
      <c r="AG54" s="86"/>
      <c r="AH54" s="86"/>
      <c r="AI54" s="90"/>
      <c r="AJ54" s="90"/>
      <c r="AK54" s="90"/>
      <c r="AL54" s="90"/>
      <c r="AM54" s="156" t="s">
        <v>244</v>
      </c>
      <c r="AN54" s="157" t="s">
        <v>20</v>
      </c>
      <c r="AO54" s="158" t="s">
        <v>11</v>
      </c>
      <c r="AP54" s="158" t="s">
        <v>61</v>
      </c>
      <c r="AQ54" s="158" t="s">
        <v>18</v>
      </c>
      <c r="AR54" s="159">
        <v>10700</v>
      </c>
      <c r="AS54" s="113" t="s">
        <v>238</v>
      </c>
    </row>
    <row r="55" spans="1:45" s="147" customFormat="1" ht="48" customHeight="1" x14ac:dyDescent="0.35">
      <c r="A55" s="75"/>
      <c r="B55" s="75"/>
      <c r="C55" s="17" t="s">
        <v>203</v>
      </c>
      <c r="D55" s="139" t="s">
        <v>72</v>
      </c>
      <c r="E55" s="109" t="s">
        <v>248</v>
      </c>
      <c r="F55" s="139" t="s">
        <v>22</v>
      </c>
      <c r="G55" s="75" t="s">
        <v>11</v>
      </c>
      <c r="H55" s="79" t="s">
        <v>26</v>
      </c>
      <c r="I55" s="99">
        <v>144.80000000000001</v>
      </c>
      <c r="J55" s="75">
        <v>1992</v>
      </c>
      <c r="K55" s="80">
        <f t="shared" si="20"/>
        <v>-22</v>
      </c>
      <c r="L55" s="81" t="s">
        <v>15</v>
      </c>
      <c r="M55" s="137">
        <v>12.5</v>
      </c>
      <c r="N55" s="137">
        <v>0</v>
      </c>
      <c r="O55" s="138">
        <v>0</v>
      </c>
      <c r="P55" s="137">
        <v>0</v>
      </c>
      <c r="Q55" s="137">
        <v>0</v>
      </c>
      <c r="R55" s="137">
        <v>0</v>
      </c>
      <c r="S55" s="108">
        <v>0</v>
      </c>
      <c r="T55" s="137">
        <v>0</v>
      </c>
      <c r="U55" s="137">
        <v>0</v>
      </c>
      <c r="V55" s="83">
        <f t="shared" si="17"/>
        <v>0</v>
      </c>
      <c r="W55" s="83">
        <f>V55*12</f>
        <v>0</v>
      </c>
      <c r="X55" s="137">
        <v>0</v>
      </c>
      <c r="Y55" s="137">
        <v>0</v>
      </c>
      <c r="Z55" s="137">
        <v>0</v>
      </c>
      <c r="AA55" s="138">
        <v>0</v>
      </c>
      <c r="AB55" s="137"/>
      <c r="AC55" s="137"/>
      <c r="AD55" s="138"/>
      <c r="AE55" s="139" t="s">
        <v>38</v>
      </c>
      <c r="AF55" s="139" t="s">
        <v>39</v>
      </c>
      <c r="AG55" s="75"/>
      <c r="AH55" s="75"/>
      <c r="AI55" s="81"/>
      <c r="AJ55" s="81"/>
      <c r="AK55" s="81"/>
      <c r="AL55" s="81"/>
      <c r="AM55" s="84">
        <v>1</v>
      </c>
      <c r="AN55" s="75" t="s">
        <v>22</v>
      </c>
      <c r="AO55" s="81" t="s">
        <v>11</v>
      </c>
      <c r="AP55" s="81" t="s">
        <v>61</v>
      </c>
      <c r="AQ55" s="81" t="s">
        <v>18</v>
      </c>
      <c r="AR55" s="111">
        <v>24166.666666666701</v>
      </c>
      <c r="AS55" s="113" t="s">
        <v>225</v>
      </c>
    </row>
    <row r="56" spans="1:45" s="146" customFormat="1" ht="30" customHeight="1" x14ac:dyDescent="0.35">
      <c r="A56" s="20"/>
      <c r="B56" s="135"/>
      <c r="C56" s="119" t="s">
        <v>258</v>
      </c>
      <c r="D56" s="106"/>
      <c r="E56" s="106"/>
      <c r="F56" s="106"/>
      <c r="G56" s="106"/>
      <c r="H56" s="106"/>
      <c r="I56" s="106"/>
      <c r="J56" s="106"/>
      <c r="K56" s="69"/>
      <c r="L56" s="106"/>
      <c r="M56" s="106"/>
      <c r="N56" s="106"/>
      <c r="O56" s="13"/>
      <c r="P56" s="106"/>
      <c r="Q56" s="13"/>
      <c r="R56" s="106"/>
      <c r="S56" s="13"/>
      <c r="T56" s="106"/>
      <c r="U56" s="106"/>
      <c r="V56" s="74"/>
      <c r="W56" s="74"/>
      <c r="X56" s="106"/>
      <c r="Y56" s="106"/>
      <c r="Z56" s="106"/>
      <c r="AA56" s="13"/>
      <c r="AB56" s="106"/>
      <c r="AC56" s="106"/>
      <c r="AD56" s="13"/>
      <c r="AE56" s="106"/>
      <c r="AF56" s="106"/>
      <c r="AG56" s="106"/>
      <c r="AH56" s="106"/>
      <c r="AI56" s="106"/>
      <c r="AJ56" s="106"/>
      <c r="AK56" s="106"/>
      <c r="AL56" s="106"/>
      <c r="AM56" s="106"/>
      <c r="AN56" s="106"/>
      <c r="AO56" s="106"/>
      <c r="AP56" s="106"/>
      <c r="AQ56" s="106"/>
      <c r="AR56" s="106"/>
      <c r="AS56" s="106"/>
    </row>
    <row r="57" spans="1:45" s="147" customFormat="1" ht="204" x14ac:dyDescent="0.35">
      <c r="A57" s="120"/>
      <c r="B57" s="16">
        <v>1</v>
      </c>
      <c r="C57" s="93" t="s">
        <v>203</v>
      </c>
      <c r="D57" s="139" t="s">
        <v>33</v>
      </c>
      <c r="E57" s="139" t="s">
        <v>211</v>
      </c>
      <c r="F57" s="139" t="s">
        <v>10</v>
      </c>
      <c r="G57" s="139" t="s">
        <v>11</v>
      </c>
      <c r="H57" s="139" t="s">
        <v>26</v>
      </c>
      <c r="I57" s="139"/>
      <c r="J57" s="139">
        <v>2000</v>
      </c>
      <c r="K57" s="80">
        <f t="shared" si="20"/>
        <v>-14</v>
      </c>
      <c r="L57" s="139" t="s">
        <v>15</v>
      </c>
      <c r="M57" s="137">
        <v>12.5</v>
      </c>
      <c r="N57" s="139"/>
      <c r="O57" s="121"/>
      <c r="P57" s="139"/>
      <c r="Q57" s="121"/>
      <c r="R57" s="139"/>
      <c r="S57" s="121"/>
      <c r="T57" s="139"/>
      <c r="U57" s="139"/>
      <c r="V57" s="122"/>
      <c r="W57" s="122"/>
      <c r="X57" s="139"/>
      <c r="Y57" s="139"/>
      <c r="Z57" s="139"/>
      <c r="AA57" s="121"/>
      <c r="AB57" s="139"/>
      <c r="AC57" s="139"/>
      <c r="AD57" s="121"/>
      <c r="AE57" s="139" t="s">
        <v>38</v>
      </c>
      <c r="AF57" s="139" t="s">
        <v>41</v>
      </c>
      <c r="AG57" s="139"/>
      <c r="AH57" s="139"/>
      <c r="AI57" s="139"/>
      <c r="AJ57" s="139"/>
      <c r="AK57" s="139"/>
      <c r="AL57" s="139"/>
      <c r="AM57" s="202" t="s">
        <v>244</v>
      </c>
      <c r="AN57" s="202" t="s">
        <v>17</v>
      </c>
      <c r="AO57" s="202" t="s">
        <v>11</v>
      </c>
      <c r="AP57" s="202" t="s">
        <v>26</v>
      </c>
      <c r="AQ57" s="202" t="s">
        <v>18</v>
      </c>
      <c r="AR57" s="159">
        <v>10700</v>
      </c>
      <c r="AS57" s="118" t="s">
        <v>215</v>
      </c>
    </row>
    <row r="58" spans="1:45" s="147" customFormat="1" ht="48" customHeight="1" x14ac:dyDescent="0.35">
      <c r="A58" s="75"/>
      <c r="B58" s="16">
        <v>2</v>
      </c>
      <c r="C58" s="93" t="s">
        <v>203</v>
      </c>
      <c r="D58" s="139" t="s">
        <v>33</v>
      </c>
      <c r="E58" s="109" t="s">
        <v>212</v>
      </c>
      <c r="F58" s="139" t="s">
        <v>22</v>
      </c>
      <c r="G58" s="75" t="s">
        <v>11</v>
      </c>
      <c r="H58" s="79" t="s">
        <v>61</v>
      </c>
      <c r="I58" s="99"/>
      <c r="J58" s="75">
        <v>1998</v>
      </c>
      <c r="K58" s="80">
        <f t="shared" si="20"/>
        <v>-16</v>
      </c>
      <c r="L58" s="81" t="s">
        <v>15</v>
      </c>
      <c r="M58" s="137">
        <v>16.5</v>
      </c>
      <c r="N58" s="137"/>
      <c r="O58" s="138"/>
      <c r="P58" s="137"/>
      <c r="Q58" s="137"/>
      <c r="R58" s="137"/>
      <c r="S58" s="108"/>
      <c r="T58" s="137"/>
      <c r="U58" s="137"/>
      <c r="V58" s="83"/>
      <c r="W58" s="83"/>
      <c r="X58" s="137"/>
      <c r="Y58" s="137"/>
      <c r="Z58" s="137"/>
      <c r="AA58" s="138"/>
      <c r="AB58" s="137"/>
      <c r="AC58" s="137"/>
      <c r="AD58" s="138"/>
      <c r="AE58" s="139"/>
      <c r="AF58" s="139"/>
      <c r="AG58" s="75"/>
      <c r="AH58" s="75"/>
      <c r="AI58" s="81"/>
      <c r="AJ58" s="81"/>
      <c r="AK58" s="81"/>
      <c r="AL58" s="81"/>
      <c r="AM58" s="84">
        <v>1</v>
      </c>
      <c r="AN58" s="75" t="s">
        <v>22</v>
      </c>
      <c r="AO58" s="81" t="s">
        <v>11</v>
      </c>
      <c r="AP58" s="81" t="s">
        <v>61</v>
      </c>
      <c r="AQ58" s="81" t="s">
        <v>18</v>
      </c>
      <c r="AR58" s="111"/>
      <c r="AS58" s="113" t="s">
        <v>226</v>
      </c>
    </row>
    <row r="59" spans="1:45" s="146" customFormat="1" ht="30" customHeight="1" x14ac:dyDescent="0.35">
      <c r="A59" s="20"/>
      <c r="B59" s="135"/>
      <c r="C59" s="119" t="s">
        <v>259</v>
      </c>
      <c r="D59" s="106"/>
      <c r="E59" s="106"/>
      <c r="F59" s="106"/>
      <c r="G59" s="106"/>
      <c r="H59" s="106"/>
      <c r="I59" s="106"/>
      <c r="J59" s="106"/>
      <c r="K59" s="69"/>
      <c r="L59" s="106"/>
      <c r="M59" s="106"/>
      <c r="N59" s="106"/>
      <c r="O59" s="13"/>
      <c r="P59" s="106"/>
      <c r="Q59" s="13"/>
      <c r="R59" s="106"/>
      <c r="S59" s="13"/>
      <c r="T59" s="106"/>
      <c r="U59" s="106"/>
      <c r="V59" s="74"/>
      <c r="W59" s="74"/>
      <c r="X59" s="106"/>
      <c r="Y59" s="106"/>
      <c r="Z59" s="106"/>
      <c r="AA59" s="13"/>
      <c r="AB59" s="106"/>
      <c r="AC59" s="106"/>
      <c r="AD59" s="13"/>
      <c r="AE59" s="106"/>
      <c r="AF59" s="106"/>
      <c r="AG59" s="106"/>
      <c r="AH59" s="106"/>
      <c r="AI59" s="106"/>
      <c r="AJ59" s="106"/>
      <c r="AK59" s="106"/>
      <c r="AL59" s="106"/>
      <c r="AM59" s="106"/>
      <c r="AN59" s="106"/>
      <c r="AO59" s="106"/>
      <c r="AP59" s="106"/>
      <c r="AQ59" s="106"/>
      <c r="AR59" s="106"/>
      <c r="AS59" s="106"/>
    </row>
    <row r="60" spans="1:45" s="146" customFormat="1" ht="69.75" customHeight="1" x14ac:dyDescent="0.35">
      <c r="A60" s="20"/>
      <c r="B60" s="16">
        <v>1</v>
      </c>
      <c r="C60" s="113" t="s">
        <v>204</v>
      </c>
      <c r="D60" s="18" t="s">
        <v>33</v>
      </c>
      <c r="E60" s="18" t="s">
        <v>134</v>
      </c>
      <c r="F60" s="18" t="s">
        <v>17</v>
      </c>
      <c r="G60" s="16" t="s">
        <v>11</v>
      </c>
      <c r="H60" s="19" t="s">
        <v>14</v>
      </c>
      <c r="I60" s="98">
        <v>1950000</v>
      </c>
      <c r="J60" s="16">
        <v>2008</v>
      </c>
      <c r="K60" s="68">
        <f>IF(J60="մինչև 2000","օգտակար ծառայության ժամկետը սպառված է",10-($K$12-J60))</f>
        <v>-6</v>
      </c>
      <c r="L60" s="44" t="s">
        <v>15</v>
      </c>
      <c r="M60" s="43">
        <v>7</v>
      </c>
      <c r="N60" s="91">
        <f>Q60/P60*100</f>
        <v>7.0000000000000009</v>
      </c>
      <c r="O60" s="51">
        <f>P60/21</f>
        <v>114.28571428571429</v>
      </c>
      <c r="P60" s="43">
        <v>2400</v>
      </c>
      <c r="Q60" s="43">
        <v>168</v>
      </c>
      <c r="R60" s="64">
        <v>70.56</v>
      </c>
      <c r="S60" s="64">
        <f>+R60*1000/Q60</f>
        <v>420</v>
      </c>
      <c r="T60" s="137">
        <v>0</v>
      </c>
      <c r="U60" s="43">
        <v>0</v>
      </c>
      <c r="V60" s="65">
        <f>(R60+U60)</f>
        <v>70.56</v>
      </c>
      <c r="W60" s="65">
        <f>V60*12</f>
        <v>846.72</v>
      </c>
      <c r="X60" s="43">
        <v>0</v>
      </c>
      <c r="Y60" s="43">
        <v>32</v>
      </c>
      <c r="Z60" s="43">
        <v>765</v>
      </c>
      <c r="AA60" s="51">
        <f>SUM(W60:Z60)</f>
        <v>1643.72</v>
      </c>
      <c r="AB60" s="43">
        <v>710</v>
      </c>
      <c r="AC60" s="43">
        <v>6.01</v>
      </c>
      <c r="AD60" s="51">
        <f>SUM(AA60:AC60)</f>
        <v>2359.7300000000005</v>
      </c>
      <c r="AE60" s="18"/>
      <c r="AF60" s="18"/>
      <c r="AG60" s="21"/>
      <c r="AH60" s="16" t="s">
        <v>17</v>
      </c>
      <c r="AI60" s="44" t="s">
        <v>11</v>
      </c>
      <c r="AJ60" s="44" t="s">
        <v>61</v>
      </c>
      <c r="AK60" s="44" t="s">
        <v>18</v>
      </c>
      <c r="AL60" s="45"/>
      <c r="AM60" s="84">
        <v>1</v>
      </c>
      <c r="AN60" s="75" t="s">
        <v>17</v>
      </c>
      <c r="AO60" s="81" t="s">
        <v>11</v>
      </c>
      <c r="AP60" s="44" t="s">
        <v>61</v>
      </c>
      <c r="AQ60" s="81" t="s">
        <v>18</v>
      </c>
      <c r="AR60" s="111">
        <v>24166.666666666701</v>
      </c>
      <c r="AS60" s="182" t="s">
        <v>214</v>
      </c>
    </row>
    <row r="61" spans="1:45" s="146" customFormat="1" ht="59.25" customHeight="1" x14ac:dyDescent="0.35">
      <c r="A61" s="20"/>
      <c r="B61" s="16"/>
      <c r="C61" s="113"/>
      <c r="D61" s="18"/>
      <c r="E61" s="18"/>
      <c r="F61" s="18"/>
      <c r="G61" s="16"/>
      <c r="H61" s="19"/>
      <c r="I61" s="98"/>
      <c r="J61" s="16"/>
      <c r="K61" s="68"/>
      <c r="L61" s="44"/>
      <c r="M61" s="43"/>
      <c r="N61" s="91"/>
      <c r="O61" s="51"/>
      <c r="P61" s="43"/>
      <c r="Q61" s="43"/>
      <c r="R61" s="64"/>
      <c r="S61" s="64"/>
      <c r="T61" s="154"/>
      <c r="U61" s="43"/>
      <c r="V61" s="65"/>
      <c r="W61" s="65"/>
      <c r="X61" s="43"/>
      <c r="Y61" s="43"/>
      <c r="Z61" s="43"/>
      <c r="AA61" s="51"/>
      <c r="AB61" s="43"/>
      <c r="AC61" s="43"/>
      <c r="AD61" s="51"/>
      <c r="AE61" s="18" t="s">
        <v>38</v>
      </c>
      <c r="AF61" s="18" t="s">
        <v>41</v>
      </c>
      <c r="AG61" s="21"/>
      <c r="AH61" s="16"/>
      <c r="AI61" s="44"/>
      <c r="AJ61" s="44"/>
      <c r="AK61" s="44"/>
      <c r="AL61" s="45"/>
      <c r="AM61" s="84">
        <v>1</v>
      </c>
      <c r="AN61" s="75" t="s">
        <v>22</v>
      </c>
      <c r="AO61" s="81" t="s">
        <v>11</v>
      </c>
      <c r="AP61" s="81" t="s">
        <v>61</v>
      </c>
      <c r="AQ61" s="81" t="s">
        <v>18</v>
      </c>
      <c r="AR61" s="111">
        <v>24166.666666666701</v>
      </c>
      <c r="AS61" s="183"/>
    </row>
    <row r="62" spans="1:45" s="146" customFormat="1" ht="30" customHeight="1" x14ac:dyDescent="0.35">
      <c r="A62" s="20"/>
      <c r="B62" s="135"/>
      <c r="C62" s="119" t="s">
        <v>260</v>
      </c>
      <c r="D62" s="106"/>
      <c r="E62" s="106"/>
      <c r="F62" s="106"/>
      <c r="G62" s="106"/>
      <c r="H62" s="106"/>
      <c r="I62" s="106"/>
      <c r="J62" s="106"/>
      <c r="K62" s="69"/>
      <c r="L62" s="106"/>
      <c r="M62" s="106"/>
      <c r="N62" s="106"/>
      <c r="O62" s="13"/>
      <c r="P62" s="106"/>
      <c r="Q62" s="13"/>
      <c r="R62" s="106"/>
      <c r="S62" s="13"/>
      <c r="T62" s="106"/>
      <c r="U62" s="106"/>
      <c r="V62" s="74"/>
      <c r="W62" s="74"/>
      <c r="X62" s="106"/>
      <c r="Y62" s="106"/>
      <c r="Z62" s="106"/>
      <c r="AA62" s="13"/>
      <c r="AB62" s="106"/>
      <c r="AC62" s="106"/>
      <c r="AD62" s="13"/>
      <c r="AE62" s="106"/>
      <c r="AF62" s="106"/>
      <c r="AG62" s="106"/>
      <c r="AH62" s="106"/>
      <c r="AI62" s="106"/>
      <c r="AJ62" s="106"/>
      <c r="AK62" s="106"/>
      <c r="AL62" s="106"/>
      <c r="AM62" s="106"/>
      <c r="AN62" s="106"/>
      <c r="AO62" s="106"/>
      <c r="AP62" s="106"/>
      <c r="AQ62" s="106"/>
      <c r="AR62" s="106"/>
      <c r="AS62" s="106"/>
    </row>
    <row r="63" spans="1:45" s="147" customFormat="1" ht="42.75" x14ac:dyDescent="0.35">
      <c r="A63" s="75"/>
      <c r="B63" s="16">
        <v>1</v>
      </c>
      <c r="C63" s="113" t="s">
        <v>204</v>
      </c>
      <c r="D63" s="139" t="s">
        <v>33</v>
      </c>
      <c r="E63" s="109" t="s">
        <v>250</v>
      </c>
      <c r="F63" s="139" t="s">
        <v>20</v>
      </c>
      <c r="G63" s="75" t="s">
        <v>11</v>
      </c>
      <c r="H63" s="79" t="s">
        <v>14</v>
      </c>
      <c r="I63" s="99">
        <v>960</v>
      </c>
      <c r="J63" s="75">
        <v>2007</v>
      </c>
      <c r="K63" s="80">
        <f t="shared" si="20"/>
        <v>-7</v>
      </c>
      <c r="L63" s="81" t="s">
        <v>15</v>
      </c>
      <c r="M63" s="137"/>
      <c r="N63" s="91"/>
      <c r="O63" s="51"/>
      <c r="P63" s="137"/>
      <c r="Q63" s="82"/>
      <c r="R63" s="137"/>
      <c r="S63" s="64"/>
      <c r="T63" s="137"/>
      <c r="U63" s="137"/>
      <c r="V63" s="83"/>
      <c r="W63" s="65"/>
      <c r="X63" s="137">
        <v>62</v>
      </c>
      <c r="Y63" s="137"/>
      <c r="Z63" s="138">
        <v>12.7</v>
      </c>
      <c r="AA63" s="51">
        <f>SUM(W63:Z63)</f>
        <v>74.7</v>
      </c>
      <c r="AB63" s="137">
        <v>69</v>
      </c>
      <c r="AC63" s="137"/>
      <c r="AD63" s="51">
        <f>SUM(AA63:AC63)</f>
        <v>143.69999999999999</v>
      </c>
      <c r="AE63" s="139" t="s">
        <v>38</v>
      </c>
      <c r="AF63" s="139" t="s">
        <v>41</v>
      </c>
      <c r="AG63" s="75"/>
      <c r="AH63" s="75" t="s">
        <v>17</v>
      </c>
      <c r="AI63" s="81" t="s">
        <v>11</v>
      </c>
      <c r="AJ63" s="81" t="s">
        <v>26</v>
      </c>
      <c r="AK63" s="81" t="s">
        <v>18</v>
      </c>
      <c r="AL63" s="81"/>
      <c r="AM63" s="84">
        <v>1</v>
      </c>
      <c r="AN63" s="75" t="s">
        <v>22</v>
      </c>
      <c r="AO63" s="81" t="s">
        <v>11</v>
      </c>
      <c r="AP63" s="81" t="s">
        <v>61</v>
      </c>
      <c r="AQ63" s="81" t="s">
        <v>18</v>
      </c>
      <c r="AR63" s="111">
        <f>1*AR61</f>
        <v>24166.666666666701</v>
      </c>
      <c r="AS63" s="113" t="s">
        <v>227</v>
      </c>
    </row>
    <row r="64" spans="1:45" s="146" customFormat="1" ht="44.45" customHeight="1" x14ac:dyDescent="0.35">
      <c r="A64" s="20"/>
      <c r="B64" s="135"/>
      <c r="C64" s="119" t="s">
        <v>261</v>
      </c>
      <c r="D64" s="106"/>
      <c r="E64" s="106"/>
      <c r="F64" s="106"/>
      <c r="G64" s="106"/>
      <c r="H64" s="106"/>
      <c r="I64" s="106"/>
      <c r="J64" s="106"/>
      <c r="K64" s="69"/>
      <c r="L64" s="106"/>
      <c r="M64" s="106"/>
      <c r="N64" s="106"/>
      <c r="O64" s="13"/>
      <c r="P64" s="106"/>
      <c r="Q64" s="13"/>
      <c r="R64" s="106"/>
      <c r="S64" s="13"/>
      <c r="T64" s="106"/>
      <c r="U64" s="106"/>
      <c r="V64" s="74"/>
      <c r="W64" s="74"/>
      <c r="X64" s="106"/>
      <c r="Y64" s="106"/>
      <c r="Z64" s="106"/>
      <c r="AA64" s="13"/>
      <c r="AB64" s="106"/>
      <c r="AC64" s="106"/>
      <c r="AD64" s="13"/>
      <c r="AE64" s="106"/>
      <c r="AF64" s="106"/>
      <c r="AG64" s="106"/>
      <c r="AH64" s="106"/>
      <c r="AI64" s="106"/>
      <c r="AJ64" s="106"/>
      <c r="AK64" s="106"/>
      <c r="AL64" s="106"/>
      <c r="AM64" s="106"/>
      <c r="AN64" s="106"/>
      <c r="AO64" s="106"/>
      <c r="AP64" s="106"/>
      <c r="AQ64" s="106"/>
      <c r="AR64" s="106"/>
      <c r="AS64" s="106"/>
    </row>
    <row r="65" spans="1:45" s="147" customFormat="1" ht="27" x14ac:dyDescent="0.35">
      <c r="A65" s="75"/>
      <c r="B65" s="16">
        <v>1</v>
      </c>
      <c r="C65" s="113" t="s">
        <v>204</v>
      </c>
      <c r="D65" s="139" t="s">
        <v>33</v>
      </c>
      <c r="E65" s="139" t="s">
        <v>135</v>
      </c>
      <c r="F65" s="139" t="s">
        <v>10</v>
      </c>
      <c r="G65" s="75" t="s">
        <v>11</v>
      </c>
      <c r="H65" s="79" t="s">
        <v>14</v>
      </c>
      <c r="I65" s="99">
        <v>3779.36</v>
      </c>
      <c r="J65" s="75">
        <v>2006</v>
      </c>
      <c r="K65" s="80">
        <f t="shared" si="20"/>
        <v>-8</v>
      </c>
      <c r="L65" s="81"/>
      <c r="M65" s="137">
        <v>10</v>
      </c>
      <c r="N65" s="137">
        <f>Q65/P65*100</f>
        <v>14.24</v>
      </c>
      <c r="O65" s="138">
        <f>P65/21</f>
        <v>15.714285714285714</v>
      </c>
      <c r="P65" s="137">
        <v>330</v>
      </c>
      <c r="Q65" s="82">
        <v>46.991999999999997</v>
      </c>
      <c r="R65" s="137">
        <f>Q65*422/1000</f>
        <v>19.830624</v>
      </c>
      <c r="S65" s="107">
        <f>+R65*1000/Q65</f>
        <v>422</v>
      </c>
      <c r="T65" s="137">
        <v>0</v>
      </c>
      <c r="U65" s="137">
        <v>0</v>
      </c>
      <c r="V65" s="83">
        <f>(R65+U65)</f>
        <v>19.830624</v>
      </c>
      <c r="W65" s="65">
        <f>V65*12</f>
        <v>237.967488</v>
      </c>
      <c r="X65" s="137">
        <v>0</v>
      </c>
      <c r="Y65" s="137">
        <v>0</v>
      </c>
      <c r="Z65" s="137">
        <v>0</v>
      </c>
      <c r="AA65" s="138"/>
      <c r="AB65" s="137">
        <v>200</v>
      </c>
      <c r="AC65" s="137">
        <v>8</v>
      </c>
      <c r="AD65" s="138"/>
      <c r="AE65" s="139" t="s">
        <v>38</v>
      </c>
      <c r="AF65" s="139" t="s">
        <v>39</v>
      </c>
      <c r="AG65" s="75"/>
      <c r="AH65" s="75"/>
      <c r="AI65" s="81"/>
      <c r="AJ65" s="81"/>
      <c r="AK65" s="81"/>
      <c r="AL65" s="81"/>
      <c r="AM65" s="84">
        <v>1</v>
      </c>
      <c r="AN65" s="75" t="s">
        <v>22</v>
      </c>
      <c r="AO65" s="81" t="s">
        <v>11</v>
      </c>
      <c r="AP65" s="81" t="s">
        <v>61</v>
      </c>
      <c r="AQ65" s="81" t="s">
        <v>18</v>
      </c>
      <c r="AR65" s="111">
        <f>1*AR63</f>
        <v>24166.666666666701</v>
      </c>
      <c r="AS65" s="113" t="s">
        <v>225</v>
      </c>
    </row>
    <row r="66" spans="1:45" s="146" customFormat="1" ht="30" customHeight="1" x14ac:dyDescent="0.35">
      <c r="A66" s="20"/>
      <c r="B66" s="135"/>
      <c r="C66" s="119" t="s">
        <v>262</v>
      </c>
      <c r="D66" s="106"/>
      <c r="E66" s="106"/>
      <c r="F66" s="106"/>
      <c r="G66" s="106"/>
      <c r="H66" s="106"/>
      <c r="I66" s="106"/>
      <c r="J66" s="106"/>
      <c r="K66" s="69"/>
      <c r="L66" s="106"/>
      <c r="M66" s="106"/>
      <c r="N66" s="106"/>
      <c r="O66" s="13"/>
      <c r="P66" s="106"/>
      <c r="Q66" s="13"/>
      <c r="R66" s="106"/>
      <c r="S66" s="13"/>
      <c r="T66" s="106"/>
      <c r="U66" s="106"/>
      <c r="V66" s="74"/>
      <c r="W66" s="74"/>
      <c r="X66" s="106"/>
      <c r="Y66" s="106"/>
      <c r="Z66" s="106"/>
      <c r="AA66" s="13"/>
      <c r="AB66" s="106"/>
      <c r="AC66" s="106"/>
      <c r="AD66" s="13"/>
      <c r="AE66" s="106"/>
      <c r="AF66" s="106"/>
      <c r="AG66" s="106"/>
      <c r="AH66" s="106"/>
      <c r="AI66" s="106"/>
      <c r="AJ66" s="106"/>
      <c r="AK66" s="106"/>
      <c r="AL66" s="106"/>
      <c r="AM66" s="106"/>
      <c r="AN66" s="106"/>
      <c r="AO66" s="106"/>
      <c r="AP66" s="106"/>
      <c r="AQ66" s="106"/>
      <c r="AR66" s="106"/>
      <c r="AS66" s="106"/>
    </row>
    <row r="67" spans="1:45" ht="40.5" x14ac:dyDescent="0.35">
      <c r="A67" s="16"/>
      <c r="B67" s="16">
        <v>1</v>
      </c>
      <c r="C67" s="17" t="s">
        <v>203</v>
      </c>
      <c r="D67" s="139" t="s">
        <v>34</v>
      </c>
      <c r="E67" s="18" t="s">
        <v>136</v>
      </c>
      <c r="F67" s="18" t="s">
        <v>22</v>
      </c>
      <c r="G67" s="16" t="s">
        <v>16</v>
      </c>
      <c r="H67" s="19" t="s">
        <v>61</v>
      </c>
      <c r="I67" s="98">
        <v>1730</v>
      </c>
      <c r="J67" s="16">
        <v>2022</v>
      </c>
      <c r="K67" s="68">
        <f t="shared" si="20"/>
        <v>8</v>
      </c>
      <c r="L67" s="44" t="s">
        <v>15</v>
      </c>
      <c r="M67" s="43">
        <v>12.7</v>
      </c>
      <c r="N67" s="43">
        <f>Q67/P67*100</f>
        <v>12.637362637362637</v>
      </c>
      <c r="O67" s="51"/>
      <c r="P67" s="43">
        <v>1729</v>
      </c>
      <c r="Q67" s="64">
        <v>218.5</v>
      </c>
      <c r="R67" s="43">
        <f>Q67*278/1000</f>
        <v>60.743000000000002</v>
      </c>
      <c r="S67" s="76">
        <f>+R67*1000/Q67</f>
        <v>278</v>
      </c>
      <c r="T67" s="43"/>
      <c r="U67" s="43"/>
      <c r="V67" s="65">
        <f>(R67+U67)</f>
        <v>60.743000000000002</v>
      </c>
      <c r="W67" s="65">
        <f>V67*12</f>
        <v>728.91600000000005</v>
      </c>
      <c r="X67" s="43"/>
      <c r="Y67" s="43"/>
      <c r="Z67" s="43">
        <v>15</v>
      </c>
      <c r="AA67" s="51"/>
      <c r="AB67" s="43"/>
      <c r="AC67" s="43">
        <v>10</v>
      </c>
      <c r="AD67" s="51"/>
      <c r="AE67" s="18"/>
      <c r="AF67" s="18"/>
      <c r="AG67" s="21"/>
      <c r="AH67" s="16"/>
      <c r="AI67" s="44"/>
      <c r="AJ67" s="44"/>
      <c r="AK67" s="44"/>
      <c r="AL67" s="45"/>
      <c r="AM67" s="46"/>
      <c r="AN67" s="16"/>
      <c r="AO67" s="44"/>
      <c r="AP67" s="44"/>
      <c r="AQ67" s="44"/>
      <c r="AR67" s="46"/>
      <c r="AS67" s="18"/>
    </row>
    <row r="68" spans="1:45" ht="40.5" x14ac:dyDescent="0.35">
      <c r="A68" s="16"/>
      <c r="B68" s="16">
        <v>2</v>
      </c>
      <c r="C68" s="17" t="s">
        <v>203</v>
      </c>
      <c r="D68" s="139" t="s">
        <v>34</v>
      </c>
      <c r="E68" s="18" t="s">
        <v>136</v>
      </c>
      <c r="F68" s="18" t="s">
        <v>22</v>
      </c>
      <c r="G68" s="16" t="s">
        <v>16</v>
      </c>
      <c r="H68" s="19" t="s">
        <v>61</v>
      </c>
      <c r="I68" s="98">
        <v>17.3</v>
      </c>
      <c r="J68" s="16">
        <v>2022</v>
      </c>
      <c r="K68" s="68">
        <f t="shared" si="20"/>
        <v>8</v>
      </c>
      <c r="L68" s="44" t="s">
        <v>18</v>
      </c>
      <c r="M68" s="43">
        <v>12.7</v>
      </c>
      <c r="N68" s="43">
        <f t="shared" ref="N68:N73" si="21">Q68/P68*100</f>
        <v>13.138510808646917</v>
      </c>
      <c r="O68" s="51"/>
      <c r="P68" s="43">
        <v>1249</v>
      </c>
      <c r="Q68" s="64">
        <v>164.1</v>
      </c>
      <c r="R68" s="43">
        <f>Q68*278/1000</f>
        <v>45.619799999999998</v>
      </c>
      <c r="S68" s="76">
        <f>+R68*1000/Q68</f>
        <v>278</v>
      </c>
      <c r="T68" s="43"/>
      <c r="U68" s="43"/>
      <c r="V68" s="65">
        <f>(R68+U68)</f>
        <v>45.619799999999998</v>
      </c>
      <c r="W68" s="65">
        <f>V68*12</f>
        <v>547.43759999999997</v>
      </c>
      <c r="X68" s="43"/>
      <c r="Y68" s="43"/>
      <c r="Z68" s="43">
        <v>15</v>
      </c>
      <c r="AA68" s="51"/>
      <c r="AB68" s="43"/>
      <c r="AC68" s="43">
        <v>10</v>
      </c>
      <c r="AD68" s="51"/>
      <c r="AE68" s="18"/>
      <c r="AF68" s="18"/>
      <c r="AG68" s="21"/>
      <c r="AH68" s="16"/>
      <c r="AI68" s="44"/>
      <c r="AJ68" s="44"/>
      <c r="AK68" s="44"/>
      <c r="AL68" s="45"/>
      <c r="AM68" s="46"/>
      <c r="AN68" s="16"/>
      <c r="AO68" s="44"/>
      <c r="AP68" s="44"/>
      <c r="AQ68" s="44"/>
      <c r="AR68" s="46"/>
      <c r="AS68" s="18"/>
    </row>
    <row r="69" spans="1:45" ht="40.5" x14ac:dyDescent="0.35">
      <c r="A69" s="16"/>
      <c r="B69" s="16">
        <v>3</v>
      </c>
      <c r="C69" s="17" t="s">
        <v>203</v>
      </c>
      <c r="D69" s="139" t="s">
        <v>34</v>
      </c>
      <c r="E69" s="18" t="s">
        <v>139</v>
      </c>
      <c r="F69" s="18" t="s">
        <v>17</v>
      </c>
      <c r="G69" s="16" t="s">
        <v>19</v>
      </c>
      <c r="H69" s="19" t="s">
        <v>26</v>
      </c>
      <c r="I69" s="98">
        <v>1853.6</v>
      </c>
      <c r="J69" s="16">
        <v>2006</v>
      </c>
      <c r="K69" s="68">
        <f t="shared" si="20"/>
        <v>-8</v>
      </c>
      <c r="L69" s="44" t="s">
        <v>18</v>
      </c>
      <c r="M69" s="43">
        <v>12</v>
      </c>
      <c r="N69" s="43">
        <f>Q69/P69*100</f>
        <v>12.987012987012985</v>
      </c>
      <c r="O69" s="51"/>
      <c r="P69" s="43">
        <v>462</v>
      </c>
      <c r="Q69" s="64">
        <v>60</v>
      </c>
      <c r="R69" s="43">
        <f>Q69*554/1000</f>
        <v>33.24</v>
      </c>
      <c r="S69" s="76">
        <f>+R69*1000/Q69</f>
        <v>554</v>
      </c>
      <c r="T69" s="43"/>
      <c r="U69" s="43"/>
      <c r="V69" s="65">
        <f>(R69+U69)</f>
        <v>33.24</v>
      </c>
      <c r="W69" s="65">
        <f>V69*12</f>
        <v>398.88</v>
      </c>
      <c r="X69" s="43">
        <v>104</v>
      </c>
      <c r="Y69" s="43">
        <v>37</v>
      </c>
      <c r="Z69" s="43">
        <v>50</v>
      </c>
      <c r="AA69" s="51">
        <f t="shared" ref="AA69:AA80" si="22">SUM(W69:Z69)</f>
        <v>589.88</v>
      </c>
      <c r="AB69" s="43">
        <v>200</v>
      </c>
      <c r="AC69" s="43">
        <v>11</v>
      </c>
      <c r="AD69" s="51"/>
      <c r="AE69" s="18"/>
      <c r="AF69" s="18"/>
      <c r="AG69" s="21"/>
      <c r="AH69" s="16"/>
      <c r="AI69" s="44"/>
      <c r="AJ69" s="44"/>
      <c r="AK69" s="44"/>
      <c r="AL69" s="45"/>
      <c r="AM69" s="46"/>
      <c r="AN69" s="16"/>
      <c r="AO69" s="44"/>
      <c r="AP69" s="44"/>
      <c r="AQ69" s="44"/>
      <c r="AR69" s="46"/>
      <c r="AS69" s="18"/>
    </row>
    <row r="70" spans="1:45" ht="40.5" x14ac:dyDescent="0.35">
      <c r="A70" s="16"/>
      <c r="B70" s="16">
        <v>4</v>
      </c>
      <c r="C70" s="17" t="s">
        <v>203</v>
      </c>
      <c r="D70" s="139" t="s">
        <v>34</v>
      </c>
      <c r="E70" s="18" t="s">
        <v>140</v>
      </c>
      <c r="F70" s="18" t="s">
        <v>17</v>
      </c>
      <c r="G70" s="16" t="s">
        <v>19</v>
      </c>
      <c r="H70" s="19" t="s">
        <v>26</v>
      </c>
      <c r="I70" s="98">
        <v>1092.4000000000001</v>
      </c>
      <c r="J70" s="16">
        <v>2005</v>
      </c>
      <c r="K70" s="68">
        <f t="shared" si="20"/>
        <v>-9</v>
      </c>
      <c r="L70" s="44" t="s">
        <v>18</v>
      </c>
      <c r="M70" s="43">
        <v>12</v>
      </c>
      <c r="N70" s="43">
        <f t="shared" si="21"/>
        <v>11.93548387096774</v>
      </c>
      <c r="O70" s="51"/>
      <c r="P70" s="43">
        <v>279</v>
      </c>
      <c r="Q70" s="64">
        <v>33.299999999999997</v>
      </c>
      <c r="R70" s="43">
        <f>Q70*554/1000</f>
        <v>18.448199999999996</v>
      </c>
      <c r="S70" s="76">
        <f>+R70*1000/Q70</f>
        <v>554</v>
      </c>
      <c r="T70" s="43"/>
      <c r="U70" s="43"/>
      <c r="V70" s="65">
        <f>(R70+U70)</f>
        <v>18.448199999999996</v>
      </c>
      <c r="W70" s="65">
        <f>V70*12</f>
        <v>221.37839999999994</v>
      </c>
      <c r="X70" s="43"/>
      <c r="Y70" s="43"/>
      <c r="Z70" s="43"/>
      <c r="AA70" s="51">
        <f t="shared" si="22"/>
        <v>221.37839999999994</v>
      </c>
      <c r="AB70" s="43">
        <v>101</v>
      </c>
      <c r="AC70" s="43">
        <v>11</v>
      </c>
      <c r="AD70" s="51"/>
      <c r="AE70" s="18"/>
      <c r="AF70" s="18"/>
      <c r="AG70" s="21"/>
      <c r="AH70" s="16"/>
      <c r="AI70" s="44"/>
      <c r="AJ70" s="44"/>
      <c r="AK70" s="44"/>
      <c r="AL70" s="45"/>
      <c r="AM70" s="46"/>
      <c r="AN70" s="16"/>
      <c r="AO70" s="44"/>
      <c r="AP70" s="44"/>
      <c r="AQ70" s="44"/>
      <c r="AR70" s="46"/>
      <c r="AS70" s="18"/>
    </row>
    <row r="71" spans="1:45" ht="40.5" x14ac:dyDescent="0.35">
      <c r="A71" s="16">
        <v>8</v>
      </c>
      <c r="B71" s="16">
        <v>5</v>
      </c>
      <c r="C71" s="17" t="s">
        <v>203</v>
      </c>
      <c r="D71" s="139" t="s">
        <v>34</v>
      </c>
      <c r="E71" s="18" t="s">
        <v>141</v>
      </c>
      <c r="F71" s="18" t="s">
        <v>22</v>
      </c>
      <c r="G71" s="16" t="s">
        <v>19</v>
      </c>
      <c r="H71" s="19" t="s">
        <v>61</v>
      </c>
      <c r="I71" s="98">
        <v>7984.3</v>
      </c>
      <c r="J71" s="16">
        <v>2008</v>
      </c>
      <c r="K71" s="68">
        <f t="shared" si="20"/>
        <v>-6</v>
      </c>
      <c r="L71" s="44" t="s">
        <v>18</v>
      </c>
      <c r="M71" s="43">
        <v>14</v>
      </c>
      <c r="N71" s="43">
        <f>Q71/P71*100</f>
        <v>12.957746478873238</v>
      </c>
      <c r="O71" s="51"/>
      <c r="P71" s="43">
        <v>71</v>
      </c>
      <c r="Q71" s="64">
        <v>9.1999999999999993</v>
      </c>
      <c r="R71" s="43">
        <f>Q71*554/1000</f>
        <v>5.0967999999999991</v>
      </c>
      <c r="S71" s="64">
        <f t="shared" ref="S71:S80" si="23">+R71*1000/Q71</f>
        <v>554</v>
      </c>
      <c r="T71" s="43"/>
      <c r="U71" s="43"/>
      <c r="V71" s="65">
        <f>(R71+U71)</f>
        <v>5.0967999999999991</v>
      </c>
      <c r="W71" s="65">
        <f>V71*12</f>
        <v>61.161599999999993</v>
      </c>
      <c r="X71" s="43"/>
      <c r="Y71" s="43"/>
      <c r="Z71" s="43">
        <v>45</v>
      </c>
      <c r="AA71" s="51">
        <f t="shared" si="22"/>
        <v>106.16159999999999</v>
      </c>
      <c r="AB71" s="43">
        <v>37</v>
      </c>
      <c r="AC71" s="43">
        <v>11</v>
      </c>
      <c r="AD71" s="51">
        <f t="shared" ref="AD71:AD80" si="24">SUM(AA71:AC71)</f>
        <v>154.16159999999999</v>
      </c>
      <c r="AE71" s="18"/>
      <c r="AF71" s="18"/>
      <c r="AG71" s="21"/>
      <c r="AH71" s="16"/>
      <c r="AI71" s="44"/>
      <c r="AJ71" s="44"/>
      <c r="AK71" s="44"/>
      <c r="AL71" s="45"/>
      <c r="AM71" s="46"/>
      <c r="AN71" s="16"/>
      <c r="AO71" s="44"/>
      <c r="AP71" s="44"/>
      <c r="AQ71" s="44"/>
      <c r="AR71" s="46"/>
      <c r="AS71" s="18"/>
    </row>
    <row r="72" spans="1:45" ht="110.25" customHeight="1" x14ac:dyDescent="0.35">
      <c r="A72" s="16">
        <v>10</v>
      </c>
      <c r="B72" s="16">
        <v>6</v>
      </c>
      <c r="C72" s="17" t="s">
        <v>203</v>
      </c>
      <c r="D72" s="139" t="s">
        <v>34</v>
      </c>
      <c r="E72" s="18" t="s">
        <v>137</v>
      </c>
      <c r="F72" s="18" t="s">
        <v>22</v>
      </c>
      <c r="G72" s="16" t="s">
        <v>19</v>
      </c>
      <c r="H72" s="19" t="s">
        <v>61</v>
      </c>
      <c r="I72" s="98">
        <v>1480</v>
      </c>
      <c r="J72" s="16">
        <v>1997</v>
      </c>
      <c r="K72" s="68">
        <f t="shared" si="20"/>
        <v>-17</v>
      </c>
      <c r="L72" s="44" t="s">
        <v>18</v>
      </c>
      <c r="M72" s="43">
        <v>13</v>
      </c>
      <c r="N72" s="43">
        <f t="shared" si="21"/>
        <v>8.1020733652312593</v>
      </c>
      <c r="O72" s="138">
        <f>P72/21</f>
        <v>29.857142857142858</v>
      </c>
      <c r="P72" s="43">
        <v>627</v>
      </c>
      <c r="Q72" s="64">
        <v>50.8</v>
      </c>
      <c r="R72" s="43">
        <f>Q72*554/1000</f>
        <v>28.143199999999997</v>
      </c>
      <c r="S72" s="64">
        <f t="shared" si="23"/>
        <v>554</v>
      </c>
      <c r="T72" s="43"/>
      <c r="U72" s="43"/>
      <c r="V72" s="65">
        <f t="shared" ref="V72:V80" si="25">(R72+U72)</f>
        <v>28.143199999999997</v>
      </c>
      <c r="W72" s="65">
        <f t="shared" ref="W72:W80" si="26">V72*12</f>
        <v>337.71839999999997</v>
      </c>
      <c r="X72" s="43">
        <v>106</v>
      </c>
      <c r="Y72" s="43"/>
      <c r="Z72" s="43">
        <v>51.2</v>
      </c>
      <c r="AA72" s="51">
        <f>SUM(W72:Z72)</f>
        <v>494.91839999999996</v>
      </c>
      <c r="AB72" s="43">
        <v>40</v>
      </c>
      <c r="AC72" s="43">
        <v>12</v>
      </c>
      <c r="AD72" s="51">
        <f t="shared" si="24"/>
        <v>546.91840000000002</v>
      </c>
      <c r="AE72" s="18" t="s">
        <v>38</v>
      </c>
      <c r="AF72" s="18" t="s">
        <v>41</v>
      </c>
      <c r="AG72" s="21"/>
      <c r="AH72" s="16"/>
      <c r="AI72" s="44"/>
      <c r="AJ72" s="44"/>
      <c r="AK72" s="44"/>
      <c r="AL72" s="45"/>
      <c r="AM72" s="202" t="s">
        <v>244</v>
      </c>
      <c r="AN72" s="202" t="s">
        <v>22</v>
      </c>
      <c r="AO72" s="158" t="s">
        <v>19</v>
      </c>
      <c r="AP72" s="156" t="s">
        <v>61</v>
      </c>
      <c r="AQ72" s="158" t="s">
        <v>18</v>
      </c>
      <c r="AR72" s="159">
        <v>21200</v>
      </c>
      <c r="AS72" s="93" t="s">
        <v>239</v>
      </c>
    </row>
    <row r="73" spans="1:45" ht="39.75" customHeight="1" x14ac:dyDescent="0.35">
      <c r="A73" s="16">
        <v>11</v>
      </c>
      <c r="B73" s="16">
        <v>7</v>
      </c>
      <c r="C73" s="17" t="s">
        <v>203</v>
      </c>
      <c r="D73" s="139" t="s">
        <v>34</v>
      </c>
      <c r="E73" s="18" t="s">
        <v>142</v>
      </c>
      <c r="F73" s="18" t="s">
        <v>22</v>
      </c>
      <c r="G73" s="16" t="s">
        <v>19</v>
      </c>
      <c r="H73" s="19" t="s">
        <v>26</v>
      </c>
      <c r="I73" s="98">
        <v>21900</v>
      </c>
      <c r="J73" s="16">
        <v>2019</v>
      </c>
      <c r="K73" s="68">
        <f t="shared" si="20"/>
        <v>5</v>
      </c>
      <c r="L73" s="44" t="s">
        <v>18</v>
      </c>
      <c r="M73" s="43">
        <v>13</v>
      </c>
      <c r="N73" s="43">
        <f t="shared" si="21"/>
        <v>12.096774193548388</v>
      </c>
      <c r="O73" s="138">
        <f>P73/21</f>
        <v>44.285714285714285</v>
      </c>
      <c r="P73" s="43">
        <v>930</v>
      </c>
      <c r="Q73" s="64">
        <v>112.5</v>
      </c>
      <c r="R73" s="43">
        <f>Q73*554/1000</f>
        <v>62.325000000000003</v>
      </c>
      <c r="S73" s="64">
        <f t="shared" si="23"/>
        <v>554</v>
      </c>
      <c r="T73" s="43"/>
      <c r="U73" s="43"/>
      <c r="V73" s="65">
        <f t="shared" si="25"/>
        <v>62.325000000000003</v>
      </c>
      <c r="W73" s="65">
        <f t="shared" si="26"/>
        <v>747.90000000000009</v>
      </c>
      <c r="X73" s="43">
        <v>144</v>
      </c>
      <c r="Y73" s="43"/>
      <c r="Z73" s="43">
        <v>40</v>
      </c>
      <c r="AA73" s="51">
        <f t="shared" si="22"/>
        <v>931.90000000000009</v>
      </c>
      <c r="AB73" s="43">
        <v>38.299999999999997</v>
      </c>
      <c r="AC73" s="43">
        <v>11</v>
      </c>
      <c r="AD73" s="51">
        <f t="shared" si="24"/>
        <v>981.2</v>
      </c>
      <c r="AE73" s="18"/>
      <c r="AF73" s="18"/>
      <c r="AG73" s="21"/>
      <c r="AH73" s="16"/>
      <c r="AI73" s="44"/>
      <c r="AJ73" s="44"/>
      <c r="AK73" s="44"/>
      <c r="AL73" s="45"/>
      <c r="AM73" s="46"/>
      <c r="AN73" s="16"/>
      <c r="AO73" s="44"/>
      <c r="AP73" s="44"/>
      <c r="AQ73" s="44"/>
      <c r="AR73" s="46"/>
      <c r="AS73" s="18"/>
    </row>
    <row r="74" spans="1:45" ht="39.75" customHeight="1" x14ac:dyDescent="0.35">
      <c r="A74" s="16"/>
      <c r="B74" s="16">
        <v>8</v>
      </c>
      <c r="C74" s="195" t="s">
        <v>205</v>
      </c>
      <c r="D74" s="169" t="s">
        <v>33</v>
      </c>
      <c r="E74" s="199" t="s">
        <v>249</v>
      </c>
      <c r="F74" s="169" t="s">
        <v>10</v>
      </c>
      <c r="G74" s="16" t="s">
        <v>11</v>
      </c>
      <c r="H74" s="193" t="s">
        <v>26</v>
      </c>
      <c r="I74" s="171">
        <v>4567</v>
      </c>
      <c r="J74" s="173">
        <v>2005</v>
      </c>
      <c r="K74" s="175">
        <f>IF(J74="մինչև 2000","օգտակար ծառայության ժամկետը սպառված է",10-($K$12-J74))</f>
        <v>-9</v>
      </c>
      <c r="L74" s="44" t="s">
        <v>15</v>
      </c>
      <c r="M74" s="43">
        <v>4.0999999999999996</v>
      </c>
      <c r="N74" s="43">
        <v>10</v>
      </c>
      <c r="O74" s="138">
        <f>P74/21</f>
        <v>0</v>
      </c>
      <c r="P74" s="43"/>
      <c r="Q74" s="64">
        <v>4.0999999999999996</v>
      </c>
      <c r="R74" s="43">
        <f>Q74*420/1000</f>
        <v>1.7219999999999998</v>
      </c>
      <c r="S74" s="64">
        <f>+R74*1000/Q74</f>
        <v>420</v>
      </c>
      <c r="T74" s="43"/>
      <c r="U74" s="43"/>
      <c r="V74" s="65">
        <f t="shared" si="25"/>
        <v>1.7219999999999998</v>
      </c>
      <c r="W74" s="65">
        <f t="shared" si="26"/>
        <v>20.663999999999998</v>
      </c>
      <c r="X74" s="43"/>
      <c r="Y74" s="43"/>
      <c r="Z74" s="43"/>
      <c r="AA74" s="51"/>
      <c r="AB74" s="43"/>
      <c r="AC74" s="43"/>
      <c r="AD74" s="51"/>
      <c r="AE74" s="18" t="s">
        <v>38</v>
      </c>
      <c r="AF74" s="18" t="s">
        <v>41</v>
      </c>
      <c r="AG74" s="21"/>
      <c r="AH74" s="16"/>
      <c r="AI74" s="44"/>
      <c r="AJ74" s="44"/>
      <c r="AK74" s="44"/>
      <c r="AL74" s="45"/>
      <c r="AM74" s="202" t="s">
        <v>244</v>
      </c>
      <c r="AN74" s="157" t="s">
        <v>10</v>
      </c>
      <c r="AO74" s="158" t="s">
        <v>11</v>
      </c>
      <c r="AP74" s="158" t="s">
        <v>26</v>
      </c>
      <c r="AQ74" s="158" t="s">
        <v>15</v>
      </c>
      <c r="AR74" s="159">
        <v>10300</v>
      </c>
      <c r="AS74" s="93" t="s">
        <v>240</v>
      </c>
    </row>
    <row r="75" spans="1:45" s="149" customFormat="1" x14ac:dyDescent="0.35">
      <c r="A75" s="75">
        <v>12</v>
      </c>
      <c r="B75" s="16">
        <v>9</v>
      </c>
      <c r="C75" s="196"/>
      <c r="D75" s="170"/>
      <c r="E75" s="200"/>
      <c r="F75" s="170"/>
      <c r="G75" s="75" t="s">
        <v>16</v>
      </c>
      <c r="H75" s="194"/>
      <c r="I75" s="172"/>
      <c r="J75" s="174"/>
      <c r="K75" s="176"/>
      <c r="L75" s="81" t="s">
        <v>15</v>
      </c>
      <c r="M75" s="137">
        <v>7</v>
      </c>
      <c r="N75" s="137">
        <f>Q75/P75*100</f>
        <v>7.0666666666666673</v>
      </c>
      <c r="O75" s="138">
        <f>P75/21</f>
        <v>7.1428571428571432</v>
      </c>
      <c r="P75" s="137">
        <v>150</v>
      </c>
      <c r="Q75" s="82">
        <v>10.6</v>
      </c>
      <c r="R75" s="137">
        <f>Q75*279/1000</f>
        <v>2.9574000000000003</v>
      </c>
      <c r="S75" s="82">
        <f t="shared" si="23"/>
        <v>279</v>
      </c>
      <c r="T75" s="137"/>
      <c r="U75" s="137"/>
      <c r="V75" s="83">
        <f t="shared" si="25"/>
        <v>2.9574000000000003</v>
      </c>
      <c r="W75" s="83">
        <f t="shared" si="26"/>
        <v>35.488800000000005</v>
      </c>
      <c r="X75" s="137"/>
      <c r="Y75" s="137"/>
      <c r="Z75" s="137">
        <v>33</v>
      </c>
      <c r="AA75" s="138">
        <f>SUM(W75:Z75)</f>
        <v>68.488799999999998</v>
      </c>
      <c r="AB75" s="137">
        <v>21</v>
      </c>
      <c r="AC75" s="137">
        <v>10</v>
      </c>
      <c r="AD75" s="138">
        <f t="shared" si="24"/>
        <v>99.488799999999998</v>
      </c>
      <c r="AE75" s="139"/>
      <c r="AF75" s="139"/>
      <c r="AG75" s="75"/>
      <c r="AH75" s="75"/>
      <c r="AI75" s="81"/>
      <c r="AJ75" s="81"/>
      <c r="AK75" s="81"/>
      <c r="AL75" s="81"/>
      <c r="AM75" s="84"/>
      <c r="AN75" s="75"/>
      <c r="AO75" s="81"/>
      <c r="AP75" s="81"/>
      <c r="AQ75" s="81"/>
      <c r="AR75" s="84"/>
      <c r="AS75" s="139"/>
    </row>
    <row r="76" spans="1:45" s="146" customFormat="1" ht="30" customHeight="1" x14ac:dyDescent="0.35">
      <c r="A76" s="20"/>
      <c r="B76" s="135"/>
      <c r="C76" s="119" t="s">
        <v>263</v>
      </c>
      <c r="D76" s="106"/>
      <c r="E76" s="106"/>
      <c r="F76" s="106"/>
      <c r="G76" s="106"/>
      <c r="H76" s="106"/>
      <c r="I76" s="106"/>
      <c r="J76" s="106"/>
      <c r="K76" s="69"/>
      <c r="L76" s="106"/>
      <c r="M76" s="106"/>
      <c r="N76" s="106"/>
      <c r="O76" s="13"/>
      <c r="P76" s="106"/>
      <c r="Q76" s="13"/>
      <c r="R76" s="106"/>
      <c r="S76" s="13"/>
      <c r="T76" s="106"/>
      <c r="U76" s="106"/>
      <c r="V76" s="74"/>
      <c r="W76" s="74"/>
      <c r="X76" s="106"/>
      <c r="Y76" s="106"/>
      <c r="Z76" s="106"/>
      <c r="AA76" s="13"/>
      <c r="AB76" s="106"/>
      <c r="AC76" s="106"/>
      <c r="AD76" s="13"/>
      <c r="AE76" s="106"/>
      <c r="AF76" s="106"/>
      <c r="AG76" s="106"/>
      <c r="AH76" s="106"/>
      <c r="AI76" s="106"/>
      <c r="AJ76" s="106"/>
      <c r="AK76" s="106"/>
      <c r="AL76" s="106"/>
      <c r="AM76" s="106"/>
      <c r="AN76" s="106"/>
      <c r="AO76" s="106"/>
      <c r="AP76" s="106"/>
      <c r="AQ76" s="106"/>
      <c r="AR76" s="106"/>
      <c r="AS76" s="106"/>
    </row>
    <row r="77" spans="1:45" s="149" customFormat="1" ht="121.5" x14ac:dyDescent="0.35">
      <c r="A77" s="75">
        <v>16</v>
      </c>
      <c r="B77" s="75">
        <v>1</v>
      </c>
      <c r="C77" s="85" t="s">
        <v>206</v>
      </c>
      <c r="D77" s="139" t="s">
        <v>33</v>
      </c>
      <c r="E77" s="139" t="s">
        <v>144</v>
      </c>
      <c r="F77" s="139" t="s">
        <v>10</v>
      </c>
      <c r="G77" s="75" t="s">
        <v>11</v>
      </c>
      <c r="H77" s="79" t="s">
        <v>26</v>
      </c>
      <c r="I77" s="99">
        <v>3000</v>
      </c>
      <c r="J77" s="75">
        <v>2008</v>
      </c>
      <c r="K77" s="80">
        <f>IF(J77="մինչև 2000","օգտակար ծառայության ժամկետը սպառված է",10-($K$12-J77))</f>
        <v>-6</v>
      </c>
      <c r="L77" s="81" t="s">
        <v>15</v>
      </c>
      <c r="M77" s="137">
        <v>12</v>
      </c>
      <c r="N77" s="137">
        <f>Q77/P77*100</f>
        <v>12</v>
      </c>
      <c r="O77" s="138">
        <f>P77/21</f>
        <v>28.571428571428573</v>
      </c>
      <c r="P77" s="137">
        <v>600</v>
      </c>
      <c r="Q77" s="82">
        <v>72</v>
      </c>
      <c r="R77" s="137">
        <f>Q77*422/1000</f>
        <v>30.384</v>
      </c>
      <c r="S77" s="82">
        <f>+R77*1000/Q77</f>
        <v>422</v>
      </c>
      <c r="T77" s="137"/>
      <c r="U77" s="137"/>
      <c r="V77" s="83">
        <f>(R77+U77)</f>
        <v>30.384</v>
      </c>
      <c r="W77" s="83">
        <f>V77*12</f>
        <v>364.608</v>
      </c>
      <c r="X77" s="137">
        <v>0</v>
      </c>
      <c r="Y77" s="137">
        <v>0</v>
      </c>
      <c r="Z77" s="137">
        <v>29</v>
      </c>
      <c r="AA77" s="138">
        <f>SUM(W77:Z77)</f>
        <v>393.608</v>
      </c>
      <c r="AB77" s="137">
        <v>0</v>
      </c>
      <c r="AC77" s="137">
        <v>11</v>
      </c>
      <c r="AD77" s="138">
        <f>SUM(AA77:AC77)</f>
        <v>404.608</v>
      </c>
      <c r="AE77" s="139" t="s">
        <v>38</v>
      </c>
      <c r="AF77" s="139" t="s">
        <v>39</v>
      </c>
      <c r="AG77" s="75"/>
      <c r="AH77" s="75" t="s">
        <v>10</v>
      </c>
      <c r="AI77" s="81" t="s">
        <v>11</v>
      </c>
      <c r="AJ77" s="81" t="s">
        <v>26</v>
      </c>
      <c r="AK77" s="81" t="s">
        <v>15</v>
      </c>
      <c r="AL77" s="81"/>
      <c r="AM77" s="84">
        <v>1</v>
      </c>
      <c r="AN77" s="75" t="s">
        <v>10</v>
      </c>
      <c r="AO77" s="81" t="s">
        <v>11</v>
      </c>
      <c r="AP77" s="81" t="s">
        <v>26</v>
      </c>
      <c r="AQ77" s="81" t="s">
        <v>18</v>
      </c>
      <c r="AR77" s="159">
        <v>10300</v>
      </c>
      <c r="AS77" s="93" t="s">
        <v>240</v>
      </c>
    </row>
    <row r="78" spans="1:45" s="149" customFormat="1" ht="40.5" x14ac:dyDescent="0.35">
      <c r="A78" s="75">
        <v>15</v>
      </c>
      <c r="B78" s="75">
        <v>2</v>
      </c>
      <c r="C78" s="85" t="s">
        <v>203</v>
      </c>
      <c r="D78" s="18" t="s">
        <v>72</v>
      </c>
      <c r="E78" s="139" t="s">
        <v>143</v>
      </c>
      <c r="F78" s="139" t="s">
        <v>22</v>
      </c>
      <c r="G78" s="75" t="s">
        <v>11</v>
      </c>
      <c r="H78" s="79" t="s">
        <v>61</v>
      </c>
      <c r="I78" s="99">
        <v>10000</v>
      </c>
      <c r="J78" s="75">
        <v>2012</v>
      </c>
      <c r="K78" s="80">
        <f>IF(J78="մինչև 2000","օգտակար ծառայության ժամկետը սպառված է",10-($K$12-J78))</f>
        <v>-2</v>
      </c>
      <c r="L78" s="81" t="s">
        <v>18</v>
      </c>
      <c r="M78" s="137">
        <v>11</v>
      </c>
      <c r="N78" s="137">
        <f>Q78/P78*100</f>
        <v>12.040000000000001</v>
      </c>
      <c r="O78" s="138">
        <f>P78/21</f>
        <v>23.80952380952381</v>
      </c>
      <c r="P78" s="137">
        <v>500</v>
      </c>
      <c r="Q78" s="82">
        <v>60.2</v>
      </c>
      <c r="R78" s="137">
        <f>Q78*422/1000</f>
        <v>25.404400000000003</v>
      </c>
      <c r="S78" s="82">
        <f>+R78*1000/Q78</f>
        <v>422</v>
      </c>
      <c r="T78" s="137"/>
      <c r="U78" s="137"/>
      <c r="V78" s="83">
        <f>(R78+U78)</f>
        <v>25.404400000000003</v>
      </c>
      <c r="W78" s="83">
        <f>V78*12</f>
        <v>304.8528</v>
      </c>
      <c r="X78" s="137">
        <v>0</v>
      </c>
      <c r="Y78" s="137">
        <v>0</v>
      </c>
      <c r="Z78" s="137">
        <v>179</v>
      </c>
      <c r="AA78" s="138">
        <f t="shared" si="22"/>
        <v>483.8528</v>
      </c>
      <c r="AB78" s="137">
        <v>92.92</v>
      </c>
      <c r="AC78" s="137">
        <v>11</v>
      </c>
      <c r="AD78" s="138">
        <f>SUM(AA78:AC78)</f>
        <v>587.77279999999996</v>
      </c>
      <c r="AE78" s="139"/>
      <c r="AF78" s="139"/>
      <c r="AG78" s="75"/>
      <c r="AH78" s="75"/>
      <c r="AI78" s="81"/>
      <c r="AJ78" s="81"/>
      <c r="AK78" s="81"/>
      <c r="AL78" s="81"/>
      <c r="AM78" s="84"/>
      <c r="AN78" s="75"/>
      <c r="AO78" s="81"/>
      <c r="AP78" s="81"/>
      <c r="AQ78" s="81"/>
      <c r="AR78" s="84"/>
      <c r="AS78" s="139"/>
    </row>
    <row r="79" spans="1:45" s="149" customFormat="1" ht="40.5" x14ac:dyDescent="0.35">
      <c r="A79" s="104"/>
      <c r="B79" s="75">
        <v>3</v>
      </c>
      <c r="C79" s="85" t="s">
        <v>203</v>
      </c>
      <c r="D79" s="18" t="s">
        <v>72</v>
      </c>
      <c r="E79" s="139" t="s">
        <v>145</v>
      </c>
      <c r="F79" s="139" t="s">
        <v>22</v>
      </c>
      <c r="G79" s="75" t="s">
        <v>11</v>
      </c>
      <c r="H79" s="79" t="s">
        <v>61</v>
      </c>
      <c r="I79" s="99">
        <v>11800</v>
      </c>
      <c r="J79" s="75">
        <v>2014</v>
      </c>
      <c r="K79" s="80">
        <f>IF(J79="մինչև 2000","օգտակար ծառայության ժամկետը սպառված է",10-($K$12-J79))</f>
        <v>0</v>
      </c>
      <c r="L79" s="81" t="s">
        <v>18</v>
      </c>
      <c r="M79" s="137">
        <v>20</v>
      </c>
      <c r="N79" s="137">
        <f>Q79/P79*100</f>
        <v>22.916666666666664</v>
      </c>
      <c r="O79" s="51">
        <f>P79/21</f>
        <v>26.285714285714285</v>
      </c>
      <c r="P79" s="137">
        <v>552</v>
      </c>
      <c r="Q79" s="82">
        <v>126.5</v>
      </c>
      <c r="R79" s="137">
        <f>Q79*422/1000</f>
        <v>53.383000000000003</v>
      </c>
      <c r="S79" s="82">
        <f t="shared" si="23"/>
        <v>422</v>
      </c>
      <c r="T79" s="137"/>
      <c r="U79" s="137"/>
      <c r="V79" s="65">
        <f t="shared" si="25"/>
        <v>53.383000000000003</v>
      </c>
      <c r="W79" s="65">
        <f t="shared" si="26"/>
        <v>640.596</v>
      </c>
      <c r="X79" s="137">
        <v>0</v>
      </c>
      <c r="Y79" s="137">
        <v>35</v>
      </c>
      <c r="Z79" s="137">
        <v>35</v>
      </c>
      <c r="AA79" s="138">
        <f t="shared" si="22"/>
        <v>710.596</v>
      </c>
      <c r="AB79" s="137">
        <v>206</v>
      </c>
      <c r="AC79" s="137">
        <v>11</v>
      </c>
      <c r="AD79" s="138">
        <f t="shared" si="24"/>
        <v>927.596</v>
      </c>
      <c r="AE79" s="139"/>
      <c r="AF79" s="139"/>
      <c r="AG79" s="75"/>
      <c r="AH79" s="75"/>
      <c r="AI79" s="81"/>
      <c r="AJ79" s="81"/>
      <c r="AK79" s="81"/>
      <c r="AL79" s="81"/>
      <c r="AM79" s="84"/>
      <c r="AN79" s="75"/>
      <c r="AO79" s="81"/>
      <c r="AP79" s="81"/>
      <c r="AQ79" s="81"/>
      <c r="AR79" s="84"/>
      <c r="AS79" s="139"/>
    </row>
    <row r="80" spans="1:45" s="149" customFormat="1" ht="40.5" x14ac:dyDescent="0.35">
      <c r="A80" s="150"/>
      <c r="B80" s="75">
        <v>4</v>
      </c>
      <c r="C80" s="85" t="s">
        <v>203</v>
      </c>
      <c r="D80" s="18" t="s">
        <v>72</v>
      </c>
      <c r="E80" s="139" t="s">
        <v>146</v>
      </c>
      <c r="F80" s="139" t="s">
        <v>22</v>
      </c>
      <c r="G80" s="75" t="s">
        <v>11</v>
      </c>
      <c r="H80" s="79" t="s">
        <v>61</v>
      </c>
      <c r="I80" s="99">
        <v>8200</v>
      </c>
      <c r="J80" s="75">
        <v>2020</v>
      </c>
      <c r="K80" s="80">
        <f>IF(J80="մինչև 2000","օգտակար ծառայության ժամկետը սպառված է",10-($K$12-J80))</f>
        <v>6</v>
      </c>
      <c r="L80" s="81" t="s">
        <v>18</v>
      </c>
      <c r="M80" s="137">
        <v>25</v>
      </c>
      <c r="N80" s="137">
        <f>Q80/P80*100</f>
        <v>23.636363636363637</v>
      </c>
      <c r="O80" s="51">
        <f>P80/21</f>
        <v>26.19047619047619</v>
      </c>
      <c r="P80" s="137">
        <v>550</v>
      </c>
      <c r="Q80" s="82">
        <v>130</v>
      </c>
      <c r="R80" s="137">
        <f>Q80*422/1000</f>
        <v>54.86</v>
      </c>
      <c r="S80" s="82">
        <f t="shared" si="23"/>
        <v>422</v>
      </c>
      <c r="T80" s="150"/>
      <c r="U80" s="150"/>
      <c r="V80" s="65">
        <f t="shared" si="25"/>
        <v>54.86</v>
      </c>
      <c r="W80" s="65">
        <f t="shared" si="26"/>
        <v>658.31999999999994</v>
      </c>
      <c r="X80" s="137">
        <v>0</v>
      </c>
      <c r="Y80" s="137">
        <v>45</v>
      </c>
      <c r="Z80" s="137">
        <v>36</v>
      </c>
      <c r="AA80" s="138">
        <f t="shared" si="22"/>
        <v>739.31999999999994</v>
      </c>
      <c r="AB80" s="137">
        <v>10</v>
      </c>
      <c r="AC80" s="137">
        <v>11</v>
      </c>
      <c r="AD80" s="138">
        <f t="shared" si="24"/>
        <v>760.31999999999994</v>
      </c>
      <c r="AE80" s="150"/>
      <c r="AF80" s="150"/>
      <c r="AG80" s="150"/>
      <c r="AH80" s="150"/>
      <c r="AI80" s="150"/>
      <c r="AJ80" s="150"/>
      <c r="AK80" s="150"/>
      <c r="AL80" s="150"/>
      <c r="AM80" s="150"/>
      <c r="AN80" s="150"/>
      <c r="AO80" s="150"/>
      <c r="AP80" s="150"/>
      <c r="AQ80" s="150"/>
      <c r="AR80" s="150"/>
      <c r="AS80" s="150"/>
    </row>
    <row r="81" spans="1:45" s="146" customFormat="1" ht="30" customHeight="1" x14ac:dyDescent="0.35">
      <c r="A81" s="20"/>
      <c r="B81" s="135"/>
      <c r="C81" s="119" t="s">
        <v>264</v>
      </c>
      <c r="D81" s="106"/>
      <c r="E81" s="106"/>
      <c r="F81" s="106"/>
      <c r="G81" s="106"/>
      <c r="H81" s="106"/>
      <c r="I81" s="106"/>
      <c r="J81" s="106"/>
      <c r="K81" s="69"/>
      <c r="L81" s="106"/>
      <c r="M81" s="106"/>
      <c r="N81" s="106"/>
      <c r="O81" s="13"/>
      <c r="P81" s="106"/>
      <c r="Q81" s="13"/>
      <c r="R81" s="106"/>
      <c r="S81" s="13"/>
      <c r="T81" s="106"/>
      <c r="U81" s="106"/>
      <c r="V81" s="74"/>
      <c r="W81" s="74"/>
      <c r="X81" s="106"/>
      <c r="Y81" s="106"/>
      <c r="Z81" s="106"/>
      <c r="AA81" s="13"/>
      <c r="AB81" s="106"/>
      <c r="AC81" s="106"/>
      <c r="AD81" s="13"/>
      <c r="AE81" s="106"/>
      <c r="AF81" s="106"/>
      <c r="AG81" s="106"/>
      <c r="AH81" s="106"/>
      <c r="AI81" s="106"/>
      <c r="AJ81" s="106"/>
      <c r="AK81" s="106"/>
      <c r="AL81" s="106"/>
      <c r="AM81" s="106"/>
      <c r="AN81" s="106"/>
      <c r="AO81" s="106"/>
      <c r="AP81" s="106"/>
      <c r="AQ81" s="106"/>
      <c r="AR81" s="106"/>
      <c r="AS81" s="106"/>
    </row>
    <row r="82" spans="1:45" ht="51.6" customHeight="1" x14ac:dyDescent="0.35">
      <c r="A82" s="16">
        <v>15</v>
      </c>
      <c r="B82" s="75">
        <v>1</v>
      </c>
      <c r="C82" s="17" t="s">
        <v>203</v>
      </c>
      <c r="D82" s="139" t="s">
        <v>34</v>
      </c>
      <c r="E82" s="18" t="s">
        <v>143</v>
      </c>
      <c r="F82" s="18" t="s">
        <v>48</v>
      </c>
      <c r="G82" s="16" t="s">
        <v>11</v>
      </c>
      <c r="H82" s="19" t="s">
        <v>61</v>
      </c>
      <c r="I82" s="98">
        <v>10145</v>
      </c>
      <c r="J82" s="16">
        <v>2017</v>
      </c>
      <c r="K82" s="68">
        <f>IF(J82="մինչև 2000","օգտակար ծառայության ժամկետը սպառված է",10-($K$12-J82))</f>
        <v>3</v>
      </c>
      <c r="L82" s="44" t="s">
        <v>15</v>
      </c>
      <c r="M82" s="43">
        <v>12.5</v>
      </c>
      <c r="N82" s="43">
        <f>Q82/P82*100</f>
        <v>12.5</v>
      </c>
      <c r="O82" s="51">
        <f>P82/21</f>
        <v>48.571428571428569</v>
      </c>
      <c r="P82" s="43">
        <v>1020</v>
      </c>
      <c r="Q82" s="77">
        <v>127.5</v>
      </c>
      <c r="R82" s="43">
        <v>48.2</v>
      </c>
      <c r="S82" s="64">
        <f>+R82*1000/Q82</f>
        <v>378.03921568627453</v>
      </c>
      <c r="T82" s="43"/>
      <c r="U82" s="43"/>
      <c r="V82" s="65">
        <f>(R82+U82)</f>
        <v>48.2</v>
      </c>
      <c r="W82" s="65">
        <f>V82*12</f>
        <v>578.40000000000009</v>
      </c>
      <c r="X82" s="43">
        <v>0</v>
      </c>
      <c r="Y82" s="43"/>
      <c r="Z82" s="43">
        <v>63</v>
      </c>
      <c r="AA82" s="51">
        <f>SUM(W82:Z82)</f>
        <v>641.40000000000009</v>
      </c>
      <c r="AB82" s="43"/>
      <c r="AC82" s="43">
        <v>5.5</v>
      </c>
      <c r="AD82" s="51">
        <f>SUM(AA82:AC82)</f>
        <v>646.90000000000009</v>
      </c>
      <c r="AE82" s="18" t="s">
        <v>37</v>
      </c>
      <c r="AF82" s="18"/>
      <c r="AG82" s="21"/>
      <c r="AH82" s="16"/>
      <c r="AI82" s="44"/>
      <c r="AJ82" s="44"/>
      <c r="AK82" s="44"/>
      <c r="AL82" s="45"/>
      <c r="AM82" s="46"/>
      <c r="AN82" s="16"/>
      <c r="AO82" s="44"/>
      <c r="AP82" s="44"/>
      <c r="AQ82" s="44"/>
      <c r="AR82" s="46"/>
      <c r="AS82" s="18"/>
    </row>
    <row r="83" spans="1:45" ht="108.75" customHeight="1" x14ac:dyDescent="0.35">
      <c r="A83" s="16">
        <v>16</v>
      </c>
      <c r="B83" s="75">
        <v>2</v>
      </c>
      <c r="C83" s="17" t="s">
        <v>203</v>
      </c>
      <c r="D83" s="139" t="s">
        <v>34</v>
      </c>
      <c r="E83" s="18" t="s">
        <v>147</v>
      </c>
      <c r="F83" s="18" t="s">
        <v>48</v>
      </c>
      <c r="G83" s="16" t="s">
        <v>19</v>
      </c>
      <c r="H83" s="19" t="s">
        <v>61</v>
      </c>
      <c r="I83" s="105" t="s">
        <v>149</v>
      </c>
      <c r="J83" s="16">
        <v>2001</v>
      </c>
      <c r="K83" s="68">
        <f>IF(J83="մինչև 2000","օգտակար ծառայության ժամկետը սպառված է",10-($K$12-J83))</f>
        <v>-13</v>
      </c>
      <c r="L83" s="44" t="s">
        <v>18</v>
      </c>
      <c r="M83" s="43">
        <v>11.1</v>
      </c>
      <c r="N83" s="43">
        <f>Q83/P83*100</f>
        <v>11.046511627906977</v>
      </c>
      <c r="O83" s="51">
        <f>P83/21</f>
        <v>20.476190476190474</v>
      </c>
      <c r="P83" s="78">
        <v>430</v>
      </c>
      <c r="Q83" s="77">
        <v>47.5</v>
      </c>
      <c r="R83" s="43">
        <v>18</v>
      </c>
      <c r="S83" s="64">
        <f>+R83*1000/Q83</f>
        <v>378.94736842105266</v>
      </c>
      <c r="T83" s="43"/>
      <c r="U83" s="43"/>
      <c r="V83" s="65">
        <f>(R83+U83)</f>
        <v>18</v>
      </c>
      <c r="W83" s="65">
        <f>V83*12</f>
        <v>216</v>
      </c>
      <c r="X83" s="43">
        <v>148</v>
      </c>
      <c r="Y83" s="43"/>
      <c r="Z83" s="43">
        <v>67</v>
      </c>
      <c r="AA83" s="51">
        <f>SUM(W83:Z83)</f>
        <v>431</v>
      </c>
      <c r="AB83" s="43"/>
      <c r="AC83" s="43">
        <v>7.5</v>
      </c>
      <c r="AD83" s="51">
        <f>SUM(AA83:AC83)</f>
        <v>438.5</v>
      </c>
      <c r="AE83" s="18" t="s">
        <v>38</v>
      </c>
      <c r="AF83" s="18" t="s">
        <v>39</v>
      </c>
      <c r="AG83" s="21"/>
      <c r="AH83" s="16"/>
      <c r="AI83" s="44"/>
      <c r="AJ83" s="44"/>
      <c r="AK83" s="44"/>
      <c r="AL83" s="45"/>
      <c r="AM83" s="202" t="s">
        <v>244</v>
      </c>
      <c r="AN83" s="157" t="s">
        <v>22</v>
      </c>
      <c r="AO83" s="158" t="s">
        <v>11</v>
      </c>
      <c r="AP83" s="158" t="s">
        <v>61</v>
      </c>
      <c r="AQ83" s="158" t="s">
        <v>18</v>
      </c>
      <c r="AR83" s="159">
        <v>21000</v>
      </c>
      <c r="AS83" s="93" t="s">
        <v>228</v>
      </c>
    </row>
    <row r="84" spans="1:45" ht="26.25" customHeight="1" x14ac:dyDescent="0.35">
      <c r="A84" s="53"/>
      <c r="B84" s="75">
        <v>3</v>
      </c>
      <c r="C84" s="17" t="s">
        <v>207</v>
      </c>
      <c r="D84" s="139" t="s">
        <v>33</v>
      </c>
      <c r="E84" s="18" t="s">
        <v>148</v>
      </c>
      <c r="F84" s="18" t="s">
        <v>17</v>
      </c>
      <c r="G84" s="16" t="s">
        <v>11</v>
      </c>
      <c r="H84" s="19" t="s">
        <v>14</v>
      </c>
      <c r="I84" s="98">
        <v>8000</v>
      </c>
      <c r="J84" s="16">
        <v>2022</v>
      </c>
      <c r="K84" s="68">
        <f>IF(J84="մինչև 2000","օգտակար ծառայության ժամկետը սպառված է",10-($K$12-J84))</f>
        <v>8</v>
      </c>
      <c r="L84" s="44" t="s">
        <v>15</v>
      </c>
      <c r="M84" s="43">
        <v>11</v>
      </c>
      <c r="N84" s="43">
        <f>Q84/P84*100</f>
        <v>11.113561190738698</v>
      </c>
      <c r="O84" s="51">
        <f>P84/21</f>
        <v>43.19047619047619</v>
      </c>
      <c r="P84" s="43">
        <v>907</v>
      </c>
      <c r="Q84" s="64">
        <v>100.8</v>
      </c>
      <c r="R84" s="43">
        <v>38.1</v>
      </c>
      <c r="S84" s="64">
        <f>+R84*1000/Q84</f>
        <v>377.97619047619048</v>
      </c>
      <c r="T84" s="43"/>
      <c r="U84" s="43"/>
      <c r="V84" s="65">
        <f>(R84+U84)</f>
        <v>38.1</v>
      </c>
      <c r="W84" s="65">
        <f>V84*12</f>
        <v>457.20000000000005</v>
      </c>
      <c r="X84" s="43">
        <v>0</v>
      </c>
      <c r="Y84" s="43"/>
      <c r="Z84" s="43">
        <v>41.5</v>
      </c>
      <c r="AA84" s="51">
        <f>SUM(W84:Z84)</f>
        <v>498.70000000000005</v>
      </c>
      <c r="AB84" s="43"/>
      <c r="AC84" s="43">
        <v>0</v>
      </c>
      <c r="AD84" s="51">
        <f>SUM(AA84:AC84)</f>
        <v>498.70000000000005</v>
      </c>
      <c r="AE84" s="18" t="s">
        <v>37</v>
      </c>
      <c r="AF84" s="18"/>
      <c r="AG84" s="21"/>
      <c r="AH84" s="16"/>
      <c r="AI84" s="44"/>
      <c r="AJ84" s="44"/>
      <c r="AK84" s="44"/>
      <c r="AL84" s="45"/>
      <c r="AM84" s="46"/>
      <c r="AN84" s="16"/>
      <c r="AO84" s="44"/>
      <c r="AP84" s="44"/>
      <c r="AQ84" s="44"/>
      <c r="AR84" s="46"/>
      <c r="AS84" s="18"/>
    </row>
    <row r="85" spans="1:45" s="146" customFormat="1" ht="30" customHeight="1" x14ac:dyDescent="0.35">
      <c r="A85" s="20"/>
      <c r="B85" s="135"/>
      <c r="C85" s="119" t="s">
        <v>265</v>
      </c>
      <c r="D85" s="106"/>
      <c r="E85" s="106"/>
      <c r="F85" s="106"/>
      <c r="G85" s="106"/>
      <c r="H85" s="106"/>
      <c r="I85" s="106"/>
      <c r="J85" s="106"/>
      <c r="K85" s="69"/>
      <c r="L85" s="106"/>
      <c r="M85" s="106"/>
      <c r="N85" s="106"/>
      <c r="O85" s="13"/>
      <c r="P85" s="106"/>
      <c r="Q85" s="13"/>
      <c r="R85" s="106"/>
      <c r="S85" s="13"/>
      <c r="T85" s="106"/>
      <c r="U85" s="106"/>
      <c r="V85" s="74"/>
      <c r="W85" s="74"/>
      <c r="X85" s="106"/>
      <c r="Y85" s="106"/>
      <c r="Z85" s="106"/>
      <c r="AA85" s="13"/>
      <c r="AB85" s="106"/>
      <c r="AC85" s="106"/>
      <c r="AD85" s="13"/>
      <c r="AE85" s="106"/>
      <c r="AF85" s="106"/>
      <c r="AG85" s="106"/>
      <c r="AH85" s="106"/>
      <c r="AI85" s="106"/>
      <c r="AJ85" s="106"/>
      <c r="AK85" s="106"/>
      <c r="AL85" s="106"/>
      <c r="AM85" s="106"/>
      <c r="AN85" s="106"/>
      <c r="AO85" s="106"/>
      <c r="AP85" s="106"/>
      <c r="AQ85" s="106"/>
      <c r="AR85" s="106"/>
      <c r="AS85" s="106"/>
    </row>
    <row r="86" spans="1:45" ht="94.5" x14ac:dyDescent="0.35">
      <c r="A86" s="16"/>
      <c r="B86" s="75">
        <v>1</v>
      </c>
      <c r="C86" s="93" t="s">
        <v>209</v>
      </c>
      <c r="D86" s="139" t="s">
        <v>33</v>
      </c>
      <c r="E86" s="18" t="s">
        <v>150</v>
      </c>
      <c r="F86" s="18" t="s">
        <v>10</v>
      </c>
      <c r="G86" s="16" t="s">
        <v>11</v>
      </c>
      <c r="H86" s="79" t="s">
        <v>14</v>
      </c>
      <c r="I86" s="98">
        <v>1878.825</v>
      </c>
      <c r="J86" s="16">
        <v>1998</v>
      </c>
      <c r="K86" s="68">
        <f>IF(J86="մինչև 2000","օգտակար ծառայության ժամկետը սպառված է",10-($K$12-J86))</f>
        <v>-16</v>
      </c>
      <c r="L86" s="44" t="s">
        <v>15</v>
      </c>
      <c r="M86" s="43">
        <v>8.1</v>
      </c>
      <c r="N86" s="43">
        <f>Q86/P86*100</f>
        <v>12.068965517241379</v>
      </c>
      <c r="O86" s="51"/>
      <c r="P86" s="43">
        <v>116</v>
      </c>
      <c r="Q86" s="77">
        <v>14</v>
      </c>
      <c r="R86" s="43">
        <f>Q86*422/1000</f>
        <v>5.9080000000000004</v>
      </c>
      <c r="S86" s="64">
        <f>+R86*1000/Q86</f>
        <v>422</v>
      </c>
      <c r="T86" s="43"/>
      <c r="U86" s="43"/>
      <c r="V86" s="65">
        <f>(R86+U86)</f>
        <v>5.9080000000000004</v>
      </c>
      <c r="W86" s="65">
        <f>V86*12</f>
        <v>70.896000000000001</v>
      </c>
      <c r="X86" s="43"/>
      <c r="Y86" s="43"/>
      <c r="Z86" s="43"/>
      <c r="AA86" s="51">
        <f>SUM(W86:Z86)</f>
        <v>70.896000000000001</v>
      </c>
      <c r="AB86" s="43"/>
      <c r="AC86" s="43"/>
      <c r="AD86" s="51">
        <f>SUM(AA86:AC86)</f>
        <v>70.896000000000001</v>
      </c>
      <c r="AE86" s="18" t="s">
        <v>38</v>
      </c>
      <c r="AF86" s="18" t="s">
        <v>39</v>
      </c>
      <c r="AG86" s="21"/>
      <c r="AH86" s="16"/>
      <c r="AI86" s="44"/>
      <c r="AJ86" s="44"/>
      <c r="AK86" s="44"/>
      <c r="AL86" s="45"/>
      <c r="AM86" s="202" t="s">
        <v>244</v>
      </c>
      <c r="AN86" s="157" t="s">
        <v>22</v>
      </c>
      <c r="AO86" s="158" t="s">
        <v>11</v>
      </c>
      <c r="AP86" s="158" t="s">
        <v>61</v>
      </c>
      <c r="AQ86" s="158" t="s">
        <v>18</v>
      </c>
      <c r="AR86" s="159">
        <v>21000</v>
      </c>
      <c r="AS86" s="113" t="s">
        <v>229</v>
      </c>
    </row>
    <row r="87" spans="1:45" ht="35.25" customHeight="1" x14ac:dyDescent="0.35">
      <c r="A87" s="16"/>
      <c r="B87" s="75">
        <v>2</v>
      </c>
      <c r="C87" s="93" t="s">
        <v>210</v>
      </c>
      <c r="D87" s="139" t="s">
        <v>33</v>
      </c>
      <c r="E87" s="18" t="s">
        <v>151</v>
      </c>
      <c r="F87" s="18" t="s">
        <v>10</v>
      </c>
      <c r="G87" s="16" t="s">
        <v>11</v>
      </c>
      <c r="H87" s="79" t="s">
        <v>14</v>
      </c>
      <c r="I87" s="98">
        <v>8000</v>
      </c>
      <c r="J87" s="16">
        <v>2022</v>
      </c>
      <c r="K87" s="68">
        <f>IF(J87="մինչև 2000","օգտակար ծառայության ժամկետը սպառված է",10-($K$12-J87))</f>
        <v>8</v>
      </c>
      <c r="L87" s="44" t="s">
        <v>18</v>
      </c>
      <c r="M87" s="43">
        <v>8.1999999999999993</v>
      </c>
      <c r="N87" s="43">
        <f>Q87/P87*100</f>
        <v>11.988716502115656</v>
      </c>
      <c r="O87" s="51">
        <f>P87/21</f>
        <v>67.523809523809518</v>
      </c>
      <c r="P87" s="43">
        <v>1418</v>
      </c>
      <c r="Q87" s="64">
        <v>170</v>
      </c>
      <c r="R87" s="43">
        <f>Q87*422/1000</f>
        <v>71.739999999999995</v>
      </c>
      <c r="S87" s="64">
        <f>+R87*1000/Q87</f>
        <v>422</v>
      </c>
      <c r="T87" s="43"/>
      <c r="U87" s="43"/>
      <c r="V87" s="65">
        <f>(R87+U87)</f>
        <v>71.739999999999995</v>
      </c>
      <c r="W87" s="65">
        <f>V87*12</f>
        <v>860.87999999999988</v>
      </c>
      <c r="X87" s="43"/>
      <c r="Y87" s="43"/>
      <c r="Z87" s="43"/>
      <c r="AA87" s="51">
        <f>SUM(W87:Z87)</f>
        <v>860.87999999999988</v>
      </c>
      <c r="AB87" s="43"/>
      <c r="AC87" s="43"/>
      <c r="AD87" s="51">
        <f>SUM(AA87:AC87)</f>
        <v>860.87999999999988</v>
      </c>
      <c r="AE87" s="18"/>
      <c r="AF87" s="18"/>
      <c r="AG87" s="21"/>
      <c r="AH87" s="16"/>
      <c r="AI87" s="44"/>
      <c r="AJ87" s="44"/>
      <c r="AK87" s="44"/>
      <c r="AL87" s="45"/>
      <c r="AM87" s="46"/>
      <c r="AN87" s="16"/>
      <c r="AO87" s="44"/>
      <c r="AP87" s="44"/>
      <c r="AQ87" s="44"/>
      <c r="AR87" s="46"/>
      <c r="AS87" s="18"/>
    </row>
    <row r="88" spans="1:45" x14ac:dyDescent="0.35">
      <c r="A88" s="20"/>
      <c r="B88" s="135"/>
      <c r="C88" s="119" t="s">
        <v>266</v>
      </c>
      <c r="D88" s="106"/>
      <c r="E88" s="106"/>
      <c r="F88" s="106"/>
      <c r="G88" s="106"/>
      <c r="H88" s="106"/>
      <c r="I88" s="106"/>
      <c r="J88" s="106"/>
      <c r="K88" s="69"/>
      <c r="L88" s="106"/>
      <c r="M88" s="106"/>
      <c r="N88" s="106"/>
      <c r="O88" s="13"/>
      <c r="P88" s="106"/>
      <c r="Q88" s="13"/>
      <c r="R88" s="106"/>
      <c r="S88" s="13"/>
      <c r="T88" s="106"/>
      <c r="U88" s="106"/>
      <c r="V88" s="74"/>
      <c r="W88" s="74"/>
      <c r="X88" s="106"/>
      <c r="Y88" s="106"/>
      <c r="Z88" s="106"/>
      <c r="AA88" s="13"/>
      <c r="AB88" s="106"/>
      <c r="AC88" s="106"/>
      <c r="AD88" s="13"/>
      <c r="AE88" s="106"/>
      <c r="AF88" s="106"/>
      <c r="AG88" s="106"/>
      <c r="AH88" s="106"/>
      <c r="AI88" s="106"/>
      <c r="AJ88" s="106"/>
      <c r="AK88" s="106"/>
      <c r="AL88" s="106"/>
      <c r="AM88" s="106"/>
      <c r="AN88" s="106"/>
      <c r="AO88" s="106"/>
      <c r="AP88" s="106"/>
      <c r="AQ88" s="106"/>
      <c r="AR88" s="106"/>
      <c r="AS88" s="106"/>
    </row>
    <row r="89" spans="1:45" ht="121.5" x14ac:dyDescent="0.35">
      <c r="A89" s="16"/>
      <c r="B89" s="75">
        <v>1</v>
      </c>
      <c r="C89" s="17" t="s">
        <v>207</v>
      </c>
      <c r="D89" s="139" t="s">
        <v>33</v>
      </c>
      <c r="E89" s="18" t="s">
        <v>152</v>
      </c>
      <c r="F89" s="18" t="s">
        <v>20</v>
      </c>
      <c r="G89" s="16" t="s">
        <v>11</v>
      </c>
      <c r="H89" s="19" t="s">
        <v>26</v>
      </c>
      <c r="I89" s="98"/>
      <c r="J89" s="16">
        <v>2004</v>
      </c>
      <c r="K89" s="68">
        <f>IF(J89="մինչև 2000","օգտակար ծառայության ժամկետը սպառված է",10-($K$12-J89))</f>
        <v>-10</v>
      </c>
      <c r="L89" s="44" t="s">
        <v>15</v>
      </c>
      <c r="M89" s="43">
        <v>10.199999999999999</v>
      </c>
      <c r="N89" s="43">
        <f>Q89/P89*100</f>
        <v>10.5</v>
      </c>
      <c r="O89" s="51">
        <f>P89/21</f>
        <v>131.71428571428572</v>
      </c>
      <c r="P89" s="137">
        <v>2766</v>
      </c>
      <c r="Q89" s="100">
        <v>290.43</v>
      </c>
      <c r="R89" s="43">
        <v>98</v>
      </c>
      <c r="S89" s="64">
        <f>+R89*1000/Q89</f>
        <v>337.43070619426368</v>
      </c>
      <c r="T89" s="43"/>
      <c r="U89" s="43"/>
      <c r="V89" s="65">
        <f>(R89+U89)</f>
        <v>98</v>
      </c>
      <c r="W89" s="65">
        <f>V89*12</f>
        <v>1176</v>
      </c>
      <c r="X89" s="43">
        <v>104</v>
      </c>
      <c r="Y89" s="43">
        <v>0</v>
      </c>
      <c r="Z89" s="43">
        <v>180</v>
      </c>
      <c r="AA89" s="51">
        <f>SUM(W89:Z89)</f>
        <v>1460</v>
      </c>
      <c r="AB89" s="43"/>
      <c r="AC89" s="43">
        <v>9.3000000000000007</v>
      </c>
      <c r="AD89" s="51">
        <f>SUM(AA89:AC89)</f>
        <v>1469.3</v>
      </c>
      <c r="AE89" s="18"/>
      <c r="AF89" s="18"/>
      <c r="AG89" s="21"/>
      <c r="AH89" s="16"/>
      <c r="AI89" s="44"/>
      <c r="AJ89" s="44"/>
      <c r="AK89" s="44"/>
      <c r="AL89" s="45"/>
      <c r="AM89" s="202" t="s">
        <v>244</v>
      </c>
      <c r="AN89" s="157" t="s">
        <v>10</v>
      </c>
      <c r="AO89" s="158" t="s">
        <v>11</v>
      </c>
      <c r="AP89" s="158" t="s">
        <v>26</v>
      </c>
      <c r="AQ89" s="158" t="s">
        <v>15</v>
      </c>
      <c r="AR89" s="159">
        <v>10000</v>
      </c>
      <c r="AS89" s="93" t="s">
        <v>170</v>
      </c>
    </row>
    <row r="90" spans="1:45" ht="40.5" x14ac:dyDescent="0.35">
      <c r="A90" s="16"/>
      <c r="B90" s="75">
        <v>2</v>
      </c>
      <c r="C90" s="17" t="s">
        <v>203</v>
      </c>
      <c r="D90" s="139" t="s">
        <v>72</v>
      </c>
      <c r="E90" s="18" t="s">
        <v>163</v>
      </c>
      <c r="F90" s="18" t="s">
        <v>22</v>
      </c>
      <c r="G90" s="16" t="s">
        <v>11</v>
      </c>
      <c r="H90" s="19" t="s">
        <v>61</v>
      </c>
      <c r="I90" s="98"/>
      <c r="J90" s="16">
        <v>2010</v>
      </c>
      <c r="K90" s="68">
        <f>IF(J90="մինչև 2000","օգտակար ծառայության ժամկետը սպառված է",10-($K$12-J90))</f>
        <v>-4</v>
      </c>
      <c r="L90" s="44" t="s">
        <v>18</v>
      </c>
      <c r="M90" s="43">
        <v>16.2</v>
      </c>
      <c r="N90" s="43">
        <f>Q90/P90*100</f>
        <v>16</v>
      </c>
      <c r="O90" s="51">
        <f>P90/21</f>
        <v>29.761904761904763</v>
      </c>
      <c r="P90" s="137">
        <v>625</v>
      </c>
      <c r="Q90" s="100">
        <v>100</v>
      </c>
      <c r="R90" s="43">
        <v>30.1</v>
      </c>
      <c r="S90" s="64">
        <f>+R90*1000/Q90</f>
        <v>301</v>
      </c>
      <c r="T90" s="43"/>
      <c r="U90" s="43"/>
      <c r="V90" s="65">
        <f>(R90+U90)</f>
        <v>30.1</v>
      </c>
      <c r="W90" s="65">
        <f>V90*12</f>
        <v>361.20000000000005</v>
      </c>
      <c r="X90" s="43">
        <v>0</v>
      </c>
      <c r="Y90" s="43">
        <v>0</v>
      </c>
      <c r="Z90" s="43">
        <v>103.7</v>
      </c>
      <c r="AA90" s="51">
        <f>SUM(W90:Z90)</f>
        <v>464.90000000000003</v>
      </c>
      <c r="AB90" s="43"/>
      <c r="AC90" s="43">
        <v>14</v>
      </c>
      <c r="AD90" s="51">
        <f>SUM(AA90:AC90)</f>
        <v>478.90000000000003</v>
      </c>
      <c r="AE90" s="18"/>
      <c r="AF90" s="18"/>
      <c r="AG90" s="21"/>
      <c r="AH90" s="16"/>
      <c r="AI90" s="44"/>
      <c r="AJ90" s="44"/>
      <c r="AK90" s="44"/>
      <c r="AL90" s="45"/>
      <c r="AM90" s="46"/>
      <c r="AN90" s="16"/>
      <c r="AO90" s="44"/>
      <c r="AP90" s="44"/>
      <c r="AQ90" s="44"/>
      <c r="AR90" s="46"/>
      <c r="AS90" s="18"/>
    </row>
    <row r="91" spans="1:45" ht="40.5" x14ac:dyDescent="0.35">
      <c r="A91" s="16"/>
      <c r="B91" s="75">
        <v>3</v>
      </c>
      <c r="C91" s="17" t="s">
        <v>203</v>
      </c>
      <c r="D91" s="139" t="s">
        <v>72</v>
      </c>
      <c r="E91" s="18" t="s">
        <v>164</v>
      </c>
      <c r="F91" s="18" t="s">
        <v>48</v>
      </c>
      <c r="G91" s="16" t="s">
        <v>11</v>
      </c>
      <c r="H91" s="19" t="s">
        <v>61</v>
      </c>
      <c r="I91" s="98"/>
      <c r="J91" s="16">
        <v>2023</v>
      </c>
      <c r="K91" s="68">
        <f>IF(J91="մինչև 2000","օգտակար ծառայության ժամկետը սպառված է",10-($K$12-J91))</f>
        <v>9</v>
      </c>
      <c r="L91" s="44" t="s">
        <v>18</v>
      </c>
      <c r="M91" s="43">
        <v>16.2</v>
      </c>
      <c r="N91" s="43">
        <f>Q91/P91*100</f>
        <v>15.999999999999998</v>
      </c>
      <c r="O91" s="51">
        <f>P91/21</f>
        <v>48.571428571428569</v>
      </c>
      <c r="P91" s="137">
        <v>1020</v>
      </c>
      <c r="Q91" s="82">
        <v>163.19999999999999</v>
      </c>
      <c r="R91" s="43">
        <v>55</v>
      </c>
      <c r="S91" s="64">
        <f>+R91*1000/Q91</f>
        <v>337.00980392156868</v>
      </c>
      <c r="T91" s="43"/>
      <c r="U91" s="43"/>
      <c r="V91" s="65">
        <f>(R91+U91)</f>
        <v>55</v>
      </c>
      <c r="W91" s="65">
        <f>V91*12</f>
        <v>660</v>
      </c>
      <c r="X91" s="43">
        <v>0</v>
      </c>
      <c r="Y91" s="43">
        <v>0</v>
      </c>
      <c r="Z91" s="43">
        <v>156</v>
      </c>
      <c r="AA91" s="51">
        <f>SUM(W91:Z91)</f>
        <v>816</v>
      </c>
      <c r="AB91" s="43">
        <v>20</v>
      </c>
      <c r="AC91" s="43"/>
      <c r="AD91" s="51">
        <f>SUM(AA91:AC91)</f>
        <v>836</v>
      </c>
      <c r="AE91" s="18"/>
      <c r="AF91" s="18"/>
      <c r="AG91" s="21"/>
      <c r="AH91" s="16"/>
      <c r="AI91" s="44"/>
      <c r="AJ91" s="44"/>
      <c r="AK91" s="44"/>
      <c r="AL91" s="45"/>
      <c r="AM91" s="46"/>
      <c r="AN91" s="16"/>
      <c r="AO91" s="44"/>
      <c r="AP91" s="44"/>
      <c r="AQ91" s="44"/>
      <c r="AR91" s="46"/>
      <c r="AS91" s="18"/>
    </row>
    <row r="92" spans="1:45" x14ac:dyDescent="0.35">
      <c r="A92" s="20"/>
      <c r="B92" s="75"/>
      <c r="C92" s="119" t="s">
        <v>267</v>
      </c>
      <c r="D92" s="106"/>
      <c r="E92" s="106"/>
      <c r="F92" s="106"/>
      <c r="G92" s="106"/>
      <c r="H92" s="106"/>
      <c r="I92" s="106"/>
      <c r="J92" s="106"/>
      <c r="K92" s="69"/>
      <c r="L92" s="106"/>
      <c r="M92" s="106"/>
      <c r="N92" s="106"/>
      <c r="O92" s="13"/>
      <c r="P92" s="106"/>
      <c r="Q92" s="13"/>
      <c r="R92" s="106"/>
      <c r="S92" s="13"/>
      <c r="T92" s="106"/>
      <c r="U92" s="106"/>
      <c r="V92" s="74"/>
      <c r="W92" s="74"/>
      <c r="X92" s="106"/>
      <c r="Y92" s="106"/>
      <c r="Z92" s="106"/>
      <c r="AA92" s="13"/>
      <c r="AB92" s="106"/>
      <c r="AC92" s="106"/>
      <c r="AD92" s="13"/>
      <c r="AE92" s="106"/>
      <c r="AF92" s="106"/>
      <c r="AG92" s="106"/>
      <c r="AH92" s="106"/>
      <c r="AI92" s="106"/>
      <c r="AJ92" s="106"/>
      <c r="AK92" s="106"/>
      <c r="AL92" s="106"/>
      <c r="AM92" s="106"/>
      <c r="AN92" s="106"/>
      <c r="AO92" s="106"/>
      <c r="AP92" s="106"/>
      <c r="AQ92" s="106"/>
      <c r="AR92" s="106"/>
      <c r="AS92" s="106"/>
    </row>
    <row r="93" spans="1:45" s="149" customFormat="1" ht="267.75" x14ac:dyDescent="0.35">
      <c r="A93" s="75"/>
      <c r="B93" s="75">
        <v>1</v>
      </c>
      <c r="C93" s="113" t="s">
        <v>204</v>
      </c>
      <c r="D93" s="139" t="s">
        <v>33</v>
      </c>
      <c r="E93" s="139" t="s">
        <v>159</v>
      </c>
      <c r="F93" s="139" t="s">
        <v>20</v>
      </c>
      <c r="G93" s="75" t="s">
        <v>11</v>
      </c>
      <c r="H93" s="79"/>
      <c r="I93" s="99">
        <v>1000</v>
      </c>
      <c r="J93" s="75">
        <v>2010</v>
      </c>
      <c r="K93" s="80">
        <f>IF(J93="մինչև 2000","օգտակար ծառայության ժամկետը սպառված է",10-($K$12-J93))</f>
        <v>-4</v>
      </c>
      <c r="L93" s="81" t="s">
        <v>15</v>
      </c>
      <c r="M93" s="137">
        <v>8.5</v>
      </c>
      <c r="N93" s="137">
        <f>Q93/P93*100</f>
        <v>12</v>
      </c>
      <c r="O93" s="138"/>
      <c r="P93" s="137">
        <v>3000</v>
      </c>
      <c r="Q93" s="100">
        <v>360</v>
      </c>
      <c r="R93" s="117">
        <f>Q93*554/1000</f>
        <v>199.44</v>
      </c>
      <c r="S93" s="82">
        <f>+R93*1000/Q93</f>
        <v>554</v>
      </c>
      <c r="T93" s="137"/>
      <c r="U93" s="137"/>
      <c r="V93" s="83">
        <f>(R93+U93)</f>
        <v>199.44</v>
      </c>
      <c r="W93" s="83">
        <f>V93*12</f>
        <v>2393.2799999999997</v>
      </c>
      <c r="X93" s="137">
        <v>0</v>
      </c>
      <c r="Y93" s="137">
        <v>0</v>
      </c>
      <c r="Z93" s="137"/>
      <c r="AA93" s="138">
        <f>SUM(W93:Z93)</f>
        <v>2393.2799999999997</v>
      </c>
      <c r="AB93" s="137">
        <v>500</v>
      </c>
      <c r="AC93" s="137">
        <v>11</v>
      </c>
      <c r="AD93" s="138">
        <f>SUM(AA93:AC93)</f>
        <v>2904.2799999999997</v>
      </c>
      <c r="AE93" s="139" t="s">
        <v>38</v>
      </c>
      <c r="AF93" s="139" t="s">
        <v>39</v>
      </c>
      <c r="AG93" s="75"/>
      <c r="AH93" s="75" t="s">
        <v>17</v>
      </c>
      <c r="AI93" s="81" t="s">
        <v>11</v>
      </c>
      <c r="AJ93" s="81" t="s">
        <v>61</v>
      </c>
      <c r="AK93" s="81" t="s">
        <v>18</v>
      </c>
      <c r="AL93" s="81"/>
      <c r="AM93" s="202" t="s">
        <v>244</v>
      </c>
      <c r="AN93" s="202" t="s">
        <v>22</v>
      </c>
      <c r="AO93" s="158" t="s">
        <v>11</v>
      </c>
      <c r="AP93" s="158" t="s">
        <v>61</v>
      </c>
      <c r="AQ93" s="158" t="s">
        <v>18</v>
      </c>
      <c r="AR93" s="159">
        <v>21000</v>
      </c>
      <c r="AS93" s="118" t="s">
        <v>172</v>
      </c>
    </row>
    <row r="94" spans="1:45" x14ac:dyDescent="0.35">
      <c r="A94" s="20"/>
      <c r="B94" s="135"/>
      <c r="C94" s="119" t="s">
        <v>268</v>
      </c>
      <c r="D94" s="106"/>
      <c r="E94" s="106"/>
      <c r="F94" s="106"/>
      <c r="G94" s="106"/>
      <c r="H94" s="106"/>
      <c r="I94" s="106"/>
      <c r="J94" s="106"/>
      <c r="K94" s="69"/>
      <c r="L94" s="106"/>
      <c r="M94" s="106"/>
      <c r="N94" s="106"/>
      <c r="O94" s="13"/>
      <c r="P94" s="106"/>
      <c r="Q94" s="13"/>
      <c r="R94" s="106"/>
      <c r="S94" s="13"/>
      <c r="T94" s="106"/>
      <c r="U94" s="106"/>
      <c r="V94" s="74"/>
      <c r="W94" s="74"/>
      <c r="X94" s="106"/>
      <c r="Y94" s="106"/>
      <c r="Z94" s="106"/>
      <c r="AA94" s="13"/>
      <c r="AB94" s="106"/>
      <c r="AC94" s="106"/>
      <c r="AD94" s="13"/>
      <c r="AE94" s="106"/>
      <c r="AF94" s="106"/>
      <c r="AG94" s="106"/>
      <c r="AH94" s="106"/>
      <c r="AI94" s="106"/>
      <c r="AJ94" s="106"/>
      <c r="AK94" s="106"/>
      <c r="AL94" s="106"/>
      <c r="AM94" s="106"/>
      <c r="AN94" s="106"/>
      <c r="AO94" s="106"/>
      <c r="AP94" s="106"/>
      <c r="AQ94" s="106"/>
      <c r="AR94" s="106"/>
      <c r="AS94" s="106"/>
    </row>
    <row r="95" spans="1:45" s="149" customFormat="1" ht="27" x14ac:dyDescent="0.35">
      <c r="A95" s="75"/>
      <c r="B95" s="75"/>
      <c r="C95" s="113"/>
      <c r="D95" s="153"/>
      <c r="E95" s="153"/>
      <c r="F95" s="153"/>
      <c r="G95" s="75"/>
      <c r="H95" s="79"/>
      <c r="I95" s="99"/>
      <c r="J95" s="75"/>
      <c r="K95" s="80"/>
      <c r="L95" s="81"/>
      <c r="M95" s="154"/>
      <c r="N95" s="154"/>
      <c r="O95" s="155"/>
      <c r="P95" s="154"/>
      <c r="Q95" s="100"/>
      <c r="R95" s="82"/>
      <c r="S95" s="82"/>
      <c r="T95" s="154"/>
      <c r="U95" s="154"/>
      <c r="V95" s="83"/>
      <c r="W95" s="83"/>
      <c r="X95" s="154"/>
      <c r="Y95" s="154"/>
      <c r="Z95" s="154"/>
      <c r="AA95" s="155"/>
      <c r="AB95" s="154"/>
      <c r="AC95" s="154"/>
      <c r="AD95" s="155"/>
      <c r="AE95" s="139"/>
      <c r="AF95" s="139"/>
      <c r="AG95" s="75"/>
      <c r="AH95" s="75"/>
      <c r="AI95" s="81"/>
      <c r="AJ95" s="81"/>
      <c r="AK95" s="81"/>
      <c r="AL95" s="81"/>
      <c r="AM95" s="153" t="s">
        <v>244</v>
      </c>
      <c r="AN95" s="75" t="s">
        <v>22</v>
      </c>
      <c r="AO95" s="81" t="s">
        <v>11</v>
      </c>
      <c r="AP95" s="81" t="s">
        <v>61</v>
      </c>
      <c r="AQ95" s="81" t="s">
        <v>18</v>
      </c>
      <c r="AR95" s="111">
        <v>24167</v>
      </c>
      <c r="AS95" s="113" t="s">
        <v>171</v>
      </c>
    </row>
    <row r="96" spans="1:45" s="149" customFormat="1" ht="69" customHeight="1" x14ac:dyDescent="0.35">
      <c r="A96" s="75"/>
      <c r="B96" s="75">
        <v>1</v>
      </c>
      <c r="C96" s="113" t="s">
        <v>203</v>
      </c>
      <c r="D96" s="139" t="s">
        <v>72</v>
      </c>
      <c r="E96" s="139" t="s">
        <v>153</v>
      </c>
      <c r="F96" s="139" t="s">
        <v>22</v>
      </c>
      <c r="G96" s="75" t="s">
        <v>11</v>
      </c>
      <c r="H96" s="79" t="s">
        <v>26</v>
      </c>
      <c r="I96" s="99">
        <v>17000</v>
      </c>
      <c r="J96" s="75">
        <v>2017</v>
      </c>
      <c r="K96" s="80">
        <f>IF(J96="մինչև 2000","օգտակար ծառայության ժամկետը սպառված է",10-($K$12-J96))</f>
        <v>3</v>
      </c>
      <c r="L96" s="81" t="s">
        <v>18</v>
      </c>
      <c r="M96" s="137">
        <v>8</v>
      </c>
      <c r="N96" s="137">
        <f>Q96/P96*100</f>
        <v>8.1215364035925859</v>
      </c>
      <c r="O96" s="138"/>
      <c r="P96" s="137">
        <v>1308.25</v>
      </c>
      <c r="Q96" s="100">
        <f>1275/12</f>
        <v>106.25</v>
      </c>
      <c r="R96" s="82">
        <f>490.135/12</f>
        <v>40.844583333333333</v>
      </c>
      <c r="S96" s="82">
        <f>+R96*1000/Q96</f>
        <v>384.41960784313727</v>
      </c>
      <c r="T96" s="137"/>
      <c r="U96" s="137"/>
      <c r="V96" s="83">
        <f>(R96+U96)</f>
        <v>40.844583333333333</v>
      </c>
      <c r="W96" s="83">
        <f>V96*12</f>
        <v>490.13499999999999</v>
      </c>
      <c r="X96" s="137">
        <v>130</v>
      </c>
      <c r="Y96" s="137">
        <v>39</v>
      </c>
      <c r="Z96" s="137">
        <v>71</v>
      </c>
      <c r="AA96" s="155">
        <f>SUM(W96:Z96)</f>
        <v>730.13499999999999</v>
      </c>
      <c r="AB96" s="154">
        <v>120</v>
      </c>
      <c r="AC96" s="154">
        <v>13</v>
      </c>
      <c r="AD96" s="155">
        <f>SUM(AA96:AC96)</f>
        <v>863.13499999999999</v>
      </c>
      <c r="AE96" s="153"/>
      <c r="AF96" s="153"/>
      <c r="AG96" s="75"/>
      <c r="AH96" s="75"/>
      <c r="AI96" s="81"/>
      <c r="AJ96" s="81"/>
      <c r="AK96" s="81"/>
      <c r="AL96" s="81"/>
      <c r="AM96" s="202" t="s">
        <v>244</v>
      </c>
      <c r="AN96" s="157" t="s">
        <v>17</v>
      </c>
      <c r="AO96" s="158" t="s">
        <v>11</v>
      </c>
      <c r="AP96" s="158" t="s">
        <v>61</v>
      </c>
      <c r="AQ96" s="158" t="s">
        <v>18</v>
      </c>
      <c r="AR96" s="159">
        <v>12900</v>
      </c>
      <c r="AS96" s="118" t="s">
        <v>241</v>
      </c>
    </row>
    <row r="97" spans="1:45" ht="172.5" customHeight="1" x14ac:dyDescent="0.35">
      <c r="A97" s="16"/>
      <c r="B97" s="75">
        <v>1</v>
      </c>
      <c r="C97" s="93" t="s">
        <v>208</v>
      </c>
      <c r="D97" s="139" t="s">
        <v>33</v>
      </c>
      <c r="E97" s="18" t="s">
        <v>154</v>
      </c>
      <c r="F97" s="18" t="s">
        <v>20</v>
      </c>
      <c r="G97" s="16" t="s">
        <v>11</v>
      </c>
      <c r="H97" s="79" t="s">
        <v>26</v>
      </c>
      <c r="I97" s="98">
        <v>1936.4</v>
      </c>
      <c r="J97" s="16">
        <v>2007</v>
      </c>
      <c r="K97" s="68">
        <f>IF(J97="մինչև 2000","օգտակար ծառայության ժամկետը սպառված է",10-($K$12-J97))</f>
        <v>-7</v>
      </c>
      <c r="L97" s="44" t="s">
        <v>15</v>
      </c>
      <c r="M97" s="43">
        <v>12.5</v>
      </c>
      <c r="N97" s="137">
        <f>Q97/P97*100</f>
        <v>20.796822058651713</v>
      </c>
      <c r="O97" s="51"/>
      <c r="P97" s="43">
        <v>713.25</v>
      </c>
      <c r="Q97" s="64">
        <f>1780/12</f>
        <v>148.33333333333334</v>
      </c>
      <c r="R97" s="43">
        <f>735.426/12</f>
        <v>61.285500000000006</v>
      </c>
      <c r="S97" s="82">
        <f>+R97*1000/Q97</f>
        <v>413.16067415730339</v>
      </c>
      <c r="T97" s="43"/>
      <c r="U97" s="43"/>
      <c r="V97" s="83">
        <f>(R97+U97)</f>
        <v>61.285500000000006</v>
      </c>
      <c r="W97" s="83">
        <f>V97*12</f>
        <v>735.42600000000004</v>
      </c>
      <c r="X97" s="137">
        <v>120</v>
      </c>
      <c r="Y97" s="137">
        <v>35</v>
      </c>
      <c r="Z97" s="137">
        <v>35</v>
      </c>
      <c r="AA97" s="138">
        <f>SUM(W97:Z97)</f>
        <v>925.42600000000004</v>
      </c>
      <c r="AB97" s="137">
        <v>67</v>
      </c>
      <c r="AC97" s="137">
        <v>11</v>
      </c>
      <c r="AD97" s="138">
        <f>SUM(AA97:AC97)</f>
        <v>1003.426</v>
      </c>
      <c r="AE97" s="18" t="s">
        <v>38</v>
      </c>
      <c r="AF97" s="18" t="s">
        <v>39</v>
      </c>
      <c r="AG97" s="21"/>
      <c r="AH97" s="16"/>
      <c r="AI97" s="44"/>
      <c r="AJ97" s="44"/>
      <c r="AK97" s="44"/>
      <c r="AL97" s="45"/>
      <c r="AM97" s="202" t="s">
        <v>244</v>
      </c>
      <c r="AN97" s="157" t="s">
        <v>20</v>
      </c>
      <c r="AO97" s="158" t="s">
        <v>11</v>
      </c>
      <c r="AP97" s="158" t="s">
        <v>61</v>
      </c>
      <c r="AQ97" s="158" t="s">
        <v>15</v>
      </c>
      <c r="AR97" s="159">
        <v>16000</v>
      </c>
      <c r="AS97" s="112" t="s">
        <v>218</v>
      </c>
    </row>
    <row r="98" spans="1:45" x14ac:dyDescent="0.35">
      <c r="A98" s="20"/>
      <c r="B98" s="135"/>
      <c r="C98" s="119" t="s">
        <v>269</v>
      </c>
      <c r="D98" s="106"/>
      <c r="E98" s="106"/>
      <c r="F98" s="106"/>
      <c r="G98" s="106"/>
      <c r="H98" s="106"/>
      <c r="I98" s="106"/>
      <c r="J98" s="106"/>
      <c r="K98" s="69"/>
      <c r="L98" s="106"/>
      <c r="M98" s="106"/>
      <c r="N98" s="106"/>
      <c r="O98" s="13"/>
      <c r="P98" s="106"/>
      <c r="Q98" s="13"/>
      <c r="R98" s="106"/>
      <c r="S98" s="13"/>
      <c r="T98" s="106"/>
      <c r="U98" s="106"/>
      <c r="V98" s="74"/>
      <c r="W98" s="74"/>
      <c r="X98" s="106"/>
      <c r="Y98" s="106"/>
      <c r="Z98" s="106"/>
      <c r="AA98" s="13"/>
      <c r="AB98" s="106"/>
      <c r="AC98" s="106"/>
      <c r="AD98" s="13"/>
      <c r="AE98" s="106"/>
      <c r="AF98" s="106"/>
      <c r="AG98" s="106"/>
      <c r="AH98" s="106"/>
      <c r="AI98" s="106"/>
      <c r="AJ98" s="106"/>
      <c r="AK98" s="106"/>
      <c r="AL98" s="106"/>
      <c r="AM98" s="106"/>
      <c r="AN98" s="106"/>
      <c r="AO98" s="106"/>
      <c r="AP98" s="106"/>
      <c r="AQ98" s="106"/>
      <c r="AR98" s="106"/>
      <c r="AS98" s="106"/>
    </row>
    <row r="99" spans="1:45" s="149" customFormat="1" ht="40.5" x14ac:dyDescent="0.35">
      <c r="A99" s="75"/>
      <c r="B99" s="75">
        <v>1</v>
      </c>
      <c r="C99" s="113" t="s">
        <v>203</v>
      </c>
      <c r="D99" s="139" t="s">
        <v>72</v>
      </c>
      <c r="E99" s="139" t="s">
        <v>155</v>
      </c>
      <c r="F99" s="139" t="s">
        <v>22</v>
      </c>
      <c r="G99" s="75" t="s">
        <v>16</v>
      </c>
      <c r="H99" s="79"/>
      <c r="I99" s="99">
        <v>5750</v>
      </c>
      <c r="J99" s="75">
        <v>2010</v>
      </c>
      <c r="K99" s="80">
        <f>IF(J99="մինչև 2000","օգտակար ծառայության ժամկետը սպառված է",10-($K$12-J99))</f>
        <v>-4</v>
      </c>
      <c r="L99" s="81" t="s">
        <v>18</v>
      </c>
      <c r="M99" s="137">
        <v>14</v>
      </c>
      <c r="N99" s="137">
        <f>Q99/P99*100</f>
        <v>14.98665748472067</v>
      </c>
      <c r="O99" s="138"/>
      <c r="P99" s="137">
        <f>11617/12</f>
        <v>968.08333333333337</v>
      </c>
      <c r="Q99" s="100">
        <f>1741/12</f>
        <v>145.08333333333334</v>
      </c>
      <c r="R99" s="101">
        <v>49.9</v>
      </c>
      <c r="S99" s="82">
        <f>+R99*1000/Q99</f>
        <v>343.94026421596783</v>
      </c>
      <c r="T99" s="137"/>
      <c r="U99" s="137"/>
      <c r="V99" s="83">
        <f>(R99+U99)</f>
        <v>49.9</v>
      </c>
      <c r="W99" s="83">
        <f>V99*12</f>
        <v>598.79999999999995</v>
      </c>
      <c r="X99" s="137">
        <v>0</v>
      </c>
      <c r="Y99" s="137">
        <f>V99*12</f>
        <v>598.79999999999995</v>
      </c>
      <c r="Z99" s="137">
        <v>454.2</v>
      </c>
      <c r="AA99" s="138">
        <f>SUM(W99:Z99)</f>
        <v>1651.8</v>
      </c>
      <c r="AB99" s="137">
        <f>148/4+119</f>
        <v>156</v>
      </c>
      <c r="AC99" s="137">
        <v>12</v>
      </c>
      <c r="AD99" s="138">
        <f>SUM(AA99:AC99)</f>
        <v>1819.8</v>
      </c>
      <c r="AE99" s="139" t="s">
        <v>38</v>
      </c>
      <c r="AF99" s="139" t="s">
        <v>39</v>
      </c>
      <c r="AG99" s="75"/>
      <c r="AH99" s="139"/>
      <c r="AI99" s="81"/>
      <c r="AJ99" s="81"/>
      <c r="AK99" s="81"/>
      <c r="AL99" s="81"/>
      <c r="AM99" s="84">
        <v>1</v>
      </c>
      <c r="AN99" s="75" t="s">
        <v>22</v>
      </c>
      <c r="AO99" s="81" t="s">
        <v>11</v>
      </c>
      <c r="AP99" s="81" t="s">
        <v>61</v>
      </c>
      <c r="AQ99" s="81" t="s">
        <v>18</v>
      </c>
      <c r="AR99" s="111">
        <v>23500</v>
      </c>
      <c r="AS99" s="160" t="s">
        <v>217</v>
      </c>
    </row>
    <row r="100" spans="1:45" s="149" customFormat="1" ht="40.5" x14ac:dyDescent="0.35">
      <c r="A100" s="75"/>
      <c r="B100" s="75">
        <v>2</v>
      </c>
      <c r="C100" s="113" t="s">
        <v>203</v>
      </c>
      <c r="D100" s="139" t="s">
        <v>72</v>
      </c>
      <c r="E100" s="139" t="s">
        <v>156</v>
      </c>
      <c r="F100" s="139" t="s">
        <v>20</v>
      </c>
      <c r="G100" s="75" t="s">
        <v>16</v>
      </c>
      <c r="H100" s="79"/>
      <c r="I100" s="99">
        <v>4945.7</v>
      </c>
      <c r="J100" s="75">
        <v>1998</v>
      </c>
      <c r="K100" s="80">
        <f>IF(J100="մինչև 2000","օգտակար ծառայության ժամկետը սպառված է",10-($K$12-J100))</f>
        <v>-16</v>
      </c>
      <c r="L100" s="81" t="s">
        <v>18</v>
      </c>
      <c r="M100" s="137">
        <v>15</v>
      </c>
      <c r="N100" s="137">
        <f>Q100/P100*100</f>
        <v>19.753086419753089</v>
      </c>
      <c r="O100" s="138"/>
      <c r="P100" s="137">
        <f>19845/12</f>
        <v>1653.75</v>
      </c>
      <c r="Q100" s="82">
        <f>3920/12</f>
        <v>326.66666666666669</v>
      </c>
      <c r="R100" s="101">
        <v>94.3</v>
      </c>
      <c r="S100" s="82">
        <f>+R100*1000/Q100</f>
        <v>288.67346938775506</v>
      </c>
      <c r="T100" s="137"/>
      <c r="U100" s="137"/>
      <c r="V100" s="83">
        <f>(R100+U100)</f>
        <v>94.3</v>
      </c>
      <c r="W100" s="83">
        <f>V100*12</f>
        <v>1131.5999999999999</v>
      </c>
      <c r="X100" s="137">
        <v>0</v>
      </c>
      <c r="Y100" s="137">
        <f>V100*12</f>
        <v>1131.5999999999999</v>
      </c>
      <c r="Z100" s="137">
        <v>372.2</v>
      </c>
      <c r="AA100" s="138">
        <f>SUM(W100:Z100)</f>
        <v>2635.3999999999996</v>
      </c>
      <c r="AB100" s="137">
        <f>148/4</f>
        <v>37</v>
      </c>
      <c r="AC100" s="137">
        <v>13</v>
      </c>
      <c r="AD100" s="138">
        <f>SUM(AA100:AC100)</f>
        <v>2685.3999999999996</v>
      </c>
      <c r="AE100" s="139" t="s">
        <v>38</v>
      </c>
      <c r="AF100" s="139" t="s">
        <v>41</v>
      </c>
      <c r="AG100" s="75"/>
      <c r="AH100" s="139"/>
      <c r="AI100" s="81"/>
      <c r="AJ100" s="81"/>
      <c r="AK100" s="81"/>
      <c r="AL100" s="81"/>
      <c r="AM100" s="202" t="s">
        <v>244</v>
      </c>
      <c r="AN100" s="157" t="s">
        <v>20</v>
      </c>
      <c r="AO100" s="158" t="s">
        <v>11</v>
      </c>
      <c r="AP100" s="158" t="s">
        <v>61</v>
      </c>
      <c r="AQ100" s="158" t="s">
        <v>18</v>
      </c>
      <c r="AR100" s="111">
        <v>12900</v>
      </c>
      <c r="AS100" s="161"/>
    </row>
    <row r="101" spans="1:45" s="149" customFormat="1" ht="52.5" customHeight="1" x14ac:dyDescent="0.35">
      <c r="A101" s="75"/>
      <c r="B101" s="173">
        <v>3</v>
      </c>
      <c r="C101" s="169" t="s">
        <v>203</v>
      </c>
      <c r="D101" s="169" t="s">
        <v>72</v>
      </c>
      <c r="E101" s="201" t="s">
        <v>157</v>
      </c>
      <c r="F101" s="169" t="s">
        <v>48</v>
      </c>
      <c r="G101" s="75" t="s">
        <v>11</v>
      </c>
      <c r="H101" s="79"/>
      <c r="I101" s="177">
        <v>6190.6540000000005</v>
      </c>
      <c r="J101" s="75">
        <v>1992</v>
      </c>
      <c r="K101" s="80">
        <f>IF(J101="մինչև 2000","օգտակար ծառայության ժամկետը սպառված է",10-($K$12-J101))</f>
        <v>-22</v>
      </c>
      <c r="L101" s="167" t="s">
        <v>18</v>
      </c>
      <c r="M101" s="137">
        <v>15</v>
      </c>
      <c r="N101" s="137">
        <f>Q101/P101*100</f>
        <v>17</v>
      </c>
      <c r="O101" s="138"/>
      <c r="P101" s="103">
        <f>Q101/17*100</f>
        <v>1156.8627450980391</v>
      </c>
      <c r="Q101" s="100">
        <f>2360/12</f>
        <v>196.66666666666666</v>
      </c>
      <c r="R101" s="102">
        <f>1001.4/12</f>
        <v>83.45</v>
      </c>
      <c r="S101" s="82">
        <f>+R101*1000/Q101</f>
        <v>424.32203389830511</v>
      </c>
      <c r="T101" s="137"/>
      <c r="U101" s="137"/>
      <c r="V101" s="83">
        <f>(R101+U101)</f>
        <v>83.45</v>
      </c>
      <c r="W101" s="138">
        <f>V101*12</f>
        <v>1001.4000000000001</v>
      </c>
      <c r="X101" s="163">
        <v>140</v>
      </c>
      <c r="Y101" s="163">
        <v>43</v>
      </c>
      <c r="Z101" s="163">
        <v>514.6</v>
      </c>
      <c r="AA101" s="166">
        <f>SUM(W101:Z101)</f>
        <v>1699</v>
      </c>
      <c r="AB101" s="163">
        <f>148/4</f>
        <v>37</v>
      </c>
      <c r="AC101" s="163">
        <v>13</v>
      </c>
      <c r="AD101" s="164">
        <f>SUM(AA101:AC101)</f>
        <v>1749</v>
      </c>
      <c r="AE101" s="139"/>
      <c r="AF101" s="139"/>
      <c r="AG101" s="75"/>
      <c r="AH101" s="75"/>
      <c r="AI101" s="81"/>
      <c r="AJ101" s="81"/>
      <c r="AK101" s="81"/>
      <c r="AL101" s="81"/>
      <c r="AM101" s="84">
        <v>1</v>
      </c>
      <c r="AN101" s="75" t="s">
        <v>22</v>
      </c>
      <c r="AO101" s="81" t="s">
        <v>11</v>
      </c>
      <c r="AP101" s="81" t="s">
        <v>61</v>
      </c>
      <c r="AQ101" s="81" t="s">
        <v>18</v>
      </c>
      <c r="AR101" s="111">
        <v>21000</v>
      </c>
      <c r="AS101" s="162"/>
    </row>
    <row r="102" spans="1:45" s="149" customFormat="1" x14ac:dyDescent="0.35">
      <c r="A102" s="104">
        <v>2171.3492500000002</v>
      </c>
      <c r="B102" s="174"/>
      <c r="C102" s="170"/>
      <c r="D102" s="170"/>
      <c r="E102" s="201"/>
      <c r="F102" s="170"/>
      <c r="G102" s="75" t="s">
        <v>19</v>
      </c>
      <c r="H102" s="151"/>
      <c r="I102" s="178"/>
      <c r="J102" s="75">
        <v>1992</v>
      </c>
      <c r="K102" s="80">
        <f>IF(J102="մինչև 2000","օգտակար ծառայության ժամկետը սպառված է",10-($K$12-J102))</f>
        <v>-22</v>
      </c>
      <c r="L102" s="168"/>
      <c r="M102" s="137">
        <v>20</v>
      </c>
      <c r="N102" s="137">
        <f>Q102/P102*100</f>
        <v>24.420370743133198</v>
      </c>
      <c r="O102" s="151"/>
      <c r="P102" s="103">
        <f>29955/12-P101</f>
        <v>1339.3872549019609</v>
      </c>
      <c r="Q102" s="100">
        <f>3925/12</f>
        <v>327.08333333333331</v>
      </c>
      <c r="R102" s="102">
        <f>2171.3/12</f>
        <v>180.94166666666669</v>
      </c>
      <c r="S102" s="82">
        <f>+R102*1000/Q102</f>
        <v>553.19745222929942</v>
      </c>
      <c r="V102" s="83">
        <f>(R102+U102)</f>
        <v>180.94166666666669</v>
      </c>
      <c r="W102" s="138">
        <f>V102*12</f>
        <v>2171.3000000000002</v>
      </c>
      <c r="X102" s="163"/>
      <c r="Y102" s="163"/>
      <c r="Z102" s="163"/>
      <c r="AA102" s="166"/>
      <c r="AB102" s="163"/>
      <c r="AC102" s="163"/>
      <c r="AD102" s="165"/>
      <c r="AE102" s="151"/>
      <c r="AI102" s="151"/>
      <c r="AJ102" s="151"/>
      <c r="AK102" s="151"/>
      <c r="AM102" s="151"/>
      <c r="AN102" s="151"/>
      <c r="AO102" s="151"/>
      <c r="AP102" s="151"/>
      <c r="AQ102" s="151"/>
      <c r="AR102" s="151"/>
    </row>
    <row r="103" spans="1:45" x14ac:dyDescent="0.35">
      <c r="A103" s="20"/>
      <c r="B103" s="135"/>
      <c r="C103" s="119" t="s">
        <v>270</v>
      </c>
      <c r="D103" s="106"/>
      <c r="E103" s="106"/>
      <c r="F103" s="106"/>
      <c r="G103" s="106"/>
      <c r="H103" s="106"/>
      <c r="I103" s="106"/>
      <c r="J103" s="106"/>
      <c r="K103" s="69"/>
      <c r="L103" s="106"/>
      <c r="M103" s="106"/>
      <c r="N103" s="106"/>
      <c r="O103" s="13"/>
      <c r="P103" s="106"/>
      <c r="Q103" s="13"/>
      <c r="R103" s="106"/>
      <c r="S103" s="13"/>
      <c r="T103" s="106"/>
      <c r="U103" s="106"/>
      <c r="V103" s="74"/>
      <c r="W103" s="74"/>
      <c r="X103" s="106"/>
      <c r="Y103" s="106"/>
      <c r="Z103" s="106"/>
      <c r="AA103" s="13"/>
      <c r="AB103" s="106"/>
      <c r="AC103" s="106"/>
      <c r="AD103" s="13"/>
      <c r="AE103" s="106"/>
      <c r="AF103" s="106"/>
      <c r="AG103" s="106"/>
      <c r="AH103" s="106"/>
      <c r="AI103" s="106"/>
      <c r="AJ103" s="106"/>
      <c r="AK103" s="106"/>
      <c r="AL103" s="106"/>
      <c r="AM103" s="106"/>
      <c r="AN103" s="106"/>
      <c r="AO103" s="106"/>
      <c r="AP103" s="106"/>
      <c r="AQ103" s="106"/>
      <c r="AR103" s="106"/>
      <c r="AS103" s="106"/>
    </row>
    <row r="104" spans="1:45" s="149" customFormat="1" ht="96.75" customHeight="1" x14ac:dyDescent="0.35">
      <c r="A104" s="104"/>
      <c r="B104" s="75">
        <v>1</v>
      </c>
      <c r="C104" s="139"/>
      <c r="D104" s="136"/>
      <c r="E104" s="132" t="s">
        <v>223</v>
      </c>
      <c r="F104" s="132" t="s">
        <v>223</v>
      </c>
      <c r="G104" s="132" t="s">
        <v>223</v>
      </c>
      <c r="H104" s="132" t="s">
        <v>223</v>
      </c>
      <c r="I104" s="132" t="s">
        <v>223</v>
      </c>
      <c r="J104" s="132" t="s">
        <v>223</v>
      </c>
      <c r="K104" s="80"/>
      <c r="L104" s="132" t="s">
        <v>223</v>
      </c>
      <c r="M104" s="132" t="s">
        <v>223</v>
      </c>
      <c r="N104" s="132" t="s">
        <v>223</v>
      </c>
      <c r="O104" s="132" t="s">
        <v>223</v>
      </c>
      <c r="P104" s="132" t="s">
        <v>223</v>
      </c>
      <c r="Q104" s="132" t="s">
        <v>223</v>
      </c>
      <c r="R104" s="132" t="s">
        <v>223</v>
      </c>
      <c r="S104" s="132" t="s">
        <v>223</v>
      </c>
      <c r="T104" s="132" t="s">
        <v>223</v>
      </c>
      <c r="U104" s="132" t="s">
        <v>223</v>
      </c>
      <c r="V104" s="132" t="s">
        <v>223</v>
      </c>
      <c r="W104" s="132" t="s">
        <v>223</v>
      </c>
      <c r="X104" s="132" t="s">
        <v>223</v>
      </c>
      <c r="Y104" s="132" t="s">
        <v>223</v>
      </c>
      <c r="Z104" s="132" t="s">
        <v>223</v>
      </c>
      <c r="AA104" s="132" t="s">
        <v>223</v>
      </c>
      <c r="AB104" s="132" t="s">
        <v>223</v>
      </c>
      <c r="AC104" s="132" t="s">
        <v>223</v>
      </c>
      <c r="AD104" s="132" t="s">
        <v>223</v>
      </c>
      <c r="AE104" s="139" t="s">
        <v>38</v>
      </c>
      <c r="AF104" s="139" t="s">
        <v>40</v>
      </c>
      <c r="AH104" s="75"/>
      <c r="AI104" s="81"/>
      <c r="AJ104" s="81"/>
      <c r="AK104" s="81"/>
      <c r="AM104" s="84">
        <v>1</v>
      </c>
      <c r="AN104" s="75" t="s">
        <v>17</v>
      </c>
      <c r="AO104" s="81" t="s">
        <v>11</v>
      </c>
      <c r="AP104" s="81" t="s">
        <v>242</v>
      </c>
      <c r="AQ104" s="81" t="s">
        <v>18</v>
      </c>
      <c r="AR104" s="111">
        <v>16000</v>
      </c>
      <c r="AS104" s="112" t="s">
        <v>219</v>
      </c>
    </row>
    <row r="105" spans="1:45" s="149" customFormat="1" ht="101.25" customHeight="1" x14ac:dyDescent="0.35">
      <c r="A105" s="104"/>
      <c r="B105" s="75">
        <v>2</v>
      </c>
      <c r="C105" s="139"/>
      <c r="D105" s="136"/>
      <c r="E105" s="132" t="s">
        <v>223</v>
      </c>
      <c r="F105" s="132" t="s">
        <v>223</v>
      </c>
      <c r="G105" s="132" t="s">
        <v>223</v>
      </c>
      <c r="H105" s="132" t="s">
        <v>223</v>
      </c>
      <c r="I105" s="132" t="s">
        <v>223</v>
      </c>
      <c r="J105" s="132" t="s">
        <v>223</v>
      </c>
      <c r="K105" s="80"/>
      <c r="L105" s="132" t="s">
        <v>223</v>
      </c>
      <c r="M105" s="132" t="s">
        <v>223</v>
      </c>
      <c r="N105" s="132" t="s">
        <v>223</v>
      </c>
      <c r="O105" s="132" t="s">
        <v>223</v>
      </c>
      <c r="P105" s="132" t="s">
        <v>223</v>
      </c>
      <c r="Q105" s="132" t="s">
        <v>223</v>
      </c>
      <c r="R105" s="132" t="s">
        <v>223</v>
      </c>
      <c r="S105" s="132" t="s">
        <v>223</v>
      </c>
      <c r="T105" s="132" t="s">
        <v>223</v>
      </c>
      <c r="U105" s="132" t="s">
        <v>223</v>
      </c>
      <c r="V105" s="132" t="s">
        <v>223</v>
      </c>
      <c r="W105" s="132" t="s">
        <v>223</v>
      </c>
      <c r="X105" s="132" t="s">
        <v>223</v>
      </c>
      <c r="Y105" s="132" t="s">
        <v>223</v>
      </c>
      <c r="Z105" s="132" t="s">
        <v>223</v>
      </c>
      <c r="AA105" s="132" t="s">
        <v>223</v>
      </c>
      <c r="AB105" s="132" t="s">
        <v>223</v>
      </c>
      <c r="AC105" s="132" t="s">
        <v>223</v>
      </c>
      <c r="AD105" s="132" t="s">
        <v>223</v>
      </c>
      <c r="AE105" s="139"/>
      <c r="AH105" s="75"/>
      <c r="AI105" s="151"/>
      <c r="AJ105" s="151"/>
      <c r="AK105" s="151"/>
      <c r="AM105" s="84">
        <v>1</v>
      </c>
      <c r="AN105" s="75" t="s">
        <v>22</v>
      </c>
      <c r="AO105" s="81" t="s">
        <v>11</v>
      </c>
      <c r="AP105" s="81" t="s">
        <v>61</v>
      </c>
      <c r="AQ105" s="81" t="s">
        <v>18</v>
      </c>
      <c r="AR105" s="111">
        <v>21000</v>
      </c>
      <c r="AS105" s="112" t="s">
        <v>220</v>
      </c>
    </row>
    <row r="106" spans="1:45" x14ac:dyDescent="0.35">
      <c r="A106" s="20"/>
      <c r="B106" s="135"/>
      <c r="C106" s="119" t="s">
        <v>271</v>
      </c>
      <c r="D106" s="106"/>
      <c r="E106" s="106"/>
      <c r="F106" s="106"/>
      <c r="G106" s="106"/>
      <c r="H106" s="106"/>
      <c r="I106" s="106"/>
      <c r="J106" s="106"/>
      <c r="K106" s="69"/>
      <c r="L106" s="106"/>
      <c r="M106" s="106"/>
      <c r="N106" s="106"/>
      <c r="O106" s="13"/>
      <c r="P106" s="106"/>
      <c r="Q106" s="13"/>
      <c r="R106" s="106"/>
      <c r="S106" s="13"/>
      <c r="T106" s="106"/>
      <c r="U106" s="106"/>
      <c r="V106" s="74"/>
      <c r="W106" s="74"/>
      <c r="X106" s="106"/>
      <c r="Y106" s="106"/>
      <c r="Z106" s="106"/>
      <c r="AA106" s="13"/>
      <c r="AB106" s="106"/>
      <c r="AC106" s="106"/>
      <c r="AD106" s="13"/>
      <c r="AE106" s="106"/>
      <c r="AF106" s="106"/>
      <c r="AG106" s="106"/>
      <c r="AH106" s="106"/>
      <c r="AI106" s="106"/>
      <c r="AJ106" s="106"/>
      <c r="AK106" s="106"/>
      <c r="AL106" s="106"/>
      <c r="AM106" s="106"/>
      <c r="AN106" s="106"/>
      <c r="AO106" s="106"/>
      <c r="AP106" s="106"/>
      <c r="AQ106" s="106"/>
      <c r="AR106" s="106"/>
      <c r="AS106" s="106"/>
    </row>
    <row r="107" spans="1:45" ht="40.5" x14ac:dyDescent="0.35">
      <c r="A107" s="16"/>
      <c r="B107" s="16">
        <v>1</v>
      </c>
      <c r="C107" s="93" t="s">
        <v>203</v>
      </c>
      <c r="D107" s="139" t="s">
        <v>72</v>
      </c>
      <c r="E107" s="18" t="s">
        <v>158</v>
      </c>
      <c r="F107" s="18" t="s">
        <v>22</v>
      </c>
      <c r="G107" s="16" t="s">
        <v>19</v>
      </c>
      <c r="H107" s="19"/>
      <c r="I107" s="98">
        <v>3500</v>
      </c>
      <c r="J107" s="16">
        <v>2006</v>
      </c>
      <c r="K107" s="68">
        <f>IF(J107="մինչև 2000","օգտակար ծառայության ժամկետը սպառված է",10-($K$12-J107))</f>
        <v>-8</v>
      </c>
      <c r="L107" s="44" t="s">
        <v>18</v>
      </c>
      <c r="M107" s="43">
        <v>12</v>
      </c>
      <c r="N107" s="43">
        <f>Q107/P107*100</f>
        <v>12.000000000000002</v>
      </c>
      <c r="O107" s="51"/>
      <c r="P107" s="43">
        <f>9200/12</f>
        <v>766.66666666666663</v>
      </c>
      <c r="Q107" s="77">
        <f>1104/12</f>
        <v>92</v>
      </c>
      <c r="R107" s="43">
        <f>Q107*554/1000</f>
        <v>50.968000000000004</v>
      </c>
      <c r="S107" s="64">
        <f>+R107*1000/Q107</f>
        <v>554</v>
      </c>
      <c r="T107" s="43"/>
      <c r="U107" s="43"/>
      <c r="V107" s="65">
        <f>(R107+U107)</f>
        <v>50.968000000000004</v>
      </c>
      <c r="W107" s="65">
        <f>V107*12</f>
        <v>611.61599999999999</v>
      </c>
      <c r="X107" s="43">
        <v>0</v>
      </c>
      <c r="Y107" s="43"/>
      <c r="Z107" s="43"/>
      <c r="AA107" s="51">
        <f>SUM(W107:Z107)</f>
        <v>611.61599999999999</v>
      </c>
      <c r="AB107" s="43">
        <v>158</v>
      </c>
      <c r="AC107" s="43">
        <v>11</v>
      </c>
      <c r="AD107" s="51">
        <f>SUM(AA107:AC107)</f>
        <v>780.61599999999999</v>
      </c>
      <c r="AE107" s="18" t="s">
        <v>38</v>
      </c>
      <c r="AF107" s="18" t="s">
        <v>39</v>
      </c>
      <c r="AG107" s="21"/>
      <c r="AH107" s="16" t="s">
        <v>22</v>
      </c>
      <c r="AI107" s="44" t="s">
        <v>11</v>
      </c>
      <c r="AJ107" s="44" t="s">
        <v>61</v>
      </c>
      <c r="AK107" s="44" t="s">
        <v>18</v>
      </c>
      <c r="AL107" s="45"/>
      <c r="AM107" s="46">
        <v>1</v>
      </c>
      <c r="AN107" s="16" t="s">
        <v>22</v>
      </c>
      <c r="AO107" s="44" t="s">
        <v>11</v>
      </c>
      <c r="AP107" s="44" t="s">
        <v>61</v>
      </c>
      <c r="AQ107" s="44" t="s">
        <v>18</v>
      </c>
      <c r="AR107" s="111">
        <v>21000</v>
      </c>
      <c r="AS107" s="182" t="s">
        <v>230</v>
      </c>
    </row>
    <row r="108" spans="1:45" ht="40.5" x14ac:dyDescent="0.35">
      <c r="A108" s="16"/>
      <c r="B108" s="75">
        <v>2</v>
      </c>
      <c r="C108" s="93" t="s">
        <v>203</v>
      </c>
      <c r="D108" s="139" t="s">
        <v>72</v>
      </c>
      <c r="E108" s="18" t="s">
        <v>161</v>
      </c>
      <c r="F108" s="18" t="s">
        <v>24</v>
      </c>
      <c r="G108" s="16" t="s">
        <v>19</v>
      </c>
      <c r="H108" s="19"/>
      <c r="I108" s="98">
        <v>10736.675999999999</v>
      </c>
      <c r="J108" s="16">
        <v>2008</v>
      </c>
      <c r="K108" s="68">
        <f>IF(J108="մինչև 2000","օգտակար ծառայության ժամկետը սպառված է",10-($K$12-J108))</f>
        <v>-6</v>
      </c>
      <c r="L108" s="44" t="s">
        <v>18</v>
      </c>
      <c r="M108" s="43">
        <v>17</v>
      </c>
      <c r="N108" s="43">
        <f>Q108/P108*100</f>
        <v>17</v>
      </c>
      <c r="O108" s="51"/>
      <c r="P108" s="43">
        <f>2400/12</f>
        <v>200</v>
      </c>
      <c r="Q108" s="64">
        <f>408/12</f>
        <v>34</v>
      </c>
      <c r="R108" s="43">
        <f>Q108*554/1000</f>
        <v>18.835999999999999</v>
      </c>
      <c r="S108" s="64">
        <f>+R108*1000/Q108</f>
        <v>554</v>
      </c>
      <c r="T108" s="43"/>
      <c r="U108" s="43"/>
      <c r="V108" s="65">
        <f>(R108+U108)</f>
        <v>18.835999999999999</v>
      </c>
      <c r="W108" s="65">
        <f>V108*12</f>
        <v>226.03199999999998</v>
      </c>
      <c r="X108" s="43">
        <v>0</v>
      </c>
      <c r="Y108" s="43">
        <v>35</v>
      </c>
      <c r="Z108" s="43"/>
      <c r="AA108" s="51">
        <f>SUM(W108:Z108)</f>
        <v>261.03199999999998</v>
      </c>
      <c r="AB108" s="43">
        <v>850</v>
      </c>
      <c r="AC108" s="43">
        <v>12</v>
      </c>
      <c r="AD108" s="51">
        <f>SUM(AA108:AC108)</f>
        <v>1123.0319999999999</v>
      </c>
      <c r="AE108" s="18" t="s">
        <v>38</v>
      </c>
      <c r="AF108" s="18" t="s">
        <v>39</v>
      </c>
      <c r="AG108" s="21"/>
      <c r="AH108" s="16"/>
      <c r="AI108" s="44"/>
      <c r="AJ108" s="44"/>
      <c r="AK108" s="44" t="s">
        <v>18</v>
      </c>
      <c r="AL108" s="45"/>
      <c r="AM108" s="46">
        <v>1</v>
      </c>
      <c r="AN108" s="16" t="s">
        <v>22</v>
      </c>
      <c r="AO108" s="44" t="s">
        <v>11</v>
      </c>
      <c r="AP108" s="44" t="s">
        <v>61</v>
      </c>
      <c r="AQ108" s="44" t="s">
        <v>18</v>
      </c>
      <c r="AR108" s="111">
        <v>21000</v>
      </c>
      <c r="AS108" s="183"/>
    </row>
    <row r="109" spans="1:45" x14ac:dyDescent="0.35">
      <c r="A109" s="53"/>
      <c r="B109" s="53"/>
      <c r="C109" s="17"/>
      <c r="D109" s="18"/>
      <c r="E109" s="18"/>
      <c r="F109" s="18"/>
      <c r="G109" s="16"/>
      <c r="H109" s="19"/>
      <c r="I109" s="98"/>
      <c r="J109" s="16"/>
      <c r="K109" s="68"/>
      <c r="L109" s="44"/>
      <c r="M109" s="43"/>
      <c r="N109" s="43"/>
      <c r="O109" s="51"/>
      <c r="P109" s="78"/>
      <c r="Q109" s="77"/>
      <c r="R109" s="43"/>
      <c r="S109" s="64"/>
      <c r="T109" s="43"/>
      <c r="U109" s="43"/>
      <c r="V109" s="65"/>
      <c r="W109" s="65"/>
      <c r="X109" s="43"/>
      <c r="Y109" s="43"/>
      <c r="Z109" s="43"/>
      <c r="AA109" s="51"/>
      <c r="AB109" s="43"/>
      <c r="AC109" s="43"/>
      <c r="AD109" s="51"/>
      <c r="AE109" s="18"/>
      <c r="AF109" s="18"/>
      <c r="AG109" s="21"/>
      <c r="AH109" s="16"/>
      <c r="AI109" s="44"/>
      <c r="AJ109" s="44"/>
      <c r="AK109" s="44"/>
      <c r="AL109" s="45"/>
      <c r="AM109" s="46"/>
      <c r="AN109" s="16"/>
      <c r="AO109" s="44"/>
      <c r="AP109" s="44"/>
      <c r="AQ109" s="44"/>
      <c r="AR109" s="46"/>
      <c r="AS109" s="18"/>
    </row>
    <row r="110" spans="1:45" x14ac:dyDescent="0.35">
      <c r="A110" s="203"/>
      <c r="B110" s="203"/>
      <c r="C110" s="152" t="s">
        <v>166</v>
      </c>
      <c r="D110" s="115" t="s">
        <v>251</v>
      </c>
      <c r="E110" s="204"/>
      <c r="F110" s="204"/>
      <c r="G110" s="205"/>
      <c r="H110" s="206"/>
      <c r="I110" s="207"/>
      <c r="J110" s="205"/>
      <c r="K110" s="208"/>
      <c r="L110" s="209"/>
      <c r="M110" s="210"/>
      <c r="N110" s="210"/>
      <c r="O110" s="211"/>
      <c r="P110" s="212"/>
      <c r="Q110" s="213"/>
      <c r="R110" s="210"/>
      <c r="S110" s="214"/>
      <c r="T110" s="210"/>
      <c r="U110" s="210"/>
      <c r="V110" s="211"/>
      <c r="W110" s="211"/>
      <c r="X110" s="210"/>
      <c r="Y110" s="210"/>
      <c r="Z110" s="210"/>
      <c r="AA110" s="211"/>
      <c r="AB110" s="210"/>
      <c r="AC110" s="210"/>
      <c r="AD110" s="211"/>
      <c r="AE110" s="204"/>
      <c r="AF110" s="204"/>
      <c r="AG110" s="215"/>
      <c r="AH110" s="205"/>
      <c r="AI110" s="209"/>
      <c r="AJ110" s="209"/>
      <c r="AK110" s="209"/>
      <c r="AL110" s="216"/>
      <c r="AM110" s="217"/>
      <c r="AN110" s="205"/>
      <c r="AO110" s="209"/>
      <c r="AP110" s="209"/>
      <c r="AQ110" s="209"/>
      <c r="AR110" s="217"/>
      <c r="AS110" s="204"/>
    </row>
    <row r="111" spans="1:45" x14ac:dyDescent="0.35">
      <c r="C111" s="152" t="s">
        <v>167</v>
      </c>
      <c r="D111" s="115" t="s">
        <v>175</v>
      </c>
      <c r="I111" s="144"/>
    </row>
    <row r="112" spans="1:45" x14ac:dyDescent="0.35">
      <c r="C112" s="152" t="s">
        <v>168</v>
      </c>
      <c r="D112" s="115" t="s">
        <v>231</v>
      </c>
      <c r="I112" s="144"/>
    </row>
    <row r="113" spans="3:44" x14ac:dyDescent="0.35">
      <c r="C113" s="152" t="s">
        <v>169</v>
      </c>
      <c r="D113" s="115" t="s">
        <v>232</v>
      </c>
      <c r="I113" s="144"/>
    </row>
    <row r="114" spans="3:44" x14ac:dyDescent="0.35">
      <c r="C114" s="152" t="s">
        <v>174</v>
      </c>
      <c r="D114" s="115" t="s">
        <v>221</v>
      </c>
      <c r="I114" s="144"/>
    </row>
    <row r="115" spans="3:44" x14ac:dyDescent="0.35">
      <c r="C115" s="152" t="s">
        <v>213</v>
      </c>
      <c r="D115" s="115" t="s">
        <v>236</v>
      </c>
      <c r="I115" s="144"/>
    </row>
    <row r="116" spans="3:44" x14ac:dyDescent="0.35">
      <c r="C116" s="152" t="s">
        <v>216</v>
      </c>
      <c r="D116" s="115" t="s">
        <v>233</v>
      </c>
    </row>
    <row r="117" spans="3:44" x14ac:dyDescent="0.35">
      <c r="C117" s="152" t="s">
        <v>245</v>
      </c>
      <c r="D117" s="115" t="s">
        <v>234</v>
      </c>
    </row>
    <row r="125" spans="3:44" x14ac:dyDescent="0.35">
      <c r="AR125" s="111"/>
    </row>
  </sheetData>
  <sheetProtection formatCells="0" formatColumns="0" formatRows="0" insertRows="0" deleteRows="0" sort="0" autoFilter="0" pivotTables="0"/>
  <autoFilter ref="A11:AS108"/>
  <dataConsolidate/>
  <mergeCells count="35">
    <mergeCell ref="AS107:AS108"/>
    <mergeCell ref="D74:D75"/>
    <mergeCell ref="H74:H75"/>
    <mergeCell ref="C74:C75"/>
    <mergeCell ref="B10:B11"/>
    <mergeCell ref="B101:B102"/>
    <mergeCell ref="C101:C102"/>
    <mergeCell ref="D101:D102"/>
    <mergeCell ref="E74:E75"/>
    <mergeCell ref="E101:E102"/>
    <mergeCell ref="AS14:AS21"/>
    <mergeCell ref="C24:C25"/>
    <mergeCell ref="AM10:AS10"/>
    <mergeCell ref="D10:M10"/>
    <mergeCell ref="N10:V10"/>
    <mergeCell ref="W10:AD10"/>
    <mergeCell ref="AH10:AK10"/>
    <mergeCell ref="AS24:AS44"/>
    <mergeCell ref="L101:L102"/>
    <mergeCell ref="X101:X102"/>
    <mergeCell ref="Y101:Y102"/>
    <mergeCell ref="Z101:Z102"/>
    <mergeCell ref="F74:F75"/>
    <mergeCell ref="I74:I75"/>
    <mergeCell ref="J74:J75"/>
    <mergeCell ref="K74:K75"/>
    <mergeCell ref="F101:F102"/>
    <mergeCell ref="I101:I102"/>
    <mergeCell ref="AS50:AS52"/>
    <mergeCell ref="AB101:AB102"/>
    <mergeCell ref="AC101:AC102"/>
    <mergeCell ref="AD101:AD102"/>
    <mergeCell ref="AA101:AA102"/>
    <mergeCell ref="AS60:AS61"/>
    <mergeCell ref="AS99:AS101"/>
  </mergeCells>
  <conditionalFormatting sqref="K14 K54:K55 K67:K74 K77:K80">
    <cfRule type="cellIs" dxfId="100" priority="157" stopIfTrue="1" operator="equal">
      <formula>-2014</formula>
    </cfRule>
  </conditionalFormatting>
  <conditionalFormatting sqref="K16:K17">
    <cfRule type="cellIs" dxfId="99" priority="152" stopIfTrue="1" operator="equal">
      <formula>-2014</formula>
    </cfRule>
  </conditionalFormatting>
  <conditionalFormatting sqref="S16:S17 Q67:Q68 Q70:Q72 S67:S72 Q83:Q84 S77:S80 Q77:Q78">
    <cfRule type="cellIs" dxfId="98" priority="150" operator="greaterThan">
      <formula>0</formula>
    </cfRule>
  </conditionalFormatting>
  <conditionalFormatting sqref="S14">
    <cfRule type="cellIs" dxfId="97" priority="149" operator="greaterThan">
      <formula>0</formula>
    </cfRule>
  </conditionalFormatting>
  <conditionalFormatting sqref="Q16:Q17">
    <cfRule type="cellIs" dxfId="96" priority="148" operator="greaterThan">
      <formula>0</formula>
    </cfRule>
  </conditionalFormatting>
  <conditionalFormatting sqref="Q14">
    <cfRule type="cellIs" dxfId="95" priority="147" operator="greaterThan">
      <formula>0</formula>
    </cfRule>
  </conditionalFormatting>
  <conditionalFormatting sqref="K18:K19">
    <cfRule type="cellIs" dxfId="94" priority="146" stopIfTrue="1" operator="equal">
      <formula>-2014</formula>
    </cfRule>
  </conditionalFormatting>
  <conditionalFormatting sqref="S18:S20">
    <cfRule type="cellIs" dxfId="93" priority="145" operator="greaterThan">
      <formula>0</formula>
    </cfRule>
  </conditionalFormatting>
  <conditionalFormatting sqref="Q18:Q19">
    <cfRule type="cellIs" dxfId="92" priority="144" operator="greaterThan">
      <formula>0</formula>
    </cfRule>
  </conditionalFormatting>
  <conditionalFormatting sqref="K20:K22">
    <cfRule type="cellIs" dxfId="91" priority="143" stopIfTrue="1" operator="equal">
      <formula>-2014</formula>
    </cfRule>
  </conditionalFormatting>
  <conditionalFormatting sqref="S21:S22">
    <cfRule type="cellIs" dxfId="90" priority="142" operator="greaterThan">
      <formula>0</formula>
    </cfRule>
  </conditionalFormatting>
  <conditionalFormatting sqref="Q20:Q22">
    <cfRule type="cellIs" dxfId="89" priority="141" operator="greaterThan">
      <formula>0</formula>
    </cfRule>
  </conditionalFormatting>
  <conditionalFormatting sqref="S47:S48 S73:S75">
    <cfRule type="cellIs" dxfId="88" priority="137" operator="greaterThan">
      <formula>0</formula>
    </cfRule>
  </conditionalFormatting>
  <conditionalFormatting sqref="Q47:Q48 Q73:Q75 Q79">
    <cfRule type="cellIs" dxfId="87" priority="136" operator="greaterThan">
      <formula>0</formula>
    </cfRule>
  </conditionalFormatting>
  <conditionalFormatting sqref="S50:S51">
    <cfRule type="cellIs" dxfId="86" priority="134" operator="greaterThan">
      <formula>0</formula>
    </cfRule>
  </conditionalFormatting>
  <conditionalFormatting sqref="Q50">
    <cfRule type="cellIs" dxfId="85" priority="133" operator="greaterThan">
      <formula>0</formula>
    </cfRule>
  </conditionalFormatting>
  <conditionalFormatting sqref="K47:K48">
    <cfRule type="cellIs" dxfId="84" priority="128" stopIfTrue="1" operator="equal">
      <formula>-2014</formula>
    </cfRule>
  </conditionalFormatting>
  <conditionalFormatting sqref="S52">
    <cfRule type="cellIs" dxfId="83" priority="131" operator="greaterThan">
      <formula>0</formula>
    </cfRule>
  </conditionalFormatting>
  <conditionalFormatting sqref="Q51:Q52 R60 Q63 Q65">
    <cfRule type="cellIs" dxfId="82" priority="130" operator="greaterThan">
      <formula>0</formula>
    </cfRule>
  </conditionalFormatting>
  <conditionalFormatting sqref="K50:K52">
    <cfRule type="cellIs" dxfId="81" priority="127" stopIfTrue="1" operator="equal">
      <formula>-2014</formula>
    </cfRule>
  </conditionalFormatting>
  <conditionalFormatting sqref="K60">
    <cfRule type="cellIs" dxfId="80" priority="125" stopIfTrue="1" operator="equal">
      <formula>-2014</formula>
    </cfRule>
  </conditionalFormatting>
  <conditionalFormatting sqref="K63">
    <cfRule type="cellIs" dxfId="79" priority="124" stopIfTrue="1" operator="equal">
      <formula>-2014</formula>
    </cfRule>
  </conditionalFormatting>
  <conditionalFormatting sqref="K65">
    <cfRule type="cellIs" dxfId="78" priority="123" stopIfTrue="1" operator="equal">
      <formula>-2014</formula>
    </cfRule>
  </conditionalFormatting>
  <conditionalFormatting sqref="Q69">
    <cfRule type="cellIs" dxfId="77" priority="120" operator="greaterThan">
      <formula>0</formula>
    </cfRule>
  </conditionalFormatting>
  <conditionalFormatting sqref="K82:K84">
    <cfRule type="cellIs" dxfId="76" priority="116" stopIfTrue="1" operator="equal">
      <formula>-2014</formula>
    </cfRule>
  </conditionalFormatting>
  <conditionalFormatting sqref="Q80">
    <cfRule type="cellIs" dxfId="75" priority="114" operator="greaterThan">
      <formula>0</formula>
    </cfRule>
  </conditionalFormatting>
  <conditionalFormatting sqref="Q82">
    <cfRule type="cellIs" dxfId="74" priority="113" operator="greaterThan">
      <formula>0</formula>
    </cfRule>
  </conditionalFormatting>
  <conditionalFormatting sqref="S82:S84">
    <cfRule type="cellIs" dxfId="73" priority="112" operator="greaterThan">
      <formula>0</formula>
    </cfRule>
  </conditionalFormatting>
  <conditionalFormatting sqref="S87">
    <cfRule type="cellIs" dxfId="72" priority="111" operator="greaterThan">
      <formula>0</formula>
    </cfRule>
  </conditionalFormatting>
  <conditionalFormatting sqref="Q87">
    <cfRule type="cellIs" dxfId="71" priority="110" operator="greaterThan">
      <formula>0</formula>
    </cfRule>
  </conditionalFormatting>
  <conditionalFormatting sqref="K86:K87">
    <cfRule type="cellIs" dxfId="70" priority="109" stopIfTrue="1" operator="equal">
      <formula>-2014</formula>
    </cfRule>
  </conditionalFormatting>
  <conditionalFormatting sqref="Q86">
    <cfRule type="cellIs" dxfId="69" priority="108" operator="greaterThan">
      <formula>0</formula>
    </cfRule>
  </conditionalFormatting>
  <conditionalFormatting sqref="S86">
    <cfRule type="cellIs" dxfId="68" priority="107" operator="greaterThan">
      <formula>0</formula>
    </cfRule>
  </conditionalFormatting>
  <conditionalFormatting sqref="S91">
    <cfRule type="cellIs" dxfId="67" priority="106" operator="greaterThan">
      <formula>0</formula>
    </cfRule>
  </conditionalFormatting>
  <conditionalFormatting sqref="Q91">
    <cfRule type="cellIs" dxfId="66" priority="105" operator="greaterThan">
      <formula>0</formula>
    </cfRule>
  </conditionalFormatting>
  <conditionalFormatting sqref="K89:K91">
    <cfRule type="cellIs" dxfId="65" priority="104" stopIfTrue="1" operator="equal">
      <formula>-2014</formula>
    </cfRule>
  </conditionalFormatting>
  <conditionalFormatting sqref="Q89:Q90">
    <cfRule type="cellIs" dxfId="64" priority="103" operator="greaterThan">
      <formula>0</formula>
    </cfRule>
  </conditionalFormatting>
  <conditionalFormatting sqref="S89:S90">
    <cfRule type="cellIs" dxfId="63" priority="102" operator="greaterThan">
      <formula>0</formula>
    </cfRule>
  </conditionalFormatting>
  <conditionalFormatting sqref="K93">
    <cfRule type="cellIs" dxfId="62" priority="99" stopIfTrue="1" operator="equal">
      <formula>-2014</formula>
    </cfRule>
  </conditionalFormatting>
  <conditionalFormatting sqref="Q93">
    <cfRule type="cellIs" dxfId="61" priority="98" operator="greaterThan">
      <formula>0</formula>
    </cfRule>
  </conditionalFormatting>
  <conditionalFormatting sqref="S93">
    <cfRule type="cellIs" dxfId="60" priority="97" operator="greaterThan">
      <formula>0</formula>
    </cfRule>
  </conditionalFormatting>
  <conditionalFormatting sqref="Q97">
    <cfRule type="cellIs" dxfId="59" priority="95" operator="greaterThan">
      <formula>0</formula>
    </cfRule>
  </conditionalFormatting>
  <conditionalFormatting sqref="K96:K97">
    <cfRule type="cellIs" dxfId="58" priority="94" stopIfTrue="1" operator="equal">
      <formula>-2014</formula>
    </cfRule>
  </conditionalFormatting>
  <conditionalFormatting sqref="Q96">
    <cfRule type="cellIs" dxfId="57" priority="93" operator="greaterThan">
      <formula>0</formula>
    </cfRule>
  </conditionalFormatting>
  <conditionalFormatting sqref="Q100:Q101">
    <cfRule type="cellIs" dxfId="56" priority="90" operator="greaterThan">
      <formula>0</formula>
    </cfRule>
  </conditionalFormatting>
  <conditionalFormatting sqref="K99:K102 K104:K105">
    <cfRule type="cellIs" dxfId="55" priority="89" stopIfTrue="1" operator="equal">
      <formula>-2014</formula>
    </cfRule>
  </conditionalFormatting>
  <conditionalFormatting sqref="Q99">
    <cfRule type="cellIs" dxfId="54" priority="88" operator="greaterThan">
      <formula>0</formula>
    </cfRule>
  </conditionalFormatting>
  <conditionalFormatting sqref="S99:S102">
    <cfRule type="cellIs" dxfId="53" priority="87" operator="greaterThan">
      <formula>0</formula>
    </cfRule>
  </conditionalFormatting>
  <conditionalFormatting sqref="S109:S110">
    <cfRule type="cellIs" dxfId="52" priority="86" operator="greaterThan">
      <formula>0</formula>
    </cfRule>
  </conditionalFormatting>
  <conditionalFormatting sqref="Q108:Q110">
    <cfRule type="cellIs" dxfId="51" priority="85" operator="greaterThan">
      <formula>0</formula>
    </cfRule>
  </conditionalFormatting>
  <conditionalFormatting sqref="K107:K110">
    <cfRule type="cellIs" dxfId="50" priority="84" stopIfTrue="1" operator="equal">
      <formula>-2014</formula>
    </cfRule>
  </conditionalFormatting>
  <conditionalFormatting sqref="Q107">
    <cfRule type="cellIs" dxfId="49" priority="83" operator="greaterThan">
      <formula>0</formula>
    </cfRule>
  </conditionalFormatting>
  <conditionalFormatting sqref="S107:S108">
    <cfRule type="cellIs" dxfId="48" priority="82" operator="greaterThan">
      <formula>0</formula>
    </cfRule>
  </conditionalFormatting>
  <conditionalFormatting sqref="Q102">
    <cfRule type="cellIs" dxfId="47" priority="80" operator="greaterThan">
      <formula>0</formula>
    </cfRule>
  </conditionalFormatting>
  <conditionalFormatting sqref="R96">
    <cfRule type="cellIs" dxfId="46" priority="79" operator="greaterThan">
      <formula>0</formula>
    </cfRule>
  </conditionalFormatting>
  <conditionalFormatting sqref="S96:S97">
    <cfRule type="cellIs" dxfId="45" priority="78" operator="greaterThan">
      <formula>0</formula>
    </cfRule>
  </conditionalFormatting>
  <conditionalFormatting sqref="S65">
    <cfRule type="cellIs" dxfId="44" priority="77" operator="greaterThan">
      <formula>0</formula>
    </cfRule>
  </conditionalFormatting>
  <conditionalFormatting sqref="S60">
    <cfRule type="cellIs" dxfId="43" priority="73" operator="greaterThan">
      <formula>0</formula>
    </cfRule>
  </conditionalFormatting>
  <conditionalFormatting sqref="S54:S55 S58">
    <cfRule type="cellIs" dxfId="42" priority="72" operator="greaterThan">
      <formula>0</formula>
    </cfRule>
  </conditionalFormatting>
  <conditionalFormatting sqref="S63">
    <cfRule type="cellIs" dxfId="41" priority="71" operator="greaterThan">
      <formula>0</formula>
    </cfRule>
  </conditionalFormatting>
  <conditionalFormatting sqref="K24">
    <cfRule type="cellIs" dxfId="40" priority="67" stopIfTrue="1" operator="equal">
      <formula>-2014</formula>
    </cfRule>
  </conditionalFormatting>
  <conditionalFormatting sqref="S24">
    <cfRule type="cellIs" dxfId="39" priority="66" operator="greaterThan">
      <formula>0</formula>
    </cfRule>
  </conditionalFormatting>
  <conditionalFormatting sqref="Q24">
    <cfRule type="cellIs" dxfId="38" priority="65" operator="greaterThan">
      <formula>0</formula>
    </cfRule>
  </conditionalFormatting>
  <conditionalFormatting sqref="K25">
    <cfRule type="cellIs" dxfId="37" priority="61" stopIfTrue="1" operator="equal">
      <formula>-2014</formula>
    </cfRule>
  </conditionalFormatting>
  <conditionalFormatting sqref="S25">
    <cfRule type="cellIs" dxfId="36" priority="60" operator="greaterThan">
      <formula>0</formula>
    </cfRule>
  </conditionalFormatting>
  <conditionalFormatting sqref="Q25">
    <cfRule type="cellIs" dxfId="35" priority="59" operator="greaterThan">
      <formula>0</formula>
    </cfRule>
  </conditionalFormatting>
  <conditionalFormatting sqref="K26">
    <cfRule type="cellIs" dxfId="34" priority="55" stopIfTrue="1" operator="equal">
      <formula>-2014</formula>
    </cfRule>
  </conditionalFormatting>
  <conditionalFormatting sqref="S26">
    <cfRule type="cellIs" dxfId="33" priority="54" operator="greaterThan">
      <formula>0</formula>
    </cfRule>
  </conditionalFormatting>
  <conditionalFormatting sqref="Q26">
    <cfRule type="cellIs" dxfId="32" priority="53" operator="greaterThan">
      <formula>0</formula>
    </cfRule>
  </conditionalFormatting>
  <conditionalFormatting sqref="K27">
    <cfRule type="cellIs" dxfId="31" priority="52" stopIfTrue="1" operator="equal">
      <formula>-2014</formula>
    </cfRule>
  </conditionalFormatting>
  <conditionalFormatting sqref="S27">
    <cfRule type="cellIs" dxfId="30" priority="51" operator="greaterThan">
      <formula>0</formula>
    </cfRule>
  </conditionalFormatting>
  <conditionalFormatting sqref="Q27">
    <cfRule type="cellIs" dxfId="29" priority="50" operator="greaterThan">
      <formula>0</formula>
    </cfRule>
  </conditionalFormatting>
  <conditionalFormatting sqref="K28">
    <cfRule type="cellIs" dxfId="28" priority="49" stopIfTrue="1" operator="equal">
      <formula>-2014</formula>
    </cfRule>
  </conditionalFormatting>
  <conditionalFormatting sqref="Q28">
    <cfRule type="cellIs" dxfId="27" priority="48" operator="greaterThan">
      <formula>0</formula>
    </cfRule>
  </conditionalFormatting>
  <conditionalFormatting sqref="S28">
    <cfRule type="cellIs" dxfId="26" priority="47" operator="greaterThan">
      <formula>0</formula>
    </cfRule>
  </conditionalFormatting>
  <conditionalFormatting sqref="K29">
    <cfRule type="cellIs" dxfId="25" priority="46" stopIfTrue="1" operator="equal">
      <formula>-2014</formula>
    </cfRule>
  </conditionalFormatting>
  <conditionalFormatting sqref="Q29">
    <cfRule type="cellIs" dxfId="24" priority="45" operator="greaterThan">
      <formula>0</formula>
    </cfRule>
  </conditionalFormatting>
  <conditionalFormatting sqref="S29">
    <cfRule type="cellIs" dxfId="23" priority="44" operator="greaterThan">
      <formula>0</formula>
    </cfRule>
  </conditionalFormatting>
  <conditionalFormatting sqref="K30">
    <cfRule type="cellIs" dxfId="22" priority="43" stopIfTrue="1" operator="equal">
      <formula>-2014</formula>
    </cfRule>
  </conditionalFormatting>
  <conditionalFormatting sqref="K31">
    <cfRule type="cellIs" dxfId="21" priority="40" stopIfTrue="1" operator="equal">
      <formula>-2014</formula>
    </cfRule>
  </conditionalFormatting>
  <conditionalFormatting sqref="K32">
    <cfRule type="cellIs" dxfId="20" priority="37" stopIfTrue="1" operator="equal">
      <formula>-2014</formula>
    </cfRule>
  </conditionalFormatting>
  <conditionalFormatting sqref="S34">
    <cfRule type="cellIs" dxfId="19" priority="22" operator="greaterThan">
      <formula>0</formula>
    </cfRule>
  </conditionalFormatting>
  <conditionalFormatting sqref="S35">
    <cfRule type="cellIs" dxfId="18" priority="21" operator="greaterThan">
      <formula>0</formula>
    </cfRule>
  </conditionalFormatting>
  <conditionalFormatting sqref="K36:K44">
    <cfRule type="cellIs" dxfId="17" priority="28" stopIfTrue="1" operator="equal">
      <formula>-2014</formula>
    </cfRule>
  </conditionalFormatting>
  <conditionalFormatting sqref="S36:S44">
    <cfRule type="cellIs" dxfId="16" priority="27" operator="greaterThan">
      <formula>0</formula>
    </cfRule>
  </conditionalFormatting>
  <conditionalFormatting sqref="Q36:Q44">
    <cfRule type="cellIs" dxfId="15" priority="26" operator="greaterThan">
      <formula>0</formula>
    </cfRule>
  </conditionalFormatting>
  <conditionalFormatting sqref="K33:K35">
    <cfRule type="cellIs" dxfId="14" priority="25" stopIfTrue="1" operator="equal">
      <formula>-2014</formula>
    </cfRule>
  </conditionalFormatting>
  <conditionalFormatting sqref="Q34:Q35">
    <cfRule type="cellIs" dxfId="13" priority="24" operator="greaterThan">
      <formula>0</formula>
    </cfRule>
  </conditionalFormatting>
  <conditionalFormatting sqref="Q30:Q32">
    <cfRule type="cellIs" dxfId="12" priority="20" operator="greaterThan">
      <formula>0</formula>
    </cfRule>
  </conditionalFormatting>
  <conditionalFormatting sqref="S30:S32">
    <cfRule type="cellIs" dxfId="11" priority="19" operator="greaterThan">
      <formula>0</formula>
    </cfRule>
  </conditionalFormatting>
  <conditionalFormatting sqref="S33">
    <cfRule type="cellIs" dxfId="10" priority="18" operator="greaterThan">
      <formula>0</formula>
    </cfRule>
  </conditionalFormatting>
  <conditionalFormatting sqref="Q33">
    <cfRule type="cellIs" dxfId="9" priority="17" operator="greaterThan">
      <formula>0</formula>
    </cfRule>
  </conditionalFormatting>
  <conditionalFormatting sqref="O33">
    <cfRule type="cellIs" dxfId="8" priority="16" operator="greaterThan">
      <formula>0</formula>
    </cfRule>
  </conditionalFormatting>
  <conditionalFormatting sqref="K57:K58">
    <cfRule type="cellIs" dxfId="7" priority="15" stopIfTrue="1" operator="equal">
      <formula>-2014</formula>
    </cfRule>
  </conditionalFormatting>
  <conditionalFormatting sqref="R61">
    <cfRule type="cellIs" dxfId="6" priority="11" operator="greaterThan">
      <formula>0</formula>
    </cfRule>
  </conditionalFormatting>
  <conditionalFormatting sqref="K61">
    <cfRule type="cellIs" dxfId="5" priority="10" stopIfTrue="1" operator="equal">
      <formula>-2014</formula>
    </cfRule>
  </conditionalFormatting>
  <conditionalFormatting sqref="S61">
    <cfRule type="cellIs" dxfId="4" priority="9" operator="greaterThan">
      <formula>0</formula>
    </cfRule>
  </conditionalFormatting>
  <conditionalFormatting sqref="K95">
    <cfRule type="cellIs" dxfId="3" priority="4" stopIfTrue="1" operator="equal">
      <formula>-2014</formula>
    </cfRule>
  </conditionalFormatting>
  <conditionalFormatting sqref="Q95">
    <cfRule type="cellIs" dxfId="2" priority="3" operator="greaterThan">
      <formula>0</formula>
    </cfRule>
  </conditionalFormatting>
  <conditionalFormatting sqref="R95">
    <cfRule type="cellIs" dxfId="1" priority="2" operator="greaterThan">
      <formula>0</formula>
    </cfRule>
  </conditionalFormatting>
  <conditionalFormatting sqref="S95">
    <cfRule type="cellIs" dxfId="0" priority="1" operator="greaterThan">
      <formula>0</formula>
    </cfRule>
  </conditionalFormatting>
  <dataValidations count="31">
    <dataValidation type="list" allowBlank="1" showInputMessage="1" showErrorMessage="1" sqref="AG14 AL77:AL79 AG77:AG79 AG24:AG44 AL24:AL44 AG16:AG22 AL16:AL22 AG99:AG101 AG54:AG58 AG107:AG110 AL107:AL110 AL54:AL58 AG95:AG97 AL95:AL97 AG93 AL93 AG89:AG91 AL89:AL91 AG86:AG87 AL86:AL87 AG82:AG84 AL82:AL84 AL67:AL75 AG67:AG75 AL65 AG65 AG63 AL63 AL61 AG61 AL50:AL52 AG50:AG52 AG47:AG48 AL47:AL48 AL99:AL101 AL14">
      <formula1>$G$4:$G$5</formula1>
    </dataValidation>
    <dataValidation type="whole" operator="equal" allowBlank="1" showInputMessage="1" showErrorMessage="1" sqref="K12">
      <formula1>2024</formula1>
    </dataValidation>
    <dataValidation type="custom" allowBlank="1" showInputMessage="1" showErrorMessage="1" errorTitle="սխալ է" error="բանաձևը ներմուծված է, անհրաժեշտ է լրացնել նախորդ /ձախակողմյան/ սյունակը" sqref="K91">
      <formula1>IF(J113="մինչև 2000","օգտակար ծառայության ժամկետը սպառված",10-($K$12-J124))</formula1>
    </dataValidation>
    <dataValidation type="custom" allowBlank="1" showInputMessage="1" showErrorMessage="1" errorTitle="սխալ է" error="բանաձևը ներմուծված է, անհրաժեշտ է լրացնել նախորդ /ձախակողմյան/ սյունակը" sqref="K18:K19">
      <formula1>IF(J38="մինչև 2000","օգտակար ծառայության ժամկետը սպառված",10-($K$12-#REF!))</formula1>
    </dataValidation>
    <dataValidation type="custom" allowBlank="1" showInputMessage="1" showErrorMessage="1" errorTitle="սխալ է" error="բանաձևը ներմուծված է, անհրաժեշտ է լրացնել նախորդ /ձախակողմյան/ սյունակը" sqref="K14">
      <formula1>IF(J17="մինչև 2000","օգտակար ծառայության ժամկետը սպառված",10-($K$12-#REF!))</formula1>
    </dataValidation>
    <dataValidation type="custom" allowBlank="1" showInputMessage="1" showErrorMessage="1" errorTitle="սխալ է" error="բանաձևը ներմուծված է, անհրաժեշտ է լրացնել նախորդ /ձախակողմյան/ սյունակը" sqref="K63">
      <formula1>IF(#REF!="մինչև 2000","օգտակար ծառայության ժամկետը սպառված",10-($K$12-J91))</formula1>
    </dataValidation>
    <dataValidation type="custom" allowBlank="1" showInputMessage="1" showErrorMessage="1" errorTitle="սխալ է" error="բանաձևը ներմուծված է, անհրաժեշտ է լրացնել նախորդ /ձախակողմյան/ սյունակը" sqref="K99:K105">
      <formula1>IF(J125="մինչև 2000","օգտակար ծառայության ժամկետը սպառված",10-($K$12-J135))</formula1>
    </dataValidation>
    <dataValidation type="custom" allowBlank="1" showInputMessage="1" showErrorMessage="1" errorTitle="սխալ է" error="բանաձևը ներմուծված է, անհրաժեշտ է լրացնել նախորդ /ձախակողմյան/ սյունակը" sqref="K93">
      <formula1>IF(J117="մինչև 2000","օգտակար ծառայության ժամկետը սպառված",10-($K$12-J127))</formula1>
    </dataValidation>
    <dataValidation type="custom" allowBlank="1" showInputMessage="1" showErrorMessage="1" errorTitle="սխալ է" error="բանաձևը ներմուծված է, անհրաժեշտ է լրացնել նախորդ /ձախակողմյան/ սյունակը" sqref="K65">
      <formula1>IF(J83="մինչև 2000","օգտակար ծառայության ժամկետը սպառված",10-($K$12-J92))</formula1>
    </dataValidation>
    <dataValidation type="custom" allowBlank="1" showInputMessage="1" showErrorMessage="1" errorTitle="սխալ է" error="բանաձևը ներմուծված է, անհրաժեշտ է լրացնել նախորդ /ձախակողմյան/ սյունակը" sqref="K60">
      <formula1>IF(J80="մինչև 2000","օգտակար ծառայության ժամկետը սպառված",10-($K$12-J88))</formula1>
    </dataValidation>
    <dataValidation type="custom" allowBlank="1" showInputMessage="1" showErrorMessage="1" errorTitle="սխալ է" error="բանաձևը ներմուծված է, անհրաժեշտ է լրացնել նախորդ /ձախակողմյան/ սյունակը" sqref="K67:K71">
      <formula1>IF(J85="մինչև 2000","օգտակար ծառայության ժամկետը սպառված",10-($K$12-#REF!))</formula1>
    </dataValidation>
    <dataValidation type="custom" allowBlank="1" showInputMessage="1" showErrorMessage="1" errorTitle="սխալ է" error="բանաձևը ներմուծված է, անհրաժեշտ է լրացնել նախորդ /ձախակողմյան/ սյունակը" sqref="K20:K22">
      <formula1>IF(J37="մինչև 2000","օգտակար ծառայության ժամկետը սպառված",10-($K$12-#REF!))</formula1>
    </dataValidation>
    <dataValidation type="custom" allowBlank="1" showInputMessage="1" showErrorMessage="1" errorTitle="սխալ է" error="բանաձևը ներմուծված է, անհրաժեշտ է լրացնել նախորդ /ձախակողմյան/ սյունակը" sqref="K26:K27">
      <formula1>IF(J37="մինչև 2000","օգտակար ծառայության ժամկետը սպառված",10-($K$12-J50))</formula1>
    </dataValidation>
    <dataValidation type="custom" allowBlank="1" showInputMessage="1" showErrorMessage="1" errorTitle="սխալ է" error="բանաձևը ներմուծված է, անհրաժեշտ է լրացնել նախորդ /ձախակողմյան/ սյունակը" sqref="K28:K29">
      <formula1>IF(J34="մինչև 2000","օգտակար ծառայության ժամկետը սպառված",10-($K$12-J47))</formula1>
    </dataValidation>
    <dataValidation type="custom" allowBlank="1" showInputMessage="1" showErrorMessage="1" errorTitle="սխալ է" error="բանաձևը ներմուծված է, անհրաժեշտ է լրացնել նախորդ /ձախակողմյան/ սյունակը" sqref="K30:K32">
      <formula1>IF(J33="մինչև 2000","օգտակար ծառայության ժամկետը սպառված",10-($K$12-J46))</formula1>
    </dataValidation>
    <dataValidation type="custom" allowBlank="1" showInputMessage="1" showErrorMessage="1" errorTitle="սխալ է" error="բանաձևը ներմուծված է, անհրաժեշտ է լրացնել նախորդ /ձախակողմյան/ սյունակը" sqref="K24:K25">
      <formula1>IF(J28="մինչև 2000","օգտակար ծառայության ժամկետը սպառված",10-($K$12-J48))</formula1>
    </dataValidation>
    <dataValidation type="list" allowBlank="1" showInputMessage="1" showErrorMessage="1" sqref="G24:H32 L24:L32 AE24:AF32 F24:F31 AH24:AK32 J24:J32 D24:D32 AN25:AQ32">
      <formula1>#REF!</formula1>
    </dataValidation>
    <dataValidation type="custom" allowBlank="1" showInputMessage="1" showErrorMessage="1" errorTitle="սխալ է" error="բանաձևը ներմուծված է, անհրաժեշտ է լրացնել նախորդ /ձախակողմյան/ սյունակը" sqref="K77">
      <formula1>IF(#REF!="մինչև 2000","օգտակար ծառայության ժամկետը սպառված",10-($K$12-J108))</formula1>
    </dataValidation>
    <dataValidation type="custom" allowBlank="1" showInputMessage="1" showErrorMessage="1" errorTitle="սխալ է" error="բանաձևը ներմուծված է, անհրաժեշտ է լրացնել նախորդ /ձախակողմյան/ սյունակը" sqref="K47:K48">
      <formula1>IF(J71="մինչև 2000","օգտակար ծառայության ժամկետը սպառված",10-($K$12-J80))</formula1>
    </dataValidation>
    <dataValidation type="custom" allowBlank="1" showInputMessage="1" showErrorMessage="1" errorTitle="սխալ է" error="բանաձևը ներմուծված է, անհրաժեշտ է լրացնել նախորդ /ձախակողմյան/ սյունակը" sqref="K50:K52">
      <formula1>IF(J73="մինչև 2000","օգտակար ծառայության ժամկետը սպառված",10-($K$12-J82))</formula1>
    </dataValidation>
    <dataValidation type="custom" allowBlank="1" showInputMessage="1" showErrorMessage="1" errorTitle="սխալ է" error="բանաձևը ներմուծված է, անհրաժեշտ է լրացնել նախորդ /ձախակողմյան/ սյունակը" sqref="K54:K58">
      <formula1>IF(J78="մինչև 2000","օգտակար ծառայության ժամկետը սպառված",10-($K$12-J86))</formula1>
    </dataValidation>
    <dataValidation type="custom" allowBlank="1" showInputMessage="1" showErrorMessage="1" errorTitle="սխալ է" error="բանաձևը ներմուծված է, անհրաժեշտ է լրացնել նախորդ /ձախակողմյան/ սյունակը" sqref="K107:K110">
      <formula1>IF(J129="մինչև 2000","օգտակար ծառայության ժամկետը սպառված",10-($K$12-J139))</formula1>
    </dataValidation>
    <dataValidation type="custom" allowBlank="1" showInputMessage="1" showErrorMessage="1" errorTitle="սխալ է" error="բանաձևը ներմուծված է, անհրաժեշտ է լրացնել նախորդ /ձախակողմյան/ սյունակը" sqref="K89:K90">
      <formula1>IF(J112="մինչև 2000","օգտակար ծառայության ժամկետը սպառված",10-($K$12-J123))</formula1>
    </dataValidation>
    <dataValidation type="custom" allowBlank="1" showInputMessage="1" showErrorMessage="1" errorTitle="սխալ է" error="բանաձևը ներմուծված է, անհրաժեշտ է լրացնել նախորդ /ձախակողմյան/ սյունակը" sqref="K16:K17">
      <formula1>IF(J41="մինչև 2000","օգտակար ծառայության ժամկետը սպառված",10-($K$12-J66))</formula1>
    </dataValidation>
    <dataValidation type="custom" allowBlank="1" showInputMessage="1" showErrorMessage="1" errorTitle="սխալ է" error="բանաձևը ներմուծված է, անհրաժեշտ է լրացնել նախորդ /ձախակողմյան/ սյունակը" sqref="K33:K44">
      <formula1>IF(J37="մինչև 2000","օգտակար ծառայության ժամկետը սպառված",10-($K$12-J50))</formula1>
    </dataValidation>
    <dataValidation type="custom" allowBlank="1" showInputMessage="1" showErrorMessage="1" errorTitle="սխալ է" error="բանաձևը ներմուծված է, անհրաժեշտ է լրացնել նախորդ /ձախակողմյան/ սյունակը" sqref="K78">
      <formula1>IF(#REF!="մինչև 2000","օգտակար ծառայության ժամկետը սպառված",10-($K$12-J107))</formula1>
    </dataValidation>
    <dataValidation type="custom" allowBlank="1" showInputMessage="1" showErrorMessage="1" errorTitle="սխալ է" error="բանաձևը ներմուծված է, անհրաժեշտ է լրացնել նախորդ /ձախակողմյան/ սյունակը" sqref="K96:K97">
      <formula1>IF(J121="մինչև 2000","օգտակար ծառայության ժամկետը սպառված",10-($K$12-J131))</formula1>
    </dataValidation>
    <dataValidation type="custom" allowBlank="1" showInputMessage="1" showErrorMessage="1" errorTitle="սխալ է" error="բանաձևը ներմուծված է, անհրաժեշտ է լրացնել նախորդ /ձախակողմյան/ սյունակը" sqref="K72:K74">
      <formula1>IF(J91="մինչև 2000","օգտակար ծառայության ժամկետը սպառված",10-($K$12-J98))</formula1>
    </dataValidation>
    <dataValidation type="custom" allowBlank="1" showInputMessage="1" showErrorMessage="1" errorTitle="սխալ է" error="բանաձևը ներմուծված է, անհրաժեշտ է լրացնել նախորդ /ձախակողմյան/ սյունակը" sqref="K86:K87">
      <formula1>IF(J107="մինչև 2000","օգտակար ծառայության ժամկետը սպառված",10-($K$12-J119))</formula1>
    </dataValidation>
    <dataValidation type="custom" allowBlank="1" showInputMessage="1" showErrorMessage="1" errorTitle="սխալ է" error="բանաձևը ներմուծված է, անհրաժեշտ է լրացնել նախորդ /ձախակողմյան/ սյունակը" sqref="K79:K80">
      <formula1>IF(#REF!="մինչև 2000","օգտակար ծառայության ժամկետը սպառված",10-($K$12-J109))</formula1>
    </dataValidation>
    <dataValidation type="custom" allowBlank="1" showInputMessage="1" showErrorMessage="1" errorTitle="սխալ է" error="բանաձևը ներմուծված է, անհրաժեշտ է լրացնել նախորդ /ձախակողմյան/ սյունակը" sqref="K82:K84">
      <formula1>IF(J99="մինչև 2000","օգտակար ծառայության ժամկետը սպառված",10-($K$12-J115))</formula1>
    </dataValidation>
  </dataValidations>
  <pageMargins left="7.874015748031496E-2" right="3.937007874015748E-2" top="7.874015748031496E-2" bottom="3.937007874015748E-2" header="0" footer="0"/>
  <pageSetup orientation="landscape" r:id="rId1"/>
  <ignoredErrors>
    <ignoredError sqref="S21" evalError="1"/>
    <ignoredError sqref="S15:S17" evalError="1" unlockedFormula="1"/>
    <ignoredError sqref="K14 T15:AR15 K15:R15 K12 O17 K16:K21 T14:W14 V17:W17 W16:X16 AA17 Y14 AA16 AA14 AD14 AD17 AD16 AG14:AL14 AG16:AL16 AG17:AL17" unlockedFormula="1"/>
  </ignoredErrors>
  <extLst>
    <ext xmlns:x14="http://schemas.microsoft.com/office/spreadsheetml/2009/9/main" uri="{CCE6A557-97BC-4b89-ADB6-D9C93CAAB3DF}">
      <x14:dataValidations xmlns:xm="http://schemas.microsoft.com/office/excel/2006/main" count="10">
        <x14:dataValidation type="list" allowBlank="1" showInputMessage="1" showErrorMessage="1">
          <x14:formula1>
            <xm:f>List!$D$3:$D$7</xm:f>
          </x14:formula1>
          <xm:sqref>H14 AP14 AJ14 H67:H74 H47:H48 AP47:AP48 AJ47:AJ48 AJ50:AJ52 H50:H52 AP50:AP52 H60 AP60:AP61 AJ60 AJ63 H63 AP63 AP65 AJ65 H65 AJ67:AJ75 AJ99:AJ101 AJ82:AJ84 AP82:AP84 H82:H84 AJ86:AJ87 AP86:AP87 H86:H87 AJ89:AJ91 AP89:AP91 H89:H91 AJ93 AP93 H93 AJ95:AJ97 AP95:AP97 AP54:AP58 AJ107:AJ110 H96:H97 H107:H110 H54:H58 AJ54:AJ58 H99:H101 AP99:AP101 H16:H22 AP16:AP22 AJ16:AJ22 AJ77:AJ79 AP77:AP79 H77:H80 AJ104 AP105 AP24 AP67:AP75 AP107:AP110</xm:sqref>
        </x14:dataValidation>
        <x14:dataValidation type="list" allowBlank="1" showInputMessage="1" showErrorMessage="1">
          <x14:formula1>
            <xm:f>List!$C$3:$C$7</xm:f>
          </x14:formula1>
          <xm:sqref>G14 AO14 AI14 AI99:AI101 G47:G48 AO47:AO48 AI47:AI48 AI50:AI52 G50:G52 AO50:AO52 G60 AO60:AO61 AI60 AI63 G63 AO63 AO65 AI65 G65 AI67:AI75 G67:G75 AI82:AI84 AO82:AO84 G82:G84 AI86:AI87 AO86:AO87 G86:G87 AI89:AI91 AO89:AO91 G89:G91 AI93 AO93 G93 AI95:AI97 AO95:AO97 AO54:AO58 AI107:AI110 G96:G97 G107:G110 G54:G58 AI54:AI58 AO104:AO105 AO99:AO101 G16:G22 AO16:AO22 AI16:AI22 G77:G80 AI77:AI79 AO77:AO79 AI104 G99:G103 AO24 AO67:AO75 AO107:AO110</xm:sqref>
        </x14:dataValidation>
        <x14:dataValidation type="list" allowBlank="1" showInputMessage="1" showErrorMessage="1">
          <x14:formula1>
            <xm:f>List!$F$3:$F$4</xm:f>
          </x14:formula1>
          <xm:sqref>L14 AQ14 AK14 L99:L101 L47:L48 AQ47:AQ48 AK47:AK48 AK50:AK52 L50:L52 AQ50:AQ52 L60 AQ60:AQ61 AK60 AK63 L63 AQ63 AQ65 AK65 L65 AK67:AK75 AQ67:AQ75 L67:L75 AK82:AK84 AQ82:AQ84 L82:L84 AK86:AK87 AQ86:AQ87 L86:L87 AK89:AK91 AQ89:AQ91 L89:L91 AK93 AQ93 L93 AK95:AK97 AQ95:AQ97 AQ24 AQ54:AQ58 AK107:AK110 L96:L97 L107:L110 L54:L58 AK54:AK58 AK99:AK101 AQ99:AQ101 L16:L22 AQ16:AQ22 AK16:AK22 AQ77:AQ79 AK77:AK79 L77:L80 AK104 AQ104:AQ105 AQ107:AQ110</xm:sqref>
        </x14:dataValidation>
        <x14:dataValidation type="list" allowBlank="1" showInputMessage="1" showErrorMessage="1">
          <x14:formula1>
            <xm:f>List!$B$3:$B$8</xm:f>
          </x14:formula1>
          <xm:sqref>F14 AH14 AN14 F67:F74 F47:F48 AN47:AN48 AH47:AH48 AH50:AH52 F50:F52 AN50:AN52 F60 AN61 AH60 AH63 F63 AN63 AN65 AH65 F65 AH67:AH75 AH99:AH101 AH82:AH84 AN82:AN84 F82:F84 AH86:AH87 AN86:AN87 F86:F87 AH89:AH91 AN89:AN91 F89:F91 AH93 AN93 F93 AH95:AH97 AN95:AN97 AN54:AN58 AH107:AH110 F96:F97 F107:F110 F54:F58 AH54:AH58 F99:F101 AN99:AN101 F16:F22 AN16:AN22 AH16:AH22 F32 F77:F80 AH77:AH79 AN77:AN79 AH104:AH105 AN104:AN105 AN24 AN67:AN75 AN107:AN110</xm:sqref>
        </x14:dataValidation>
        <x14:dataValidation type="list" allowBlank="1" showInputMessage="1" showErrorMessage="1">
          <x14:formula1>
            <xm:f>List!$E$3:$E$26</xm:f>
          </x14:formula1>
          <xm:sqref>J14 J67:J74 J47:J48 J50:J52 J60 J63 J65 J77:J80 J82:J84 J86:J87 J89:J91 J93 J107:J110 J54:J58 J99:J103 J16:J22 J96:J97</xm:sqref>
        </x14:dataValidation>
        <x14:dataValidation type="list" allowBlank="1" showInputMessage="1" showErrorMessage="1">
          <x14:formula1>
            <xm:f>List!$A$3:$A$4</xm:f>
          </x14:formula1>
          <xm:sqref>D14</xm:sqref>
        </x14:dataValidation>
        <x14:dataValidation type="list" allowBlank="1" showInputMessage="1" showErrorMessage="1">
          <x14:formula1>
            <xm:f>List!$H$3:$H$5</xm:f>
          </x14:formula1>
          <xm:sqref>AF14 AF50:AF52 AF47:AF48 AF61 AF99:AF101 AF63 AF65 AF67:AF75 AF82:AF84 AF86:AF87 AF89:AF91 AF93 AF95:AF97 AF54:AF58 AF107:AF110 AF16:AF22 AF77:AF79 AF104</xm:sqref>
        </x14:dataValidation>
        <x14:dataValidation type="list" allowBlank="1" showInputMessage="1" showErrorMessage="1">
          <x14:formula1>
            <xm:f>List!$G$3:$G$5</xm:f>
          </x14:formula1>
          <xm:sqref>AE14 AE54:AE58 AE47:AE48 AE50:AE52 AE99:AE101 AE63 AE65 AE67:AE75 AE82:AE84 AE86:AE87 AE89:AE91 AE93 AE95:AE97 AE61 AE107:AE110 AE16:AE22 AE77:AE79 AE104:AE105</xm:sqref>
        </x14:dataValidation>
        <x14:dataValidation type="list" allowBlank="1" showInputMessage="1" showErrorMessage="1">
          <x14:formula1>
            <xm:f>List!$A$4:$A$7</xm:f>
          </x14:formula1>
          <xm:sqref>D67:D74 D47:D48 D50:D52 D60 D63 D65 D99:D101 D82:D84 D86:D87 D89:D91 D93 D77:D80 D54:D58 D96:D97 D16:D22 D107:D109</xm:sqref>
        </x14:dataValidation>
        <x14:dataValidation type="list" allowBlank="1" showInputMessage="1" showErrorMessage="1">
          <x14:formula1>
            <xm:f>'C:\Users\Admin\Downloads\[10 012024..xlsx]List'!#REF!</xm:f>
          </x14:formula1>
          <xm:sqref>L33:L44 F33:H44 AH33:AK44 AN33:AQ44 J33:J44 D33:D44 AE33:AF44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5:B6"/>
  <sheetViews>
    <sheetView workbookViewId="0">
      <selection activeCell="B5" sqref="B5:B6"/>
    </sheetView>
  </sheetViews>
  <sheetFormatPr defaultRowHeight="20.25" x14ac:dyDescent="0.35"/>
  <sheetData>
    <row r="5" spans="2:2" x14ac:dyDescent="0.35">
      <c r="B5">
        <f>84000/4</f>
        <v>21000</v>
      </c>
    </row>
    <row r="6" spans="2:2" x14ac:dyDescent="0.35">
      <c r="B6">
        <f>145/6</f>
        <v>24.166666666666668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47"/>
  <sheetViews>
    <sheetView workbookViewId="0">
      <selection activeCell="B29" sqref="B29"/>
    </sheetView>
  </sheetViews>
  <sheetFormatPr defaultColWidth="5.33203125" defaultRowHeight="17.25" x14ac:dyDescent="0.3"/>
  <cols>
    <col min="1" max="1" width="5.33203125" style="48"/>
    <col min="2" max="2" width="142.33203125" style="49" customWidth="1"/>
    <col min="3" max="16384" width="5.33203125" style="47"/>
  </cols>
  <sheetData>
    <row r="2" spans="1:2" ht="65.25" customHeight="1" x14ac:dyDescent="0.3">
      <c r="B2" s="72" t="s">
        <v>123</v>
      </c>
    </row>
    <row r="3" spans="1:2" ht="27" customHeight="1" x14ac:dyDescent="0.3">
      <c r="A3" s="66" t="s">
        <v>54</v>
      </c>
      <c r="B3" s="67" t="s">
        <v>117</v>
      </c>
    </row>
    <row r="4" spans="1:2" ht="26.25" customHeight="1" x14ac:dyDescent="0.3">
      <c r="A4" s="48">
        <v>1</v>
      </c>
      <c r="B4" s="49" t="s">
        <v>121</v>
      </c>
    </row>
    <row r="5" spans="1:2" ht="66.75" customHeight="1" x14ac:dyDescent="0.3">
      <c r="A5" s="48">
        <v>2</v>
      </c>
      <c r="B5" s="49" t="s">
        <v>73</v>
      </c>
    </row>
    <row r="6" spans="1:2" ht="99.75" customHeight="1" x14ac:dyDescent="0.3">
      <c r="A6" s="48">
        <v>3</v>
      </c>
      <c r="B6" s="49" t="s">
        <v>116</v>
      </c>
    </row>
    <row r="7" spans="1:2" ht="31.5" customHeight="1" x14ac:dyDescent="0.3">
      <c r="A7" s="48">
        <v>4</v>
      </c>
      <c r="B7" s="49" t="s">
        <v>111</v>
      </c>
    </row>
    <row r="8" spans="1:2" ht="24.75" customHeight="1" x14ac:dyDescent="0.3">
      <c r="A8" s="48">
        <v>5</v>
      </c>
      <c r="B8" s="49" t="s">
        <v>97</v>
      </c>
    </row>
    <row r="9" spans="1:2" ht="30" customHeight="1" x14ac:dyDescent="0.3">
      <c r="A9" s="48">
        <v>6</v>
      </c>
      <c r="B9" s="49" t="s">
        <v>96</v>
      </c>
    </row>
    <row r="10" spans="1:2" ht="42.75" customHeight="1" x14ac:dyDescent="0.3">
      <c r="A10" s="48">
        <v>7</v>
      </c>
      <c r="B10" s="49" t="s">
        <v>98</v>
      </c>
    </row>
    <row r="11" spans="1:2" ht="33.75" customHeight="1" x14ac:dyDescent="0.3">
      <c r="A11" s="48">
        <v>8</v>
      </c>
      <c r="B11" s="49" t="s">
        <v>99</v>
      </c>
    </row>
    <row r="12" spans="1:2" ht="33.75" customHeight="1" x14ac:dyDescent="0.3">
      <c r="A12" s="48">
        <v>9</v>
      </c>
      <c r="B12" s="49" t="s">
        <v>115</v>
      </c>
    </row>
    <row r="13" spans="1:2" ht="51.75" customHeight="1" x14ac:dyDescent="0.3">
      <c r="A13" s="48">
        <v>10</v>
      </c>
      <c r="B13" s="49" t="s">
        <v>114</v>
      </c>
    </row>
    <row r="15" spans="1:2" x14ac:dyDescent="0.3">
      <c r="B15" s="63" t="s">
        <v>113</v>
      </c>
    </row>
    <row r="16" spans="1:2" ht="35.25" customHeight="1" x14ac:dyDescent="0.3">
      <c r="B16" s="49" t="s">
        <v>75</v>
      </c>
    </row>
    <row r="17" spans="2:2" x14ac:dyDescent="0.3">
      <c r="B17" s="50" t="s">
        <v>76</v>
      </c>
    </row>
    <row r="18" spans="2:2" x14ac:dyDescent="0.3">
      <c r="B18" s="50" t="s">
        <v>77</v>
      </c>
    </row>
    <row r="19" spans="2:2" ht="31.5" customHeight="1" x14ac:dyDescent="0.3">
      <c r="B19" s="50" t="s">
        <v>95</v>
      </c>
    </row>
    <row r="20" spans="2:2" x14ac:dyDescent="0.3">
      <c r="B20" s="50" t="s">
        <v>78</v>
      </c>
    </row>
    <row r="21" spans="2:2" x14ac:dyDescent="0.3">
      <c r="B21" s="50" t="s">
        <v>79</v>
      </c>
    </row>
    <row r="22" spans="2:2" ht="32.25" customHeight="1" x14ac:dyDescent="0.3">
      <c r="B22" s="50" t="s">
        <v>80</v>
      </c>
    </row>
    <row r="23" spans="2:2" ht="65.25" customHeight="1" x14ac:dyDescent="0.3">
      <c r="B23" s="50" t="s">
        <v>81</v>
      </c>
    </row>
    <row r="24" spans="2:2" ht="43.5" customHeight="1" x14ac:dyDescent="0.3">
      <c r="B24" s="52" t="s">
        <v>110</v>
      </c>
    </row>
    <row r="25" spans="2:2" ht="51.75" x14ac:dyDescent="0.3">
      <c r="B25" s="52" t="s">
        <v>29</v>
      </c>
    </row>
    <row r="26" spans="2:2" x14ac:dyDescent="0.3">
      <c r="B26" s="52" t="s">
        <v>30</v>
      </c>
    </row>
    <row r="27" spans="2:2" x14ac:dyDescent="0.3">
      <c r="B27" s="52" t="s">
        <v>31</v>
      </c>
    </row>
    <row r="28" spans="2:2" ht="27" customHeight="1" x14ac:dyDescent="0.3">
      <c r="B28" s="50" t="s">
        <v>82</v>
      </c>
    </row>
    <row r="29" spans="2:2" x14ac:dyDescent="0.3">
      <c r="B29" s="50" t="s">
        <v>83</v>
      </c>
    </row>
    <row r="30" spans="2:2" x14ac:dyDescent="0.3">
      <c r="B30" s="50" t="s">
        <v>84</v>
      </c>
    </row>
    <row r="31" spans="2:2" x14ac:dyDescent="0.3">
      <c r="B31" s="50" t="s">
        <v>85</v>
      </c>
    </row>
    <row r="32" spans="2:2" x14ac:dyDescent="0.3">
      <c r="B32" s="50" t="s">
        <v>86</v>
      </c>
    </row>
    <row r="33" spans="2:2" x14ac:dyDescent="0.3">
      <c r="B33" s="50" t="s">
        <v>87</v>
      </c>
    </row>
    <row r="34" spans="2:2" x14ac:dyDescent="0.3">
      <c r="B34" s="50" t="s">
        <v>88</v>
      </c>
    </row>
    <row r="35" spans="2:2" x14ac:dyDescent="0.3">
      <c r="B35" s="50" t="s">
        <v>89</v>
      </c>
    </row>
    <row r="36" spans="2:2" ht="77.25" customHeight="1" x14ac:dyDescent="0.3">
      <c r="B36" s="50" t="s">
        <v>90</v>
      </c>
    </row>
    <row r="37" spans="2:2" ht="42.75" customHeight="1" x14ac:dyDescent="0.3">
      <c r="B37" s="49" t="s">
        <v>118</v>
      </c>
    </row>
    <row r="38" spans="2:2" ht="30.75" customHeight="1" x14ac:dyDescent="0.3">
      <c r="B38" s="49" t="s">
        <v>92</v>
      </c>
    </row>
    <row r="39" spans="2:2" ht="34.5" x14ac:dyDescent="0.3">
      <c r="B39" s="49" t="s">
        <v>93</v>
      </c>
    </row>
    <row r="40" spans="2:2" x14ac:dyDescent="0.3">
      <c r="B40" s="49" t="s">
        <v>94</v>
      </c>
    </row>
    <row r="44" spans="2:2" x14ac:dyDescent="0.3">
      <c r="B44" s="50" t="s">
        <v>74</v>
      </c>
    </row>
    <row r="45" spans="2:2" x14ac:dyDescent="0.3">
      <c r="B45" s="50"/>
    </row>
    <row r="46" spans="2:2" x14ac:dyDescent="0.3">
      <c r="B46" s="50" t="s">
        <v>91</v>
      </c>
    </row>
    <row r="47" spans="2:2" x14ac:dyDescent="0.3">
      <c r="B47" s="50"/>
    </row>
  </sheetData>
  <pageMargins left="0.7" right="0.7" top="0.75" bottom="0.75" header="0.3" footer="0.3"/>
  <pageSetup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workbookViewId="0"/>
  </sheetViews>
  <sheetFormatPr defaultRowHeight="20.25" x14ac:dyDescent="0.35"/>
  <cols>
    <col min="1" max="1" width="18.9140625" customWidth="1"/>
    <col min="3" max="3" width="11.4140625" customWidth="1"/>
    <col min="4" max="4" width="23" customWidth="1"/>
    <col min="5" max="5" width="17" customWidth="1"/>
    <col min="6" max="6" width="9.4140625" customWidth="1"/>
    <col min="7" max="7" width="39" customWidth="1"/>
    <col min="8" max="8" width="33.08203125" customWidth="1"/>
  </cols>
  <sheetData>
    <row r="1" spans="1:8" x14ac:dyDescent="0.35">
      <c r="A1">
        <v>2024</v>
      </c>
    </row>
    <row r="2" spans="1:8" ht="103.5" x14ac:dyDescent="0.35">
      <c r="A2" s="6" t="s">
        <v>3</v>
      </c>
      <c r="B2" s="6" t="s">
        <v>12</v>
      </c>
      <c r="C2" s="6" t="s">
        <v>25</v>
      </c>
      <c r="D2" s="6" t="s">
        <v>13</v>
      </c>
      <c r="E2" s="6" t="s">
        <v>42</v>
      </c>
      <c r="F2" s="6" t="s">
        <v>35</v>
      </c>
      <c r="G2" s="6" t="s">
        <v>36</v>
      </c>
      <c r="H2" s="6" t="s">
        <v>45</v>
      </c>
    </row>
    <row r="3" spans="1:8" ht="97.5" customHeight="1" x14ac:dyDescent="0.35">
      <c r="A3" s="2" t="s">
        <v>32</v>
      </c>
      <c r="B3" s="3" t="s">
        <v>10</v>
      </c>
      <c r="C3" s="3" t="s">
        <v>11</v>
      </c>
      <c r="D3" s="3" t="s">
        <v>14</v>
      </c>
      <c r="E3" s="3" t="s">
        <v>64</v>
      </c>
      <c r="F3" s="3" t="s">
        <v>15</v>
      </c>
      <c r="G3" s="4" t="s">
        <v>37</v>
      </c>
      <c r="H3" s="4" t="s">
        <v>39</v>
      </c>
    </row>
    <row r="4" spans="1:8" ht="84" customHeight="1" x14ac:dyDescent="0.35">
      <c r="A4" s="2" t="s">
        <v>33</v>
      </c>
      <c r="B4" s="3" t="s">
        <v>17</v>
      </c>
      <c r="C4" s="3" t="s">
        <v>16</v>
      </c>
      <c r="D4" s="3" t="s">
        <v>26</v>
      </c>
      <c r="E4" s="3">
        <v>2001</v>
      </c>
      <c r="F4" s="3" t="s">
        <v>18</v>
      </c>
      <c r="G4" s="4" t="s">
        <v>38</v>
      </c>
      <c r="H4" s="4" t="s">
        <v>40</v>
      </c>
    </row>
    <row r="5" spans="1:8" ht="81.75" customHeight="1" x14ac:dyDescent="0.35">
      <c r="A5" s="2" t="s">
        <v>34</v>
      </c>
      <c r="B5" s="3" t="s">
        <v>20</v>
      </c>
      <c r="C5" s="3" t="s">
        <v>19</v>
      </c>
      <c r="D5" s="3" t="s">
        <v>61</v>
      </c>
      <c r="E5" s="3">
        <v>2002</v>
      </c>
      <c r="F5" s="3"/>
      <c r="G5" s="4" t="s">
        <v>52</v>
      </c>
      <c r="H5" s="4" t="s">
        <v>41</v>
      </c>
    </row>
    <row r="6" spans="1:8" ht="87" x14ac:dyDescent="0.35">
      <c r="A6" s="2" t="s">
        <v>72</v>
      </c>
      <c r="B6" s="3" t="s">
        <v>22</v>
      </c>
      <c r="C6" s="3" t="s">
        <v>21</v>
      </c>
      <c r="D6" s="3" t="s">
        <v>62</v>
      </c>
      <c r="E6" s="3">
        <v>2003</v>
      </c>
    </row>
    <row r="7" spans="1:8" ht="35.25" x14ac:dyDescent="0.35">
      <c r="A7" s="2" t="s">
        <v>53</v>
      </c>
      <c r="B7" s="3" t="s">
        <v>48</v>
      </c>
      <c r="C7" s="3" t="s">
        <v>23</v>
      </c>
      <c r="D7" s="5" t="s">
        <v>27</v>
      </c>
      <c r="E7" s="3">
        <v>2004</v>
      </c>
      <c r="G7" s="10"/>
    </row>
    <row r="8" spans="1:8" ht="57.75" customHeight="1" x14ac:dyDescent="0.35">
      <c r="A8" s="12"/>
      <c r="B8" s="3" t="s">
        <v>24</v>
      </c>
      <c r="C8" s="8"/>
      <c r="D8" s="9"/>
      <c r="E8" s="3">
        <v>2005</v>
      </c>
    </row>
    <row r="9" spans="1:8" x14ac:dyDescent="0.35">
      <c r="B9" s="8"/>
      <c r="E9" s="3">
        <v>2006</v>
      </c>
    </row>
    <row r="10" spans="1:8" x14ac:dyDescent="0.35">
      <c r="A10" s="1"/>
      <c r="C10" s="1"/>
      <c r="D10" s="1"/>
      <c r="E10" s="3">
        <v>2007</v>
      </c>
      <c r="F10" s="1"/>
      <c r="G10" s="1"/>
    </row>
    <row r="11" spans="1:8" x14ac:dyDescent="0.35">
      <c r="A11" s="7"/>
      <c r="B11" s="1"/>
      <c r="C11" s="11"/>
      <c r="D11" s="11"/>
      <c r="E11" s="3">
        <v>2008</v>
      </c>
    </row>
    <row r="12" spans="1:8" x14ac:dyDescent="0.35">
      <c r="A12" s="11"/>
      <c r="B12" s="11"/>
      <c r="E12" s="3">
        <v>2009</v>
      </c>
    </row>
    <row r="13" spans="1:8" x14ac:dyDescent="0.35">
      <c r="A13" s="7"/>
      <c r="C13" s="11"/>
      <c r="D13" s="11"/>
      <c r="E13" s="3">
        <v>2010</v>
      </c>
    </row>
    <row r="14" spans="1:8" x14ac:dyDescent="0.35">
      <c r="A14" s="11"/>
      <c r="B14" s="11"/>
      <c r="E14" s="3">
        <v>2011</v>
      </c>
    </row>
    <row r="15" spans="1:8" x14ac:dyDescent="0.35">
      <c r="E15" s="3">
        <v>2012</v>
      </c>
    </row>
    <row r="16" spans="1:8" x14ac:dyDescent="0.35">
      <c r="E16" s="3">
        <v>2013</v>
      </c>
    </row>
    <row r="17" spans="5:5" x14ac:dyDescent="0.35">
      <c r="E17" s="3">
        <v>2014</v>
      </c>
    </row>
    <row r="18" spans="5:5" x14ac:dyDescent="0.35">
      <c r="E18" s="3">
        <v>2015</v>
      </c>
    </row>
    <row r="19" spans="5:5" x14ac:dyDescent="0.35">
      <c r="E19" s="3">
        <v>2016</v>
      </c>
    </row>
    <row r="20" spans="5:5" x14ac:dyDescent="0.35">
      <c r="E20" s="3">
        <v>2017</v>
      </c>
    </row>
    <row r="21" spans="5:5" x14ac:dyDescent="0.35">
      <c r="E21" s="3">
        <v>2018</v>
      </c>
    </row>
    <row r="22" spans="5:5" x14ac:dyDescent="0.35">
      <c r="E22" s="3">
        <v>2019</v>
      </c>
    </row>
    <row r="23" spans="5:5" x14ac:dyDescent="0.35">
      <c r="E23" s="3">
        <v>2020</v>
      </c>
    </row>
    <row r="24" spans="5:5" x14ac:dyDescent="0.35">
      <c r="E24" s="3">
        <v>2021</v>
      </c>
    </row>
    <row r="25" spans="5:5" x14ac:dyDescent="0.35">
      <c r="E25" s="3">
        <v>2022</v>
      </c>
    </row>
    <row r="26" spans="5:5" x14ac:dyDescent="0.35">
      <c r="E26" s="3">
        <v>2023</v>
      </c>
    </row>
  </sheetData>
  <sheetProtection password="CF5E" sheet="1" objects="1" scenarios="1" selectLockedCells="1" selectUnlockedCells="1"/>
  <pageMargins left="0.7" right="0.7" top="0.75" bottom="0.75" header="0.3" footer="0.3"/>
  <pageSetup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Հայտի ձևաչափ</vt:lpstr>
      <vt:lpstr>Sheet1</vt:lpstr>
      <vt:lpstr>Լրացման պահանջները</vt:lpstr>
      <vt:lpstr>List</vt:lpstr>
      <vt:lpstr>_Կարգի_8_կետ</vt:lpstr>
      <vt:lpstr>'Հայտի ձևաչափ'!համաձայն_Կարգի_8_րդ_կետի_պահանջների__այլ_ավտոմեքենա_հատկացնելու__առաջարկության_հիմնավորումը</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Marine Shishyan</dc:creator>
  <cp:keywords>https:/mul2-mss.gov.am/tasks/1755154/oneclick/Dzevachap (ASHN).xlsx?token=12bea739d987e85e12298a21423d9d65</cp:keywords>
  <cp:lastModifiedBy>Minas.Demurchyan</cp:lastModifiedBy>
  <cp:lastPrinted>2024-01-22T03:18:04Z</cp:lastPrinted>
  <dcterms:created xsi:type="dcterms:W3CDTF">2023-12-04T06:12:26Z</dcterms:created>
  <dcterms:modified xsi:type="dcterms:W3CDTF">2024-02-15T14:22:50Z</dcterms:modified>
</cp:coreProperties>
</file>