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5555\2024 Narine\ավտո2023-2024\"/>
    </mc:Choice>
  </mc:AlternateContent>
  <bookViews>
    <workbookView xWindow="0" yWindow="0" windowWidth="19200" windowHeight="9195"/>
  </bookViews>
  <sheets>
    <sheet name="Հայտի ձևաչափ" sheetId="1" r:id="rId1"/>
    <sheet name="Լրացման պահանջները" sheetId="5" r:id="rId2"/>
    <sheet name="List" sheetId="2" state="hidden" r:id="rId3"/>
  </sheets>
  <definedNames>
    <definedName name="_xlnm._FilterDatabase" localSheetId="0" hidden="1">'Հայտի ձևաչափ'!$A$13:$AR$41</definedName>
    <definedName name="_Կարգի_8_կետ">List!$H$3:$H$5</definedName>
    <definedName name="համաձայն_Կարգի_8_րդ_կետի_պահանջների__այլ_ավտոմեքենա_հատկացնելու__առաջարկության_հիմնավորումը" localSheetId="0">List!$H$3:$H$5</definedName>
  </definedNames>
  <calcPr calcId="162913"/>
</workbook>
</file>

<file path=xl/calcChain.xml><?xml version="1.0" encoding="utf-8"?>
<calcChain xmlns="http://schemas.openxmlformats.org/spreadsheetml/2006/main">
  <c r="J33" i="1" l="1"/>
  <c r="AB35" i="1"/>
  <c r="AB34" i="1"/>
  <c r="AB25" i="1"/>
  <c r="AB24" i="1"/>
  <c r="AB29" i="1"/>
  <c r="AB33" i="1"/>
  <c r="AB32" i="1"/>
  <c r="AB31" i="1"/>
  <c r="AB30" i="1"/>
  <c r="AB28" i="1"/>
  <c r="AB27" i="1"/>
  <c r="AB26" i="1"/>
  <c r="AB23" i="1"/>
  <c r="AB22" i="1"/>
  <c r="AB21" i="1"/>
  <c r="AB20" i="1"/>
  <c r="AB19" i="1"/>
  <c r="AB17" i="1"/>
  <c r="AB16" i="1"/>
  <c r="AB15" i="1"/>
  <c r="AB14" i="1"/>
  <c r="AA35" i="1"/>
  <c r="AA34" i="1"/>
  <c r="AA33" i="1"/>
  <c r="AA32" i="1"/>
  <c r="AA31" i="1"/>
  <c r="AA30" i="1"/>
  <c r="AA29" i="1"/>
  <c r="AA28" i="1"/>
  <c r="AA27" i="1"/>
  <c r="AA26" i="1"/>
  <c r="AA25" i="1"/>
  <c r="AA24" i="1"/>
  <c r="AA22" i="1"/>
  <c r="AA21" i="1"/>
  <c r="AA20" i="1"/>
  <c r="AA17" i="1"/>
  <c r="AA16" i="1"/>
  <c r="AA15" i="1"/>
  <c r="AA14" i="1"/>
  <c r="W35" i="1"/>
  <c r="W34" i="1"/>
  <c r="W31" i="1"/>
  <c r="W19" i="1"/>
  <c r="W17" i="1"/>
  <c r="W16" i="1"/>
  <c r="W15" i="1"/>
  <c r="W14" i="1"/>
  <c r="U16" i="1" l="1"/>
  <c r="V16" i="1" s="1"/>
  <c r="Z16" i="1" s="1"/>
  <c r="AC16" i="1" s="1"/>
  <c r="U17" i="1"/>
  <c r="V17" i="1" s="1"/>
  <c r="Z17" i="1" s="1"/>
  <c r="AC17" i="1" s="1"/>
  <c r="N35" i="1"/>
  <c r="U33" i="1"/>
  <c r="V33" i="1" s="1"/>
  <c r="Z33" i="1" s="1"/>
  <c r="AC33" i="1" s="1"/>
  <c r="N33" i="1"/>
  <c r="P33" i="1"/>
  <c r="R33" i="1" s="1"/>
  <c r="U32" i="1"/>
  <c r="V32" i="1" s="1"/>
  <c r="Z32" i="1" s="1"/>
  <c r="AC32" i="1" s="1"/>
  <c r="N32" i="1"/>
  <c r="P32" i="1"/>
  <c r="R32" i="1" s="1"/>
  <c r="P17" i="1"/>
  <c r="R17" i="1" s="1"/>
  <c r="N17" i="1"/>
  <c r="N18" i="1"/>
  <c r="P15" i="1"/>
  <c r="R15" i="1" s="1"/>
  <c r="P16" i="1"/>
  <c r="R16" i="1" s="1"/>
  <c r="N16" i="1"/>
  <c r="J12" i="1" l="1"/>
  <c r="J32" i="1" s="1"/>
  <c r="J17" i="1" l="1"/>
  <c r="J16" i="1"/>
  <c r="J31" i="1"/>
  <c r="U25" i="1" l="1"/>
  <c r="V25" i="1" s="1"/>
  <c r="Z25" i="1" s="1"/>
  <c r="AC25" i="1" s="1"/>
  <c r="P25" i="1"/>
  <c r="R25" i="1" s="1"/>
  <c r="N25" i="1"/>
  <c r="J25" i="1"/>
  <c r="U24" i="1"/>
  <c r="V24" i="1" s="1"/>
  <c r="Z24" i="1" s="1"/>
  <c r="AC24" i="1" s="1"/>
  <c r="P24" i="1"/>
  <c r="R24" i="1" s="1"/>
  <c r="N24" i="1"/>
  <c r="J24" i="1"/>
  <c r="U23" i="1"/>
  <c r="V23" i="1" s="1"/>
  <c r="Z23" i="1" s="1"/>
  <c r="AC23" i="1" s="1"/>
  <c r="P23" i="1"/>
  <c r="R23" i="1" s="1"/>
  <c r="N23" i="1"/>
  <c r="J23" i="1"/>
  <c r="U27" i="1"/>
  <c r="V27" i="1" s="1"/>
  <c r="Z27" i="1" s="1"/>
  <c r="AC27" i="1" s="1"/>
  <c r="P27" i="1"/>
  <c r="R27" i="1" s="1"/>
  <c r="N27" i="1"/>
  <c r="J27" i="1"/>
  <c r="U26" i="1"/>
  <c r="V26" i="1" s="1"/>
  <c r="Z26" i="1" s="1"/>
  <c r="AC26" i="1" s="1"/>
  <c r="P26" i="1"/>
  <c r="R26" i="1" s="1"/>
  <c r="N26" i="1"/>
  <c r="J26" i="1"/>
  <c r="U31" i="1"/>
  <c r="V31" i="1" s="1"/>
  <c r="Z31" i="1" s="1"/>
  <c r="AC31" i="1" s="1"/>
  <c r="P31" i="1"/>
  <c r="R31" i="1" s="1"/>
  <c r="N31" i="1"/>
  <c r="U22" i="1"/>
  <c r="V22" i="1" s="1"/>
  <c r="Z22" i="1" s="1"/>
  <c r="AC22" i="1" s="1"/>
  <c r="P22" i="1"/>
  <c r="R22" i="1" s="1"/>
  <c r="N22" i="1"/>
  <c r="J22" i="1"/>
  <c r="U21" i="1"/>
  <c r="V21" i="1" s="1"/>
  <c r="Z21" i="1" s="1"/>
  <c r="AC21" i="1" s="1"/>
  <c r="P21" i="1"/>
  <c r="R21" i="1" s="1"/>
  <c r="N21" i="1"/>
  <c r="J21" i="1"/>
  <c r="P34" i="1"/>
  <c r="P35" i="1"/>
  <c r="P36" i="1"/>
  <c r="N30" i="1"/>
  <c r="N34" i="1"/>
  <c r="N36" i="1"/>
  <c r="U14" i="1"/>
  <c r="P41" i="1"/>
  <c r="P40" i="1"/>
  <c r="P39" i="1"/>
  <c r="P38" i="1"/>
  <c r="P30" i="1"/>
  <c r="P29" i="1"/>
  <c r="P28" i="1"/>
  <c r="P20" i="1"/>
  <c r="P19" i="1"/>
  <c r="P14" i="1"/>
  <c r="N41" i="1"/>
  <c r="N40" i="1"/>
  <c r="N39" i="1"/>
  <c r="N38" i="1"/>
  <c r="N29" i="1"/>
  <c r="N28" i="1"/>
  <c r="N20" i="1"/>
  <c r="N19" i="1"/>
  <c r="N15" i="1"/>
  <c r="J14" i="1"/>
  <c r="R14" i="1" l="1"/>
  <c r="R41" i="1"/>
  <c r="R40" i="1"/>
  <c r="R39" i="1"/>
  <c r="R38" i="1"/>
  <c r="R36" i="1"/>
  <c r="R35" i="1"/>
  <c r="R34" i="1"/>
  <c r="R30" i="1"/>
  <c r="R29" i="1"/>
  <c r="R28" i="1"/>
  <c r="R20" i="1"/>
  <c r="R19" i="1"/>
  <c r="V14" i="1"/>
  <c r="Z14" i="1" s="1"/>
  <c r="AC14" i="1" s="1"/>
  <c r="N14" i="1"/>
  <c r="J41" i="1" l="1"/>
  <c r="J40" i="1"/>
  <c r="J39" i="1"/>
  <c r="J38" i="1"/>
  <c r="J36" i="1"/>
  <c r="J35" i="1"/>
  <c r="J34" i="1"/>
  <c r="J30" i="1"/>
  <c r="J29" i="1"/>
  <c r="J28" i="1"/>
  <c r="J20" i="1"/>
  <c r="J19" i="1"/>
  <c r="J15" i="1"/>
  <c r="U41" i="1" l="1"/>
  <c r="V41" i="1" s="1"/>
  <c r="U40" i="1"/>
  <c r="V40" i="1" s="1"/>
  <c r="U39" i="1"/>
  <c r="V39" i="1" s="1"/>
  <c r="U38" i="1"/>
  <c r="V38" i="1" s="1"/>
  <c r="U36" i="1"/>
  <c r="V36" i="1" s="1"/>
  <c r="U35" i="1"/>
  <c r="V35" i="1" s="1"/>
  <c r="U34" i="1"/>
  <c r="V34" i="1" s="1"/>
  <c r="U30" i="1"/>
  <c r="V30" i="1" s="1"/>
  <c r="U29" i="1"/>
  <c r="V29" i="1" s="1"/>
  <c r="U28" i="1"/>
  <c r="V28" i="1" s="1"/>
  <c r="U20" i="1"/>
  <c r="V20" i="1" s="1"/>
  <c r="U19" i="1"/>
  <c r="V19" i="1" s="1"/>
  <c r="U15" i="1"/>
  <c r="V15" i="1" s="1"/>
  <c r="Z15" i="1" s="1"/>
  <c r="AC15" i="1" s="1"/>
  <c r="Z28" i="1" l="1"/>
  <c r="AC28" i="1" s="1"/>
  <c r="Z35" i="1"/>
  <c r="AC35" i="1" s="1"/>
  <c r="Z39" i="1"/>
  <c r="AC39" i="1" s="1"/>
  <c r="Z29" i="1"/>
  <c r="AC29" i="1" s="1"/>
  <c r="Z40" i="1"/>
  <c r="AC40" i="1" s="1"/>
  <c r="Z19" i="1"/>
  <c r="AC19" i="1" s="1"/>
  <c r="Z30" i="1"/>
  <c r="AC30" i="1" s="1"/>
  <c r="Z36" i="1"/>
  <c r="AC36" i="1" s="1"/>
  <c r="Z41" i="1"/>
  <c r="AC41" i="1" s="1"/>
  <c r="Z20" i="1"/>
  <c r="AC20" i="1" s="1"/>
  <c r="Z34" i="1"/>
  <c r="AC34" i="1" s="1"/>
  <c r="Z38" i="1"/>
  <c r="AC38" i="1" s="1"/>
</calcChain>
</file>

<file path=xl/sharedStrings.xml><?xml version="1.0" encoding="utf-8"?>
<sst xmlns="http://schemas.openxmlformats.org/spreadsheetml/2006/main" count="311" uniqueCount="153">
  <si>
    <t xml:space="preserve">Ընդամենը առկա (հաշվեկշռում հաշվառված) ավտոմեքենաների քանակը` </t>
  </si>
  <si>
    <t>հ/հ</t>
  </si>
  <si>
    <t>ղեկավարի պաշտոնը կամ ստորաբաժանման անվանումը, որին սպասարկում է տվյալ ավտոմեքենան</t>
  </si>
  <si>
    <t>Ավտոմեքենայի նշանակությունը</t>
  </si>
  <si>
    <t>գնման գինը   (հազ դրամ)</t>
  </si>
  <si>
    <t>միջին ամսական վազքը (կմ)</t>
  </si>
  <si>
    <t>Ընդամենը վառելիքի միջին ամսական ծախսը 
(հազար դրամ)</t>
  </si>
  <si>
    <t>Ընդամենը տրանսպորտային միջոցի պահպանման միջին տարեկան ծախս
(հազար դրամ)</t>
  </si>
  <si>
    <t>Քանակը (հատ)</t>
  </si>
  <si>
    <t>Հատուկ տեխնիկական միջոցներով կահավորանքի պահանջ</t>
  </si>
  <si>
    <t>Գինը 
(հազար դրամ)</t>
  </si>
  <si>
    <t xml:space="preserve">սեդան </t>
  </si>
  <si>
    <t>բենզին</t>
  </si>
  <si>
    <t>Այլ տրանսպորտային միջոցներ</t>
  </si>
  <si>
    <t>Ավտոմեքենայի թափքի տեսակը</t>
  </si>
  <si>
    <t>Շարժիչի ծավալը</t>
  </si>
  <si>
    <t>մինչև 1,8</t>
  </si>
  <si>
    <t>առկա չէ</t>
  </si>
  <si>
    <t>գազ</t>
  </si>
  <si>
    <t>ունիվերսալ</t>
  </si>
  <si>
    <t>առկա է</t>
  </si>
  <si>
    <t>դիզել</t>
  </si>
  <si>
    <t>ամենագնաց</t>
  </si>
  <si>
    <t>էլեկտրական</t>
  </si>
  <si>
    <t>միկրոավտոբուս</t>
  </si>
  <si>
    <t>հիբրիդ</t>
  </si>
  <si>
    <t>այլ</t>
  </si>
  <si>
    <t xml:space="preserve">շարժիչի վառելանյութի տեսակը
(ընտրել ցանկից) </t>
  </si>
  <si>
    <t>1,9-ից մինչև 2,2</t>
  </si>
  <si>
    <t>6,1-ից ավելի</t>
  </si>
  <si>
    <t>վառելիքի միջին ամսական ծախսը (հազ դրամ)</t>
  </si>
  <si>
    <t>1) պետական մարմնում հաշվառված, օգտագործման մեջ գտնվող, սահմանված կարգի համաձայն օգտակար ծառայության ժամկետը լրացած ավտոմեքենաների փոխարինման համար։ Ընդ որում, օգտակար ծառայության ժամկետը լրացած այն ավտոմեքենաների փոխարինման համար, որոնց շահագործումն իրականացվում է սույն որոշման 8-րդ կետի հիմքով սահմանված նորմաների գերազանցումով և դրանց հետագա օգտագործումն արդյունավետության տեսանկյունից համարվում է ոչ նպատակահարմար.</t>
  </si>
  <si>
    <t>2) պետական մարմնին վերապահված նոր գործառույթի իրականացման համար.</t>
  </si>
  <si>
    <t>3) վթարված և շահագործման ոչ ենթակա ավտոմեքենաների փոխարինման համար, եթե առկա է գնահատման համար սահմանված կարգի համաձայն տրված եզրակացությունը։</t>
  </si>
  <si>
    <t>Ծառայողական (ղեկավարի)</t>
  </si>
  <si>
    <t>Սպասարկող՝ տարբերանշանով</t>
  </si>
  <si>
    <t>Սպասարկող՝ գործառնական և հատուկ նշանակության (գունանշումով կամ հատուկ կահավորանքով)</t>
  </si>
  <si>
    <t>հատուկ միջոցներով կահավորանքի պահանջ</t>
  </si>
  <si>
    <t>Առաջարկություն՝ ավտոմեքենայի հետագա շահագործման, նոր ավտոմեքենա հատկացնելու և փոխհատուցում տրամադրելու վերաբերյալ</t>
  </si>
  <si>
    <t>ենթակա է հետագա շահագործման</t>
  </si>
  <si>
    <t>հատկացնել նոր ավտոմեքենա՝ Կարգի 8-րդ կետի հիմքով</t>
  </si>
  <si>
    <t>Կարգի 8-րդ կետի 1-ին ենթակետ (օգտակար ծառայության ժամկետը լրացել է, հետագա շահագործումը համարվում է ոչ արդյունավետ)</t>
  </si>
  <si>
    <t>Կարգի 8-րդ կետի 2-րդ ենթակետ (պետական մարմնին վերապահված նոր գործառույթի իրականացման համար)</t>
  </si>
  <si>
    <t>Կարգի 8-րդ կետի 3-րդ ենթակետ (վթարված և շահագործման ոչ ենթակա ավտոմեքենայի փոխարինման համար</t>
  </si>
  <si>
    <t>արտադրության/ ձեռքբերման տարեթիվը</t>
  </si>
  <si>
    <t>վառելիքի միջին ամսական ծավալը (լիտր, խմ)</t>
  </si>
  <si>
    <t>էլեկտրական շարժիչով ավտոմեքենայի սպառած միջին ամսական էլեկտրաէներգիայի քանակը (կՎտ)</t>
  </si>
  <si>
    <t>էլեկտրական շարժիչով ավտոմեքենայի սպառած միջին ամսական էլեկտրաէներգիայի ծախսը (հազ դրամ)</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</si>
  <si>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t>
  </si>
  <si>
    <t xml:space="preserve">ՀԱՅՏ՝ Նոր ավտոմեքենայի հատկացման </t>
  </si>
  <si>
    <t>ՀԱՅՏ՝ Նոր ավտոմեքենայի ձեռքբերման</t>
  </si>
  <si>
    <t>ավտոբուս</t>
  </si>
  <si>
    <t>(Մարմնի անվանումը)</t>
  </si>
  <si>
    <t xml:space="preserve">Տրանսպորտային միջոցի միջին տարեկան ծախսի հաշվարկը </t>
  </si>
  <si>
    <t>Տրանսպորտային միջոցի վառելանյութի միջին ամսական ծախսի հաշվարկը (նախորդ 12 ամիսների միջին ամսական)</t>
  </si>
  <si>
    <t>տրամադրել փոխհատուցում՝ համաձայն Որոշման 4-րդ կետի (առավելագույնը մեկ ավտոմեքենայի պահպանման ծախսի չափով)</t>
  </si>
  <si>
    <t>*այլ (նկարագրել աղյուսակի ներքևում)</t>
  </si>
  <si>
    <t>*</t>
  </si>
  <si>
    <t>վառելիքի փաստացի ծախսը 100 կմ-ի հաշվով</t>
  </si>
  <si>
    <t xml:space="preserve">շարժիչի ծավալը
 (ընտրել ցանկից) </t>
  </si>
  <si>
    <t>Անվադողերի ձեռքբերման միջին տարեկան ծախսը 
(հազար դրամ)</t>
  </si>
  <si>
    <t>Մարտկոցների ձեռքբերման միջին տարեկան ծախսը 
(հազար դրամ)</t>
  </si>
  <si>
    <t>Վառելիքի միջին տարեկան ծախսը 
(հազար դրամ)</t>
  </si>
  <si>
    <t xml:space="preserve">շարժիչի ծավալը (ընտրել ցանկից) </t>
  </si>
  <si>
    <t>2,3-ից մինչև 3,5</t>
  </si>
  <si>
    <t>3,6-ից մինչև 6,0</t>
  </si>
  <si>
    <t xml:space="preserve">վառելիքի ծախսը 100 կմ-ի հաշվով` ըստ տեխնիկական անձնագրի </t>
  </si>
  <si>
    <t>մինչև 2000</t>
  </si>
  <si>
    <t>Մարմնի հաշվեկշռում հաշվառված ավտոմեքենայի՝</t>
  </si>
  <si>
    <t>մակնիշը</t>
  </si>
  <si>
    <t>միջին օրական վազքը (կմ)</t>
  </si>
  <si>
    <t>վառելիքի միջին գինը 
(դրամ)</t>
  </si>
  <si>
    <t>Ղեկավարին սպասարկող ծառայողական ավտոմեքենաները</t>
  </si>
  <si>
    <t>Մարմնին սպասարկող ավտոմեքենաներ, այդ թվում՝ ըստ ստորաբաժանումների</t>
  </si>
  <si>
    <r>
      <t>ֆունկցիոնալ նշանակությունը</t>
    </r>
    <r>
      <rPr>
        <b/>
        <vertAlign val="superscript"/>
        <sz val="10"/>
        <rFont val="GHEA Grapalat"/>
        <family val="3"/>
      </rPr>
      <t xml:space="preserve"> 3</t>
    </r>
  </si>
  <si>
    <r>
      <t>Ընդամենը ավտոմեքենաների սահմանաքանակը՝</t>
    </r>
    <r>
      <rPr>
        <b/>
        <vertAlign val="superscript"/>
        <sz val="10"/>
        <rFont val="GHEA Grapalat"/>
        <family val="3"/>
      </rPr>
      <t xml:space="preserve"> 2</t>
    </r>
    <r>
      <rPr>
        <b/>
        <sz val="10"/>
        <rFont val="GHEA Grapalat"/>
        <family val="3"/>
      </rPr>
      <t xml:space="preserve"> </t>
    </r>
  </si>
  <si>
    <t>Սպասարկող՝ գործառնական և հատուկ նշանակության (առանց գունանշման՝ օպերատիվ աշխատանքների համար)</t>
  </si>
  <si>
    <t>Լրացնել ընդամենը ավտոմեքենաների սահմանաքանակը, որոնց համար ՀՀ 2024 թվականի պետական բյուջեով պահպանման ծախսեր են հատկացվել:
Նոր սահմանված Կարգի համաձայն՝ ղեկավարին սպասարկող և մարմնին սպասարկող տարբերանշանով ավտոմեքենաների քանակը որոշվում է Կարգի 17-րդ կետին համապատասխան, իսկ գործառնական և հատուկ նշանակության ավտոմեքենաների սահամանաքանկը հաստատվելու է ՀՀ կառավարության որոշմամբ՝ Կարգին համապատասխան ներկայացված հայտերի հիման վրա:</t>
  </si>
  <si>
    <t xml:space="preserve">   </t>
  </si>
  <si>
    <t xml:space="preserve">  Կետ 4. Ծառայողական ավտոմեքենաներ են՝</t>
  </si>
  <si>
    <r>
      <t xml:space="preserve">ա) մարմնի </t>
    </r>
    <r>
      <rPr>
        <b/>
        <sz val="12"/>
        <color rgb="FF000000"/>
        <rFont val="GHEA Grapalat"/>
        <family val="3"/>
      </rPr>
      <t xml:space="preserve">ղեկավարի պաշտոն զբաղեցնող անձանց սպասարկելու </t>
    </r>
    <r>
      <rPr>
        <sz val="12"/>
        <color rgb="FF000000"/>
        <rFont val="GHEA Grapalat"/>
        <family val="3"/>
      </rPr>
      <t>նպատակով նախատեսված ավտոմեքենաները,</t>
    </r>
  </si>
  <si>
    <r>
      <t xml:space="preserve">բ) մարմնի </t>
    </r>
    <r>
      <rPr>
        <b/>
        <sz val="12"/>
        <color rgb="FF000000"/>
        <rFont val="GHEA Grapalat"/>
        <family val="3"/>
      </rPr>
      <t>անձնակազմի սպասարկման համար</t>
    </r>
    <r>
      <rPr>
        <sz val="12"/>
        <color rgb="FF000000"/>
        <rFont val="GHEA Grapalat"/>
        <family val="3"/>
      </rPr>
      <t xml:space="preserve"> նախատեսված ավտոմեքենաները:</t>
    </r>
  </si>
  <si>
    <t>1) տարբերանշանով սպասարկման ավտոմեքենաները.</t>
  </si>
  <si>
    <t>2) գործառնական և հատուկ նշանակության սպասարկման ավտոմեքենաները։</t>
  </si>
  <si>
    <r>
      <t xml:space="preserve">   Կետ 6. Անձնակազմի սպասարկման համար նախատեսված </t>
    </r>
    <r>
      <rPr>
        <b/>
        <sz val="12"/>
        <color rgb="FF000000"/>
        <rFont val="GHEA Grapalat"/>
        <family val="3"/>
      </rPr>
      <t>տարբերանշանով</t>
    </r>
    <r>
      <rPr>
        <sz val="12"/>
        <color rgb="FF000000"/>
        <rFont val="GHEA Grapalat"/>
        <family val="3"/>
      </rPr>
      <t xml:space="preserve"> ավտոմեքենաներ են համարվում այն ավտոմեքենաները, որոնց </t>
    </r>
    <r>
      <rPr>
        <b/>
        <sz val="12"/>
        <color rgb="FF000000"/>
        <rFont val="GHEA Grapalat"/>
        <family val="3"/>
      </rPr>
      <t>դիմապակուն փակցված է գերատեսչության տարբերանշանը և անվանումը</t>
    </r>
    <r>
      <rPr>
        <sz val="12"/>
        <color rgb="FF000000"/>
        <rFont val="GHEA Grapalat"/>
        <family val="3"/>
      </rPr>
      <t>։</t>
    </r>
  </si>
  <si>
    <r>
      <t xml:space="preserve">   Կետ 7. Պետական մարմիններին սպասարկող </t>
    </r>
    <r>
      <rPr>
        <b/>
        <sz val="12"/>
        <color rgb="FF000000"/>
        <rFont val="GHEA Grapalat"/>
        <family val="3"/>
      </rPr>
      <t xml:space="preserve">գործառնական և հատուկ նշանակության </t>
    </r>
    <r>
      <rPr>
        <sz val="12"/>
        <color rgb="FF000000"/>
        <rFont val="GHEA Grapalat"/>
        <family val="3"/>
      </rPr>
      <t xml:space="preserve">ավտոմեքենաներ են համարվում այն ավտոմեքենաները, որոնք </t>
    </r>
    <r>
      <rPr>
        <b/>
        <sz val="12"/>
        <color rgb="FF000000"/>
        <rFont val="GHEA Grapalat"/>
        <family val="3"/>
      </rPr>
      <t>հագեցված են համապատասխան տեխնիկական միջոցներով և ունեն հատուկ կահավորում</t>
    </r>
    <r>
      <rPr>
        <sz val="12"/>
        <color rgb="FF000000"/>
        <rFont val="GHEA Grapalat"/>
        <family val="3"/>
      </rPr>
      <t>, նշանակված են կոնկրետ խնդիրների լուծման համար, ինչպես նաև Հայաստանի Հանրապետության նախկին նախագահներին կամ սահմանադրական բարեփոխումներից հետո նախկին վարչապետներին և դեսպանատներին հատկացված ավտոմեքենաները։ Վերջիններս</t>
    </r>
    <r>
      <rPr>
        <b/>
        <sz val="12"/>
        <color rgb="FF000000"/>
        <rFont val="GHEA Grapalat"/>
        <family val="3"/>
      </rPr>
      <t xml:space="preserve"> ունեն հատուկ գունանշում՝ բացառությամբ օպերատիվ աշխատանքների համար նախատեսված ավտոմեքենաների</t>
    </r>
    <r>
      <rPr>
        <sz val="12"/>
        <color rgb="FF000000"/>
        <rFont val="GHEA Grapalat"/>
        <family val="3"/>
      </rPr>
      <t>։</t>
    </r>
  </si>
  <si>
    <t xml:space="preserve">   Կետ 15. Մեկական ծառայողական ավտոմեքենաները հատկացվում են հետևյալ պաշտոնատար անձանց՝</t>
  </si>
  <si>
    <t>1) Հայաստանի Հանրապետության փոխվարչապետներ.</t>
  </si>
  <si>
    <t>2) Հայաստանի Հանրապետության վարչապետի աշխատակազմի ղեկավար.</t>
  </si>
  <si>
    <t>3) Հայաստանի Հանրապետության նախարարներ.</t>
  </si>
  <si>
    <t>4) Հայաստանի Հանրապետության մարզպետներ.</t>
  </si>
  <si>
    <t>5) Հայաստանի Հանրապետության կառավարության և վարչապետին ենթակա մարմինների ղեկավարներ.</t>
  </si>
  <si>
    <t>6) Հայաստանի Հանրապետության նախարարություններին ենթակա մարմինների ղեկավարներ.</t>
  </si>
  <si>
    <t>7) Հայաստանի Հանրապետության անվտանգության խորհրդի քարտուղար։</t>
  </si>
  <si>
    <t xml:space="preserve">   Կետ 17. Անձնակազմի սպասարկման համար նախատեսված տարբերանշանով ավտոմեքենաները հատկացվում են Կարգի 15-րդ կետով նախատեսված մարմիններին՝ մինչև 100 փաստացի աշխատողին մեկ ավտոմեքենա, իսկ 100-ից ավել աշխատողների դեպքում՝ յուրաքանչյուր 100 փաստացի աշխատողին մեկ ավտոմեքենա սկզբունքով։ Ընդ որում, Հայաստանի Հանրապետության վարչապետի աշխատակազմի, Հայաստանի Հանրապետության նախարարությունների, Հայաստանի Հանրապետության կառավարությանը ենթակա մարմինների, Հայաստանի Հանրապետության վարչապետին ենթակա մարմինների դեպքում՝ հաշվարկվում է 100 փաստացի աշխատողին մեկ ավտոմեքենա ավելացված մարմնի ղեկավարի տեղակալների թվով սկզբունքով։</t>
  </si>
  <si>
    <t xml:space="preserve">    </t>
  </si>
  <si>
    <t xml:space="preserve">    Կետ 21. Անձնակազմի սպասարկման համար նախատեսված տարբերանշանով ավտոմեքենաները՝</t>
  </si>
  <si>
    <t>1) կարող են օգտագործվել, այդ թվում՝ որպես հերթապահ ավտոմեքենա, ինչպես պետական մարմնի աշխատակիցներին սպասարկելու, այնպես էլ պետական մարմնի մեկ կամ մի քանի ստորաբաժանումների գործառույթներն ապահովելու համար.</t>
  </si>
  <si>
    <t>2) չեն կարող հատկացվել պաշտոնատար անձանց, որպես ծառայողական ավտոմեքենա։</t>
  </si>
  <si>
    <t xml:space="preserve">   Կետ 5. Պետական մարմիններին սպասարկող ավտոմեքենաներ կարող են լինել՝</t>
  </si>
  <si>
    <t>Տրանսպորտային նյութերի ձեռքբերման ծախսերը նախատեսվում են բյուջետային ծախսերի տնտեսագիտական դասակարգման 4264-Տրանսպորտային նյութեր հոդվածով</t>
  </si>
  <si>
    <t>Հաշվարկման բանաձևն արդեն իսկ տեղադրված է, բացասական նշանով արտացոլվում է մինչև 13 տարով սպառված ժամկետի տարիների քանակը</t>
  </si>
  <si>
    <t>Տրանսպորտային միջոցների ընթացիկ պահպանման և նորոգման ծառայությունների ձեռքբերման ծախսերը նախատեսվում են բյուջետային ծախսերի տնտեսագիտական դասակարգման 4252-Մեքենաների և սարքավորումների ընթացիկ նորոգում և պահպանում հոդվածով</t>
  </si>
  <si>
    <t>Տրանսպորտային միջոցների տեխնիկական զննության և բնապահպանական վճարների հետ կապված ծախսերը նախատեսվում են 4823-Պարտադիր վճարներ հոդվածով</t>
  </si>
  <si>
    <t>արտադրության տարեթիվը
(ընտրել ցանկից)</t>
  </si>
  <si>
    <t>այլ ավտոմեքենա հատկացնելու առաջարկության հիմնավորումը՝ համաձայն ՀՀ  կառավարության 28.09.2023թ. N 1666-Ն որոշման Կարգի 8-րդ կետի պահանջների
 (լրացնել Կարգի 8-րդ կետի հիմքով նոր մեքենա հատկացնելու պահանջի դեպքում)
(ընտրել ցանկից)</t>
  </si>
  <si>
    <t>Հատուկ տեխնիկական միջոցներով կահավորանքի պահանջ
(ընտրել ցանկից)</t>
  </si>
  <si>
    <r>
      <t xml:space="preserve">թափքի տեսակը </t>
    </r>
    <r>
      <rPr>
        <vertAlign val="superscript"/>
        <sz val="9"/>
        <rFont val="GHEA Grapalat"/>
        <family val="3"/>
      </rPr>
      <t>4</t>
    </r>
    <r>
      <rPr>
        <sz val="9"/>
        <rFont val="GHEA Grapalat"/>
        <family val="3"/>
      </rPr>
      <t xml:space="preserve">
(ընտրել ցանկից) </t>
    </r>
  </si>
  <si>
    <r>
      <t xml:space="preserve">օգտակար ծառայության մնացորդային ժամկետը </t>
    </r>
    <r>
      <rPr>
        <vertAlign val="superscript"/>
        <sz val="9"/>
        <rFont val="GHEA Grapalat"/>
        <family val="3"/>
      </rPr>
      <t>5</t>
    </r>
    <r>
      <rPr>
        <sz val="9"/>
        <rFont val="GHEA Grapalat"/>
        <family val="3"/>
      </rPr>
      <t xml:space="preserve"> (տարի) </t>
    </r>
  </si>
  <si>
    <r>
      <t xml:space="preserve">Տրանսպորտային այլ նյութերի (քսայուղերի) ու պահեստամասերի ձեռքբերման միջին տարեկան ծախսը </t>
    </r>
    <r>
      <rPr>
        <vertAlign val="superscript"/>
        <sz val="9"/>
        <rFont val="GHEA Grapalat"/>
        <family val="3"/>
      </rPr>
      <t>6</t>
    </r>
    <r>
      <rPr>
        <sz val="9"/>
        <rFont val="GHEA Grapalat"/>
        <family val="3"/>
      </rPr>
      <t xml:space="preserve"> 
(հազար դրամ)</t>
    </r>
  </si>
  <si>
    <r>
      <t xml:space="preserve">Ընդամենը տրանսպորտային նյութերի </t>
    </r>
    <r>
      <rPr>
        <vertAlign val="superscript"/>
        <sz val="9"/>
        <rFont val="GHEA Grapalat"/>
        <family val="3"/>
      </rPr>
      <t>6</t>
    </r>
    <r>
      <rPr>
        <sz val="9"/>
        <rFont val="GHEA Grapalat"/>
        <family val="3"/>
      </rPr>
      <t xml:space="preserve"> ձեռքբերման միջին տարեկան ծախսը
(հազար դրամ)</t>
    </r>
  </si>
  <si>
    <r>
      <t>Ընթացիկ նորոգման ծառայությունների ձեռքբերման միջին տարեկան ծախսը</t>
    </r>
    <r>
      <rPr>
        <vertAlign val="superscript"/>
        <sz val="9"/>
        <rFont val="GHEA Grapalat"/>
        <family val="3"/>
      </rPr>
      <t xml:space="preserve"> 7</t>
    </r>
    <r>
      <rPr>
        <sz val="9"/>
        <rFont val="GHEA Grapalat"/>
        <family val="3"/>
      </rPr>
      <t xml:space="preserve">
(հազար դրամ)</t>
    </r>
  </si>
  <si>
    <r>
      <t xml:space="preserve">Ընդամենը տեխզննության և բնապահպանական վճարներ </t>
    </r>
    <r>
      <rPr>
        <vertAlign val="superscript"/>
        <sz val="9"/>
        <rFont val="GHEA Grapalat"/>
        <family val="3"/>
      </rPr>
      <t xml:space="preserve">8
</t>
    </r>
    <r>
      <rPr>
        <sz val="9"/>
        <rFont val="GHEA Grapalat"/>
        <family val="3"/>
      </rPr>
      <t>(հազար դրամ)</t>
    </r>
  </si>
  <si>
    <r>
      <t>Առաջարկություն՝ ավտոմեքենայի հետագա շահագործման, նոր ավտոմեքենա հատկացնելու</t>
    </r>
    <r>
      <rPr>
        <vertAlign val="superscript"/>
        <sz val="9"/>
        <rFont val="GHEA Grapalat"/>
        <family val="3"/>
      </rPr>
      <t xml:space="preserve"> 9</t>
    </r>
    <r>
      <rPr>
        <sz val="9"/>
        <rFont val="GHEA Grapalat"/>
        <family val="3"/>
      </rPr>
      <t xml:space="preserve"> և փոխհատուցում տրամադրելու վերաբերյալ
(ընտրել ցանկից)</t>
    </r>
  </si>
  <si>
    <t xml:space="preserve">   Կետ 8. Պետական մարմիններին ծառայողական ավտոմեքենաներ հատկացվում են՝</t>
  </si>
  <si>
    <t xml:space="preserve">Թափքի տեսակը անհրաժեշտ է լրացնել օգտվելով ցանկից՝ ըստ տրանսպորտային միջոցի տեխնիկական անձնագրի: </t>
  </si>
  <si>
    <t xml:space="preserve"> Նոր ավտոմեքենայի հատկացման (կամ ձեռքբերման) անհրաժեշտության հիմնավորումը, այդ թվում՝  գործառնական և հատուկ նշանակության ավտոմեքենայի հատկացման անհրաժեշտությունը, գործառույթի բնութագիրը և իրավական հիմքը</t>
  </si>
  <si>
    <t>ՀՀ  կառավարության 28.09.2023թ. N 1666-Ն որոշման հաստատված Կարգի կետերը, որոնց հղում է կատարվում՝</t>
  </si>
  <si>
    <t>Այլ ավտոմեքենա հատկացնելու առաջարկության հիմնավորումը՝ համաձայն ՀՀ  կառավարության 28.09.2023թ. N 1666-Ն որոշման Կարգի 8-րդ կետի պահանջների: Լրացնել նախորդ սյունակում Կարգի 8-րդ կետի հիմքով նոր ավտոմեքենա հատկացնելու պահանջի դեպքում՝ օգտվելով ցանկից, Կարգի Կետ 8</t>
  </si>
  <si>
    <t>Առաջարկություն՝ ավտոմեքենայի հետագա շահագործման, նոր ավտոմեքենա հատկացնելու և փոխհատուցում տրամադրելու վերաբերյալ: Լրացնել՝ օգտվելով ցանկից:</t>
  </si>
  <si>
    <t>Ավտոմեքենայի ֆունկցիոնալ նշանակությունը լրացնել օգտվելով ցանկից, համաձայն Կարգի՝
1. Ղեկավարին սպասարկող ծառայողական,
2. Մարմնին սպասարկող՝ տարբերանշանով (դիմապակուն փակցված է գերատեսչության տարբերանշանը և անվանումը, Կարգի կետ 6)
3. Մարմնին սպասարկող գործառնական և հատուկ նշանակության (հագեցված են համապատասխան տեխնիկական միջոցներով և ունեն հատուկ կահավորում, ունեն հատուկ գունանշում, Կարգի կետ 7)
4. Մարմնին սպասարկող գործառնական և հատուկ նշանակության՝ առանց գունանշման (չունեն հատուկ գունանշում՝ նախատեսված են օպերատիվ աշխատանքների համար, Կարգի կետ 7-ի բացառություն)</t>
  </si>
  <si>
    <t>… տողերն ավելացնել ըստ անհրաժեշտության</t>
  </si>
  <si>
    <t>աղյուսակի գունավորված սյուների վանդակներում  համապատասխան բանաձևերը տեղադրված են, այլ տվյալներ լրացնել պետք չէ</t>
  </si>
  <si>
    <t xml:space="preserve">   Կետ 19. Պետական մարմիններին սպասարկող գործառնական և հատուկ նշանակության ավտոմեքենաները հատկացվում են Հայաստանի Հանրապետության կառավարության որոշմամբ, նրանց կողմից համապատասխան հիմնավորմամբ ներկայացված առաջարկի հիման վրա։</t>
  </si>
  <si>
    <r>
      <t xml:space="preserve">Հ Ա Յ Տ  </t>
    </r>
    <r>
      <rPr>
        <b/>
        <vertAlign val="superscript"/>
        <sz val="12"/>
        <rFont val="GHEA Grapalat"/>
        <family val="3"/>
      </rPr>
      <t>1</t>
    </r>
  </si>
  <si>
    <t xml:space="preserve">ԳՈՐԾԱՌՆԱԿԱՆ ԵՎ ՀԱՏՈՒԿ ՆՇԱՆԱԿՈՒԹՅԱՆ ԱՎՏՈՄԵՔԵՆԱՆԵՐԻ ՀԱՏԿԱՑՄԱՆ </t>
  </si>
  <si>
    <t>Հայտը լրացնելիս անհրաժեշտ է առաջնորդվել ՀՀ  կառավարության 28.09.2023թ. N 1666-Ն որոշման հաստատված կարգավորումներով և սահմանումներով:</t>
  </si>
  <si>
    <t xml:space="preserve">  </t>
  </si>
  <si>
    <t xml:space="preserve">Հայտով ներկայացվում է տեղեկատվություն՝ ՀՀ հանրային իշխանության մարմինների հաշվեկշռում հաշվառված ծառայողական և սպասարկող ավտոմեքենաների, դրանց ընթացիկ պահպանման ծախսերի, ինչպես նաև նոր ավտոմեքենա ձեռք բերելու կամ հատկացնելու պահանջի վերաբերյալ </t>
  </si>
  <si>
    <t>Կադաստրի կոմիտե</t>
  </si>
  <si>
    <t>Skoda Super B 3.6 4WD</t>
  </si>
  <si>
    <t>KIA / OPTIMA 2.0</t>
  </si>
  <si>
    <t>KIA / CERATO 1.6</t>
  </si>
  <si>
    <t xml:space="preserve">KIA / SORENTO 3.3 </t>
  </si>
  <si>
    <t>KIA / RIO 1.4</t>
  </si>
  <si>
    <t>VOLKSWAGEN / PASSAT 2.0</t>
  </si>
  <si>
    <t>VAZ / 21214-147-20</t>
  </si>
  <si>
    <t>HYUNDAI / TUCSON 2.0</t>
  </si>
  <si>
    <t>RENAULT / DOKKER 1.6</t>
  </si>
  <si>
    <t>Կադաստրի կոմիտեի ղեկավար</t>
  </si>
  <si>
    <t>Ղեկավարի տեղակալ</t>
  </si>
  <si>
    <t>Գրանցման վարչություն</t>
  </si>
  <si>
    <t>Տեղեկատվական տեխնոլոգիաների կենտրոն</t>
  </si>
  <si>
    <t>Գնումների կազմակերպման բաժին</t>
  </si>
  <si>
    <t>Անշարժ գույքի գրանցման միասնական ստորաբաժանում</t>
  </si>
  <si>
    <t>Սպասարկման գրասենյակների համակարգման վարչություն</t>
  </si>
  <si>
    <t>Սյունիքի մարզային ստորաբաժանում</t>
  </si>
  <si>
    <t>Շիրակի մարզային ստորաբաժանում</t>
  </si>
  <si>
    <t>Տնտեսական մաս</t>
  </si>
  <si>
    <t>Գեոդեզիայի և հողաշինարարության վարչություն</t>
  </si>
  <si>
    <t>Ֆինանսատնտեսագիտական վարչություն</t>
  </si>
  <si>
    <t>Ներքին վերահսկողության վարչություն</t>
  </si>
  <si>
    <t>Հերթապահ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</si>
</sst>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 &quot;-&quot;??_);_(@_)"/>
    <numFmt numFmtId="165" formatCode="0.0"/>
    <numFmt numFmtId="166" formatCode="0_);[Red]\(0\)"/>
    <numFmt numFmtId="167" formatCode="_(* #,##0.0_);_(* \(#,##0.0\);_(* &quot;-&quot;??_);_(@_)"/>
  </numFmts>
  <fonts count="27" x14ac:knownFonts="1">
    <font>
      <sz val="14"/>
      <color theme="1"/>
      <name val="GHEA Grapalat"/>
      <family val="2"/>
    </font>
    <font>
      <sz val="14"/>
      <color theme="1"/>
      <name val="GHEA Grapalat"/>
      <family val="2"/>
    </font>
    <font>
      <i/>
      <u/>
      <sz val="11"/>
      <name val="GHEA Grapalat"/>
      <family val="3"/>
    </font>
    <font>
      <b/>
      <sz val="10"/>
      <name val="GHEA Grapalat"/>
      <family val="3"/>
    </font>
    <font>
      <sz val="10"/>
      <name val="GHEA Grapalat"/>
      <family val="3"/>
    </font>
    <font>
      <sz val="9"/>
      <name val="GHEA Grapalat"/>
      <family val="3"/>
    </font>
    <font>
      <b/>
      <sz val="12"/>
      <color rgb="FFFF0000"/>
      <name val="GHEA Grapalat"/>
      <family val="3"/>
    </font>
    <font>
      <b/>
      <sz val="9"/>
      <name val="GHEA Grapalat"/>
      <family val="3"/>
    </font>
    <font>
      <b/>
      <i/>
      <sz val="10"/>
      <name val="GHEA Grapalat"/>
      <family val="3"/>
    </font>
    <font>
      <i/>
      <sz val="9"/>
      <name val="GHEA Grapalat"/>
      <family val="3"/>
    </font>
    <font>
      <sz val="12"/>
      <name val="GHEA Grapalat"/>
      <family val="3"/>
    </font>
    <font>
      <b/>
      <sz val="12"/>
      <name val="GHEA Grapalat"/>
      <family val="3"/>
    </font>
    <font>
      <sz val="11"/>
      <color rgb="FF000000"/>
      <name val="Arial Unicode"/>
      <family val="2"/>
    </font>
    <font>
      <sz val="9"/>
      <color rgb="FFFF0000"/>
      <name val="GHEA Grapalat"/>
      <family val="3"/>
    </font>
    <font>
      <i/>
      <sz val="11"/>
      <color theme="1"/>
      <name val="GHEA Grapalat"/>
      <family val="3"/>
    </font>
    <font>
      <sz val="10"/>
      <color theme="0"/>
      <name val="GHEA Grapalat"/>
      <family val="3"/>
    </font>
    <font>
      <b/>
      <vertAlign val="superscript"/>
      <sz val="10"/>
      <name val="GHEA Grapalat"/>
      <family val="3"/>
    </font>
    <font>
      <sz val="12"/>
      <color theme="1"/>
      <name val="GHEA Grapalat"/>
      <family val="2"/>
    </font>
    <font>
      <b/>
      <vertAlign val="superscript"/>
      <sz val="12"/>
      <name val="GHEA Grapalat"/>
      <family val="3"/>
    </font>
    <font>
      <sz val="12"/>
      <color rgb="FF000000"/>
      <name val="GHEA Grapalat"/>
      <family val="3"/>
    </font>
    <font>
      <b/>
      <sz val="12"/>
      <color rgb="FF000000"/>
      <name val="GHEA Grapalat"/>
      <family val="3"/>
    </font>
    <font>
      <vertAlign val="superscript"/>
      <sz val="9"/>
      <name val="GHEA Grapalat"/>
      <family val="3"/>
    </font>
    <font>
      <sz val="12"/>
      <color rgb="FFFF0000"/>
      <name val="GHEA Grapalat"/>
      <family val="2"/>
    </font>
    <font>
      <sz val="16"/>
      <color theme="1"/>
      <name val="GHEA Grapalat"/>
      <family val="2"/>
    </font>
    <font>
      <sz val="10"/>
      <name val="Arial"/>
      <family val="2"/>
      <charset val="204"/>
    </font>
    <font>
      <sz val="10"/>
      <color theme="1"/>
      <name val="GHEA Grapalat"/>
      <family val="2"/>
    </font>
    <font>
      <sz val="10"/>
      <name val="GHEA Grapalat"/>
      <family val="2"/>
    </font>
  </fonts>
  <fills count="8">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bgColor indexed="64"/>
      </patternFill>
    </fill>
  </fills>
  <borders count="1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medium">
        <color indexed="64"/>
      </right>
      <top style="medium">
        <color indexed="64"/>
      </top>
      <bottom/>
      <diagonal/>
    </border>
    <border>
      <left style="thin">
        <color indexed="64"/>
      </left>
      <right/>
      <top/>
      <bottom/>
      <diagonal/>
    </border>
    <border>
      <left/>
      <right style="thin">
        <color indexed="64"/>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0" fontId="24" fillId="0" borderId="0"/>
  </cellStyleXfs>
  <cellXfs count="109">
    <xf numFmtId="0" fontId="0" fillId="0" borderId="0" xfId="0"/>
    <xf numFmtId="0" fontId="0" fillId="0" borderId="0" xfId="0" applyAlignment="1"/>
    <xf numFmtId="0" fontId="10" fillId="0" borderId="11" xfId="0" applyFont="1" applyBorder="1" applyAlignment="1">
      <alignment horizontal="left" wrapText="1"/>
    </xf>
    <xf numFmtId="0" fontId="10" fillId="0" borderId="11" xfId="0" applyFont="1" applyBorder="1" applyAlignment="1">
      <alignment horizontal="left"/>
    </xf>
    <xf numFmtId="0" fontId="10" fillId="0" borderId="11" xfId="0" applyFont="1" applyBorder="1" applyAlignment="1">
      <alignment horizontal="left" vertical="center" wrapText="1"/>
    </xf>
    <xf numFmtId="167" fontId="10" fillId="0" borderId="11" xfId="1" applyNumberFormat="1" applyFont="1" applyBorder="1"/>
    <xf numFmtId="0" fontId="11" fillId="0" borderId="11" xfId="0" applyFont="1" applyBorder="1" applyAlignment="1">
      <alignment horizontal="center" vertical="center" wrapText="1"/>
    </xf>
    <xf numFmtId="0" fontId="12" fillId="0" borderId="0" xfId="0" applyFont="1" applyAlignment="1">
      <alignment horizontal="left" vertical="center"/>
    </xf>
    <xf numFmtId="0" fontId="10" fillId="0" borderId="0" xfId="0" applyFont="1" applyBorder="1" applyAlignment="1">
      <alignment horizontal="left"/>
    </xf>
    <xf numFmtId="167" fontId="10" fillId="0" borderId="0" xfId="1" applyNumberFormat="1" applyFont="1" applyBorder="1"/>
    <xf numFmtId="0" fontId="10" fillId="0" borderId="0" xfId="0" applyFont="1" applyBorder="1" applyAlignment="1">
      <alignment horizontal="left" vertical="center" wrapText="1"/>
    </xf>
    <xf numFmtId="0" fontId="12" fillId="0" borderId="0" xfId="0" applyFont="1" applyAlignment="1">
      <alignment horizontal="left" vertical="center" wrapText="1"/>
    </xf>
    <xf numFmtId="0" fontId="10" fillId="0" borderId="15" xfId="0" applyFont="1" applyFill="1" applyBorder="1" applyAlignment="1">
      <alignment horizontal="left" wrapText="1"/>
    </xf>
    <xf numFmtId="0" fontId="4" fillId="4" borderId="11" xfId="0" applyFont="1" applyFill="1" applyBorder="1" applyAlignment="1" applyProtection="1">
      <alignment horizontal="center" vertical="center" wrapText="1"/>
    </xf>
    <xf numFmtId="0" fontId="7" fillId="4" borderId="11" xfId="0" applyFont="1" applyFill="1" applyBorder="1" applyAlignment="1" applyProtection="1">
      <alignment horizontal="center" vertical="center"/>
      <protection locked="0"/>
    </xf>
    <xf numFmtId="0" fontId="8" fillId="4" borderId="12" xfId="0" applyFont="1" applyFill="1" applyBorder="1" applyAlignment="1" applyProtection="1">
      <alignment horizontal="left" vertical="center"/>
      <protection locked="0"/>
    </xf>
    <xf numFmtId="0" fontId="4" fillId="4" borderId="11" xfId="0" applyFont="1" applyFill="1" applyBorder="1" applyAlignment="1" applyProtection="1">
      <alignment horizontal="center" vertical="center" wrapText="1"/>
      <protection locked="0"/>
    </xf>
    <xf numFmtId="0" fontId="4" fillId="0" borderId="11" xfId="0" applyFont="1" applyBorder="1" applyAlignment="1" applyProtection="1">
      <alignment horizontal="center" vertical="center"/>
      <protection locked="0"/>
    </xf>
    <xf numFmtId="0" fontId="4" fillId="0" borderId="11" xfId="0" applyFont="1" applyBorder="1" applyAlignment="1" applyProtection="1">
      <alignment horizontal="left" vertical="center"/>
      <protection locked="0"/>
    </xf>
    <xf numFmtId="0" fontId="4" fillId="0" borderId="11" xfId="0" applyFont="1" applyBorder="1" applyAlignment="1" applyProtection="1">
      <alignment horizontal="center" vertical="center" wrapText="1"/>
      <protection locked="0"/>
    </xf>
    <xf numFmtId="166" fontId="4" fillId="0" borderId="11" xfId="0" applyNumberFormat="1"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9" fillId="4" borderId="11" xfId="0" applyFont="1" applyFill="1" applyBorder="1" applyAlignment="1" applyProtection="1">
      <alignment horizontal="center" vertical="center"/>
      <protection locked="0"/>
    </xf>
    <xf numFmtId="0" fontId="5" fillId="0" borderId="0" xfId="0" applyFont="1" applyBorder="1" applyAlignment="1" applyProtection="1">
      <alignment horizontal="center"/>
      <protection locked="0"/>
    </xf>
    <xf numFmtId="0" fontId="4" fillId="0" borderId="0" xfId="0" applyFont="1" applyBorder="1" applyAlignment="1" applyProtection="1">
      <alignment horizontal="left"/>
      <protection locked="0"/>
    </xf>
    <xf numFmtId="0" fontId="4" fillId="0" borderId="0" xfId="0" applyFont="1" applyBorder="1" applyAlignment="1" applyProtection="1">
      <alignment wrapText="1"/>
      <protection locked="0"/>
    </xf>
    <xf numFmtId="0" fontId="4" fillId="0" borderId="0" xfId="0" applyFont="1" applyBorder="1" applyProtection="1">
      <protection locked="0"/>
    </xf>
    <xf numFmtId="0" fontId="4" fillId="0" borderId="0" xfId="0" applyFont="1" applyBorder="1" applyAlignment="1" applyProtection="1">
      <alignment horizontal="center"/>
      <protection locked="0"/>
    </xf>
    <xf numFmtId="0" fontId="0" fillId="0" borderId="0" xfId="0" applyProtection="1">
      <protection locked="0"/>
    </xf>
    <xf numFmtId="0" fontId="14"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4" fillId="4" borderId="11" xfId="0" applyFont="1" applyFill="1" applyBorder="1" applyAlignment="1" applyProtection="1">
      <alignment horizontal="center" vertical="center"/>
      <protection locked="0"/>
    </xf>
    <xf numFmtId="165" fontId="4" fillId="0" borderId="0" xfId="0" applyNumberFormat="1" applyFont="1" applyBorder="1" applyAlignment="1" applyProtection="1">
      <alignment horizontal="center"/>
      <protection locked="0"/>
    </xf>
    <xf numFmtId="165" fontId="4" fillId="0" borderId="0" xfId="0" applyNumberFormat="1" applyFont="1" applyBorder="1" applyAlignment="1" applyProtection="1">
      <alignment horizontal="center" wrapText="1"/>
      <protection locked="0"/>
    </xf>
    <xf numFmtId="0" fontId="0" fillId="0" borderId="0" xfId="0" applyAlignment="1" applyProtection="1">
      <alignment horizontal="left" vertical="top"/>
      <protection locked="0"/>
    </xf>
    <xf numFmtId="0" fontId="0" fillId="0" borderId="0" xfId="0" applyAlignment="1" applyProtection="1">
      <alignment wrapText="1"/>
      <protection locked="0"/>
    </xf>
    <xf numFmtId="0" fontId="11"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Continuous" vertical="center" wrapText="1"/>
      <protection locked="0"/>
    </xf>
    <xf numFmtId="0" fontId="3" fillId="2" borderId="0" xfId="0" applyFont="1" applyFill="1" applyAlignment="1" applyProtection="1">
      <alignment horizontal="centerContinuous" vertic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alignment horizontal="centerContinuous"/>
      <protection locked="0"/>
    </xf>
    <xf numFmtId="0" fontId="3" fillId="2" borderId="0" xfId="0" applyFont="1" applyFill="1" applyAlignment="1" applyProtection="1">
      <alignment horizontal="center" vertical="center" wrapText="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Continuous" wrapText="1"/>
      <protection locked="0"/>
    </xf>
    <xf numFmtId="0" fontId="3" fillId="2" borderId="0" xfId="0" applyFont="1" applyFill="1" applyAlignment="1" applyProtection="1">
      <alignment horizontal="left"/>
      <protection locked="0"/>
    </xf>
    <xf numFmtId="0" fontId="3" fillId="2" borderId="0" xfId="0" applyFont="1" applyFill="1" applyAlignment="1" applyProtection="1">
      <alignment horizontal="left" wrapText="1"/>
      <protection locked="0"/>
    </xf>
    <xf numFmtId="0" fontId="4" fillId="0" borderId="0" xfId="0" applyFont="1" applyProtection="1">
      <protection locked="0"/>
    </xf>
    <xf numFmtId="0" fontId="4" fillId="2" borderId="0" xfId="0" applyFont="1" applyFill="1" applyProtection="1">
      <protection locked="0"/>
    </xf>
    <xf numFmtId="0" fontId="0" fillId="0" borderId="0" xfId="0" applyAlignment="1" applyProtection="1">
      <alignment horizontal="left"/>
      <protection locked="0"/>
    </xf>
    <xf numFmtId="0" fontId="5" fillId="0" borderId="9" xfId="0" applyFont="1" applyFill="1" applyBorder="1" applyAlignment="1" applyProtection="1">
      <alignment horizontal="center" wrapText="1"/>
    </xf>
    <xf numFmtId="0" fontId="11" fillId="2" borderId="0" xfId="0" applyFont="1" applyFill="1" applyAlignment="1" applyProtection="1">
      <alignment horizontal="left" vertical="center"/>
    </xf>
    <xf numFmtId="0" fontId="2" fillId="2" borderId="0" xfId="0" applyFont="1" applyFill="1" applyAlignment="1" applyProtection="1">
      <alignment horizontal="left" vertical="center"/>
    </xf>
    <xf numFmtId="0" fontId="3" fillId="2" borderId="0" xfId="0" applyFont="1" applyFill="1" applyAlignment="1" applyProtection="1">
      <alignment horizontal="left"/>
    </xf>
    <xf numFmtId="0" fontId="4" fillId="2" borderId="2" xfId="0" applyFont="1" applyFill="1" applyBorder="1" applyAlignment="1" applyProtection="1">
      <alignment wrapText="1"/>
    </xf>
    <xf numFmtId="0" fontId="4" fillId="2" borderId="3" xfId="0" applyFont="1" applyFill="1" applyBorder="1" applyAlignment="1" applyProtection="1">
      <alignment horizontal="left"/>
    </xf>
    <xf numFmtId="0" fontId="4" fillId="2" borderId="16" xfId="0" applyFont="1" applyFill="1" applyBorder="1" applyAlignment="1" applyProtection="1">
      <alignment horizontal="center" wrapText="1"/>
    </xf>
    <xf numFmtId="0" fontId="4" fillId="2" borderId="2" xfId="0" applyFont="1" applyFill="1" applyBorder="1" applyAlignment="1" applyProtection="1">
      <alignment horizontal="center" wrapText="1"/>
    </xf>
    <xf numFmtId="0" fontId="4" fillId="4" borderId="1" xfId="0" applyFont="1" applyFill="1" applyBorder="1" applyAlignment="1" applyProtection="1">
      <alignment horizontal="centerContinuous"/>
    </xf>
    <xf numFmtId="0" fontId="3" fillId="0" borderId="7" xfId="0" applyFont="1" applyFill="1" applyBorder="1" applyAlignment="1" applyProtection="1">
      <alignment horizontal="center" wrapText="1"/>
    </xf>
    <xf numFmtId="0" fontId="5" fillId="0" borderId="7" xfId="0" applyFont="1" applyFill="1" applyBorder="1" applyAlignment="1" applyProtection="1">
      <alignment horizontal="center" wrapText="1"/>
    </xf>
    <xf numFmtId="0" fontId="5" fillId="0" borderId="8" xfId="0" applyFont="1" applyFill="1" applyBorder="1" applyAlignment="1" applyProtection="1">
      <alignment horizontal="center" wrapText="1"/>
    </xf>
    <xf numFmtId="0" fontId="5" fillId="0" borderId="10" xfId="0" applyFont="1" applyFill="1" applyBorder="1" applyAlignment="1" applyProtection="1">
      <alignment horizontal="center" wrapText="1"/>
    </xf>
    <xf numFmtId="0" fontId="5" fillId="4" borderId="7" xfId="0" applyFont="1" applyFill="1" applyBorder="1" applyAlignment="1" applyProtection="1">
      <alignment horizontal="center" wrapText="1"/>
    </xf>
    <xf numFmtId="164" fontId="4" fillId="0" borderId="11" xfId="1" applyFont="1" applyBorder="1" applyAlignment="1" applyProtection="1">
      <alignment horizontal="center" vertical="center"/>
      <protection locked="0"/>
    </xf>
    <xf numFmtId="2" fontId="4" fillId="0" borderId="11" xfId="0" applyNumberFormat="1" applyFont="1" applyBorder="1" applyAlignment="1" applyProtection="1">
      <alignment horizontal="center" vertical="center"/>
      <protection locked="0"/>
    </xf>
    <xf numFmtId="2" fontId="4" fillId="4" borderId="11" xfId="0" applyNumberFormat="1" applyFont="1" applyFill="1" applyBorder="1" applyAlignment="1" applyProtection="1">
      <alignment horizontal="center" vertical="center"/>
      <protection locked="0"/>
    </xf>
    <xf numFmtId="2" fontId="4" fillId="0" borderId="11" xfId="0" applyNumberFormat="1" applyFont="1" applyBorder="1" applyAlignment="1" applyProtection="1">
      <alignment horizontal="center" vertical="center" wrapText="1"/>
      <protection locked="0"/>
    </xf>
    <xf numFmtId="0" fontId="17" fillId="0" borderId="0" xfId="0" applyFont="1"/>
    <xf numFmtId="0" fontId="17" fillId="0" borderId="0" xfId="0" applyFont="1" applyAlignment="1">
      <alignment horizontal="center" vertical="center"/>
    </xf>
    <xf numFmtId="0" fontId="17" fillId="0" borderId="0" xfId="0" applyFont="1" applyAlignment="1">
      <alignment wrapText="1"/>
    </xf>
    <xf numFmtId="0" fontId="19" fillId="0" borderId="0" xfId="0" applyFont="1" applyAlignment="1">
      <alignment horizontal="left" wrapText="1"/>
    </xf>
    <xf numFmtId="164" fontId="4" fillId="3" borderId="11" xfId="1" applyFont="1" applyFill="1" applyBorder="1" applyAlignment="1" applyProtection="1">
      <alignment horizontal="center" vertical="center"/>
    </xf>
    <xf numFmtId="0" fontId="19" fillId="0" borderId="0" xfId="0" applyFont="1" applyAlignment="1">
      <alignment horizontal="justify"/>
    </xf>
    <xf numFmtId="0" fontId="9" fillId="0" borderId="11" xfId="0" applyFont="1" applyBorder="1" applyAlignment="1" applyProtection="1">
      <alignment horizontal="left" vertical="center"/>
      <protection locked="0"/>
    </xf>
    <xf numFmtId="0" fontId="3" fillId="0" borderId="0" xfId="0" applyFont="1" applyFill="1" applyBorder="1" applyAlignment="1" applyProtection="1">
      <alignment horizontal="center" wrapText="1"/>
      <protection locked="0"/>
    </xf>
    <xf numFmtId="0" fontId="3" fillId="0" borderId="0" xfId="0" applyFont="1" applyFill="1" applyBorder="1" applyAlignment="1" applyProtection="1">
      <alignment horizontal="left" wrapText="1"/>
      <protection locked="0"/>
    </xf>
    <xf numFmtId="0" fontId="5" fillId="0" borderId="0" xfId="0" applyFont="1" applyFill="1" applyBorder="1" applyAlignment="1" applyProtection="1">
      <alignment horizontal="center" wrapText="1"/>
      <protection locked="0"/>
    </xf>
    <xf numFmtId="0" fontId="5" fillId="0" borderId="14" xfId="0" applyFont="1" applyFill="1" applyBorder="1" applyAlignment="1" applyProtection="1">
      <alignment horizontal="center" wrapText="1"/>
      <protection locked="0"/>
    </xf>
    <xf numFmtId="0" fontId="5" fillId="0" borderId="15" xfId="0" applyFont="1" applyFill="1" applyBorder="1" applyAlignment="1" applyProtection="1">
      <alignment horizontal="center" wrapText="1"/>
      <protection locked="0"/>
    </xf>
    <xf numFmtId="1" fontId="6" fillId="0" borderId="11" xfId="0" applyNumberFormat="1" applyFont="1" applyBorder="1" applyAlignment="1" applyProtection="1">
      <alignment horizontal="center" wrapText="1"/>
      <protection locked="0"/>
    </xf>
    <xf numFmtId="0" fontId="13" fillId="0" borderId="14" xfId="0" applyFont="1" applyFill="1" applyBorder="1" applyAlignment="1" applyProtection="1">
      <alignment horizontal="center" wrapText="1"/>
      <protection locked="0"/>
    </xf>
    <xf numFmtId="0" fontId="5" fillId="0" borderId="17" xfId="0" applyFont="1" applyFill="1" applyBorder="1" applyAlignment="1" applyProtection="1">
      <alignment horizontal="center" wrapText="1"/>
      <protection locked="0"/>
    </xf>
    <xf numFmtId="0" fontId="5" fillId="4" borderId="0" xfId="0" applyFont="1" applyFill="1" applyBorder="1" applyAlignment="1" applyProtection="1">
      <alignment horizontal="center" wrapText="1"/>
      <protection locked="0"/>
    </xf>
    <xf numFmtId="0" fontId="22" fillId="6" borderId="0" xfId="0" applyFont="1" applyFill="1" applyAlignment="1">
      <alignment wrapText="1"/>
    </xf>
    <xf numFmtId="0" fontId="0" fillId="0" borderId="0" xfId="0" applyProtection="1"/>
    <xf numFmtId="0" fontId="5" fillId="3" borderId="9" xfId="0" applyFont="1" applyFill="1" applyBorder="1" applyAlignment="1" applyProtection="1">
      <alignment horizontal="center" wrapText="1"/>
    </xf>
    <xf numFmtId="164" fontId="15" fillId="3" borderId="11" xfId="1" applyFont="1" applyFill="1" applyBorder="1" applyAlignment="1" applyProtection="1">
      <alignment horizontal="center" vertical="center"/>
    </xf>
    <xf numFmtId="164" fontId="4" fillId="3" borderId="13" xfId="1" applyFont="1" applyFill="1" applyBorder="1" applyAlignment="1" applyProtection="1">
      <alignment horizontal="center" vertical="center"/>
    </xf>
    <xf numFmtId="0" fontId="4" fillId="0" borderId="0" xfId="0" applyFont="1" applyBorder="1" applyProtection="1"/>
    <xf numFmtId="0" fontId="17" fillId="5" borderId="0" xfId="0" applyFont="1" applyFill="1" applyAlignment="1">
      <alignment horizontal="center" vertical="center"/>
    </xf>
    <xf numFmtId="0" fontId="17" fillId="5" borderId="0" xfId="0" applyFont="1" applyFill="1" applyAlignment="1">
      <alignment wrapText="1"/>
    </xf>
    <xf numFmtId="166" fontId="4" fillId="3" borderId="11" xfId="0" applyNumberFormat="1" applyFont="1" applyFill="1" applyBorder="1" applyAlignment="1" applyProtection="1">
      <alignment horizontal="center" vertical="center" wrapText="1"/>
      <protection hidden="1"/>
    </xf>
    <xf numFmtId="0" fontId="4" fillId="4" borderId="11" xfId="0" applyFont="1" applyFill="1" applyBorder="1" applyAlignment="1" applyProtection="1">
      <alignment horizontal="center" vertical="center" wrapText="1"/>
      <protection hidden="1"/>
    </xf>
    <xf numFmtId="0" fontId="3" fillId="7" borderId="1" xfId="0" applyFont="1" applyFill="1" applyBorder="1" applyAlignment="1" applyProtection="1">
      <alignment horizontal="centerContinuous"/>
      <protection locked="0"/>
    </xf>
    <xf numFmtId="0" fontId="3" fillId="7" borderId="13" xfId="0" applyFont="1" applyFill="1" applyBorder="1" applyAlignment="1" applyProtection="1">
      <alignment horizontal="left" vertical="center"/>
      <protection locked="0"/>
    </xf>
    <xf numFmtId="0" fontId="23" fillId="0" borderId="0" xfId="0" applyFont="1" applyAlignment="1">
      <alignment vertical="center" wrapText="1"/>
    </xf>
    <xf numFmtId="0" fontId="3" fillId="7" borderId="18" xfId="0" applyFont="1" applyFill="1" applyBorder="1" applyAlignment="1" applyProtection="1">
      <alignment horizontal="centerContinuous" vertical="center" wrapText="1"/>
      <protection locked="0"/>
    </xf>
    <xf numFmtId="0" fontId="4" fillId="0" borderId="12" xfId="0" applyFont="1" applyBorder="1" applyAlignment="1" applyProtection="1">
      <alignment horizontal="left" vertical="center"/>
      <protection locked="0"/>
    </xf>
    <xf numFmtId="0" fontId="4" fillId="0" borderId="11" xfId="0" applyFont="1" applyBorder="1" applyAlignment="1" applyProtection="1">
      <alignment horizontal="left" vertical="center" wrapText="1"/>
      <protection locked="0"/>
    </xf>
    <xf numFmtId="167" fontId="15" fillId="3" borderId="11" xfId="1" applyNumberFormat="1" applyFont="1" applyFill="1" applyBorder="1" applyAlignment="1" applyProtection="1">
      <alignment horizontal="center" vertical="center"/>
    </xf>
    <xf numFmtId="0" fontId="25" fillId="0" borderId="11" xfId="0" applyFont="1" applyBorder="1" applyAlignment="1">
      <alignment wrapText="1"/>
    </xf>
    <xf numFmtId="0" fontId="26" fillId="4" borderId="11" xfId="0" applyFont="1" applyFill="1" applyBorder="1" applyAlignment="1" applyProtection="1">
      <alignment horizontal="center" vertical="center" wrapText="1"/>
      <protection locked="0"/>
    </xf>
    <xf numFmtId="0" fontId="4" fillId="2" borderId="4" xfId="0" applyFont="1" applyFill="1" applyBorder="1" applyAlignment="1" applyProtection="1">
      <alignment horizontal="center" wrapText="1"/>
    </xf>
    <xf numFmtId="0" fontId="4" fillId="2" borderId="5" xfId="0" applyFont="1" applyFill="1" applyBorder="1" applyAlignment="1" applyProtection="1">
      <alignment horizontal="center" wrapText="1"/>
    </xf>
    <xf numFmtId="0" fontId="4" fillId="2" borderId="6" xfId="0" applyFont="1" applyFill="1" applyBorder="1" applyAlignment="1" applyProtection="1">
      <alignment horizontal="center" wrapText="1"/>
    </xf>
    <xf numFmtId="0" fontId="3" fillId="2" borderId="4" xfId="0"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3" fillId="2" borderId="6" xfId="0" applyFont="1" applyFill="1" applyBorder="1" applyAlignment="1" applyProtection="1">
      <alignment horizontal="center" vertical="center"/>
    </xf>
  </cellXfs>
  <cellStyles count="3">
    <cellStyle name="Comma" xfId="1" builtinId="3"/>
    <cellStyle name="Normal" xfId="0" builtinId="0"/>
    <cellStyle name="Normal 2" xfId="2"/>
  </cellStyles>
  <dxfs count="13">
    <dxf>
      <font>
        <color auto="1"/>
      </font>
    </dxf>
    <dxf>
      <font>
        <color auto="1"/>
      </font>
    </dxf>
    <dxf>
      <font>
        <color theme="0"/>
      </font>
    </dxf>
    <dxf>
      <font>
        <color auto="1"/>
      </font>
    </dxf>
    <dxf>
      <font>
        <color auto="1"/>
      </font>
    </dxf>
    <dxf>
      <font>
        <color theme="0"/>
      </font>
    </dxf>
    <dxf>
      <font>
        <color auto="1"/>
      </font>
    </dxf>
    <dxf>
      <font>
        <color auto="1"/>
      </font>
    </dxf>
    <dxf>
      <font>
        <color auto="1"/>
      </font>
    </dxf>
    <dxf>
      <font>
        <color auto="1"/>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44"/>
  <sheetViews>
    <sheetView tabSelected="1" topLeftCell="A8" zoomScale="90" zoomScaleNormal="90" workbookViewId="0">
      <pane xSplit="4" ySplit="6" topLeftCell="E15" activePane="bottomRight" state="frozen"/>
      <selection activeCell="A8" sqref="A8"/>
      <selection pane="topRight" activeCell="E8" sqref="E8"/>
      <selection pane="bottomLeft" activeCell="A14" sqref="A14"/>
      <selection pane="bottomRight" activeCell="B19" sqref="B19"/>
    </sheetView>
  </sheetViews>
  <sheetFormatPr defaultRowHeight="20.25" x14ac:dyDescent="0.35"/>
  <cols>
    <col min="1" max="1" width="8.6640625" style="28" customWidth="1"/>
    <col min="2" max="2" width="23.6640625" style="49" customWidth="1"/>
    <col min="3" max="3" width="8.83203125" style="28" customWidth="1"/>
    <col min="4" max="5" width="8.6640625" style="28"/>
    <col min="6" max="6" width="8.6640625" style="28" customWidth="1"/>
    <col min="7" max="7" width="8.83203125" style="28" customWidth="1"/>
    <col min="8" max="8" width="7.6640625" style="28" customWidth="1"/>
    <col min="9" max="9" width="8.6640625" style="30" customWidth="1"/>
    <col min="10" max="10" width="7.9140625" style="36" customWidth="1"/>
    <col min="11" max="11" width="10.4140625" style="36" customWidth="1"/>
    <col min="12" max="18" width="8.6640625" style="28"/>
    <col min="19" max="20" width="11.5" style="28" customWidth="1"/>
    <col min="21" max="24" width="8.6640625" style="28"/>
    <col min="25" max="25" width="11.6640625" style="28" customWidth="1"/>
    <col min="26" max="26" width="11.08203125" style="28" customWidth="1"/>
    <col min="27" max="28" width="8.6640625" style="28"/>
    <col min="29" max="29" width="10.1640625" style="28" customWidth="1"/>
    <col min="30" max="30" width="26.83203125" style="28" customWidth="1"/>
    <col min="31" max="31" width="39.5" style="28" customWidth="1"/>
    <col min="32" max="32" width="6.9140625" style="28" hidden="1" customWidth="1"/>
    <col min="33" max="35" width="8.6640625" style="28"/>
    <col min="36" max="36" width="9.75" style="28" customWidth="1"/>
    <col min="37" max="37" width="0.58203125" style="28" customWidth="1"/>
    <col min="38" max="43" width="8.6640625" style="28"/>
    <col min="44" max="44" width="30.75" style="28" customWidth="1"/>
    <col min="45" max="16384" width="8.6640625" style="28"/>
  </cols>
  <sheetData>
    <row r="1" spans="1:44" x14ac:dyDescent="0.35">
      <c r="B1" s="35"/>
      <c r="C1" s="36"/>
      <c r="AD1" s="36"/>
      <c r="AE1" s="36"/>
      <c r="AF1" s="36"/>
      <c r="AG1" s="36"/>
      <c r="AH1" s="36"/>
      <c r="AI1" s="36"/>
      <c r="AJ1" s="36"/>
      <c r="AK1" s="36"/>
      <c r="AL1" s="36"/>
      <c r="AM1" s="36"/>
      <c r="AN1" s="36"/>
      <c r="AO1" s="36"/>
      <c r="AP1" s="36"/>
    </row>
    <row r="2" spans="1:44" x14ac:dyDescent="0.35">
      <c r="A2" s="37"/>
      <c r="B2" s="51" t="s">
        <v>124</v>
      </c>
      <c r="C2" s="38"/>
      <c r="D2" s="39"/>
      <c r="E2" s="39"/>
      <c r="F2" s="39"/>
      <c r="G2" s="39"/>
      <c r="H2" s="39"/>
      <c r="I2" s="40"/>
      <c r="J2" s="38"/>
      <c r="K2" s="38"/>
      <c r="L2" s="39"/>
      <c r="M2" s="39"/>
      <c r="N2" s="39"/>
      <c r="O2" s="39"/>
      <c r="P2" s="41"/>
      <c r="Q2" s="41"/>
      <c r="R2" s="41"/>
      <c r="S2" s="41"/>
      <c r="T2" s="41"/>
      <c r="U2" s="41"/>
      <c r="V2" s="41"/>
      <c r="W2" s="41"/>
      <c r="X2" s="41"/>
      <c r="Y2" s="41"/>
      <c r="Z2" s="41"/>
      <c r="AA2" s="41"/>
      <c r="AB2" s="41"/>
      <c r="AD2" s="36"/>
      <c r="AE2" s="36"/>
      <c r="AF2" s="36"/>
      <c r="AG2" s="36"/>
      <c r="AH2" s="36"/>
      <c r="AI2" s="36"/>
      <c r="AJ2" s="36"/>
      <c r="AK2" s="36"/>
      <c r="AL2" s="36"/>
      <c r="AM2" s="36"/>
      <c r="AN2" s="36"/>
      <c r="AO2" s="36"/>
      <c r="AP2" s="36"/>
    </row>
    <row r="3" spans="1:44" x14ac:dyDescent="0.35">
      <c r="A3" s="37"/>
      <c r="B3" s="51" t="s">
        <v>125</v>
      </c>
      <c r="C3" s="38"/>
      <c r="D3" s="39"/>
      <c r="E3" s="39"/>
      <c r="F3" s="39"/>
      <c r="G3" s="39"/>
      <c r="H3" s="39"/>
      <c r="I3" s="40"/>
      <c r="J3" s="38"/>
      <c r="K3" s="38"/>
      <c r="L3" s="39"/>
      <c r="M3" s="39"/>
      <c r="N3" s="39"/>
      <c r="O3" s="39"/>
      <c r="P3" s="41"/>
      <c r="Q3" s="41"/>
      <c r="R3" s="41"/>
      <c r="S3" s="41"/>
      <c r="T3" s="41"/>
      <c r="U3" s="41"/>
      <c r="V3" s="41"/>
      <c r="W3" s="41"/>
      <c r="X3" s="41"/>
      <c r="Y3" s="41"/>
      <c r="Z3" s="41"/>
      <c r="AA3" s="41"/>
      <c r="AB3" s="41"/>
      <c r="AD3" s="36"/>
      <c r="AE3" s="36"/>
      <c r="AF3" s="36"/>
      <c r="AG3" s="36"/>
      <c r="AH3" s="36"/>
      <c r="AI3" s="36"/>
      <c r="AJ3" s="36"/>
      <c r="AK3" s="36"/>
      <c r="AL3" s="36"/>
      <c r="AM3" s="36"/>
      <c r="AN3" s="36"/>
      <c r="AO3" s="36"/>
      <c r="AP3" s="36"/>
    </row>
    <row r="4" spans="1:44" x14ac:dyDescent="0.35">
      <c r="A4" s="37"/>
      <c r="B4" s="51" t="s">
        <v>127</v>
      </c>
      <c r="C4" s="38"/>
      <c r="D4" s="39"/>
      <c r="E4" s="39"/>
      <c r="F4" s="39"/>
      <c r="G4" s="39"/>
      <c r="H4" s="39"/>
      <c r="I4" s="40"/>
      <c r="J4" s="38"/>
      <c r="K4" s="38"/>
      <c r="L4" s="39"/>
      <c r="M4" s="39"/>
      <c r="N4" s="39"/>
      <c r="O4" s="39"/>
      <c r="P4" s="41"/>
      <c r="Q4" s="41"/>
      <c r="R4" s="41"/>
      <c r="S4" s="41"/>
      <c r="T4" s="41"/>
      <c r="U4" s="41"/>
      <c r="V4" s="41"/>
      <c r="W4" s="41"/>
      <c r="X4" s="41"/>
      <c r="Y4" s="41"/>
      <c r="Z4" s="41"/>
      <c r="AA4" s="41"/>
      <c r="AB4" s="41"/>
      <c r="AD4" s="36"/>
      <c r="AE4" s="36"/>
      <c r="AF4" s="36"/>
      <c r="AG4" s="36"/>
      <c r="AH4" s="36"/>
      <c r="AI4" s="36"/>
      <c r="AJ4" s="36"/>
      <c r="AK4" s="36"/>
      <c r="AL4" s="36"/>
      <c r="AM4" s="36"/>
      <c r="AN4" s="36"/>
      <c r="AO4" s="36"/>
      <c r="AP4" s="36"/>
    </row>
    <row r="5" spans="1:44" ht="38.25" customHeight="1" x14ac:dyDescent="0.35">
      <c r="A5" s="37"/>
      <c r="B5" s="95" t="s">
        <v>129</v>
      </c>
      <c r="C5" s="97"/>
      <c r="D5" s="39"/>
      <c r="E5" s="39"/>
      <c r="F5" s="39"/>
      <c r="G5" s="39"/>
      <c r="H5" s="39"/>
      <c r="I5" s="40"/>
      <c r="J5" s="38"/>
      <c r="K5" s="38"/>
      <c r="L5" s="39"/>
      <c r="M5" s="39"/>
      <c r="N5" s="39"/>
      <c r="O5" s="39"/>
      <c r="P5" s="41"/>
      <c r="Q5" s="41"/>
      <c r="R5" s="41"/>
      <c r="S5" s="41"/>
      <c r="T5" s="41"/>
      <c r="U5" s="41"/>
      <c r="V5" s="41"/>
      <c r="W5" s="41"/>
      <c r="X5" s="41"/>
      <c r="Y5" s="41"/>
      <c r="Z5" s="41"/>
      <c r="AA5" s="41"/>
      <c r="AB5" s="41"/>
      <c r="AD5" s="36"/>
      <c r="AE5" s="36"/>
      <c r="AF5" s="36"/>
      <c r="AG5" s="36"/>
      <c r="AH5" s="36"/>
      <c r="AI5" s="36"/>
      <c r="AJ5" s="36"/>
      <c r="AK5" s="36"/>
      <c r="AL5" s="36"/>
      <c r="AM5" s="36"/>
      <c r="AN5" s="36"/>
      <c r="AO5" s="36"/>
      <c r="AP5" s="36"/>
    </row>
    <row r="6" spans="1:44" ht="21" thickBot="1" x14ac:dyDescent="0.4">
      <c r="A6" s="41"/>
      <c r="B6" s="52" t="s">
        <v>52</v>
      </c>
      <c r="C6" s="42"/>
      <c r="D6" s="41"/>
      <c r="E6" s="41"/>
      <c r="F6" s="41"/>
      <c r="G6" s="41"/>
      <c r="H6" s="41"/>
      <c r="I6" s="43"/>
      <c r="J6" s="44"/>
      <c r="K6" s="44"/>
      <c r="L6" s="41"/>
      <c r="M6" s="41"/>
      <c r="N6" s="41"/>
      <c r="O6" s="41"/>
      <c r="P6" s="41"/>
      <c r="Q6" s="41"/>
      <c r="R6" s="41"/>
      <c r="S6" s="41"/>
      <c r="T6" s="41"/>
      <c r="U6" s="41"/>
      <c r="V6" s="41"/>
      <c r="W6" s="41"/>
      <c r="X6" s="41"/>
      <c r="Y6" s="41"/>
      <c r="Z6" s="41"/>
      <c r="AA6" s="41"/>
      <c r="AB6" s="41"/>
      <c r="AD6" s="36"/>
      <c r="AE6" s="36"/>
      <c r="AF6" s="36"/>
      <c r="AG6" s="36"/>
      <c r="AH6" s="36"/>
      <c r="AI6" s="36"/>
      <c r="AJ6" s="36"/>
      <c r="AK6" s="36"/>
      <c r="AL6" s="36"/>
      <c r="AM6" s="36"/>
      <c r="AN6" s="36"/>
      <c r="AO6" s="36"/>
      <c r="AP6" s="36"/>
    </row>
    <row r="7" spans="1:44" ht="21" thickBot="1" x14ac:dyDescent="0.4">
      <c r="B7" s="53" t="s">
        <v>75</v>
      </c>
      <c r="C7" s="46"/>
      <c r="D7" s="94"/>
      <c r="F7" s="45"/>
      <c r="I7" s="43"/>
      <c r="J7" s="46"/>
      <c r="K7" s="46"/>
      <c r="L7" s="45"/>
      <c r="M7" s="45"/>
      <c r="N7" s="45"/>
      <c r="O7" s="45"/>
      <c r="P7" s="45"/>
      <c r="S7" s="47"/>
      <c r="AD7" s="36"/>
      <c r="AE7" s="36"/>
      <c r="AF7" s="36"/>
      <c r="AG7" s="36"/>
      <c r="AH7" s="36"/>
      <c r="AI7" s="36"/>
      <c r="AJ7" s="36"/>
      <c r="AK7" s="36"/>
      <c r="AL7" s="36"/>
      <c r="AM7" s="36"/>
      <c r="AN7" s="36"/>
      <c r="AO7" s="36"/>
      <c r="AP7" s="36"/>
    </row>
    <row r="8" spans="1:44" ht="21" thickBot="1" x14ac:dyDescent="0.4">
      <c r="B8" s="53" t="s">
        <v>0</v>
      </c>
      <c r="C8" s="46"/>
      <c r="D8" s="94">
        <v>21</v>
      </c>
      <c r="F8" s="45"/>
      <c r="I8" s="43"/>
      <c r="J8" s="46"/>
      <c r="K8" s="46"/>
      <c r="L8" s="45"/>
      <c r="M8" s="45"/>
      <c r="N8" s="45"/>
      <c r="O8" s="45"/>
      <c r="P8" s="45"/>
      <c r="S8" s="47"/>
      <c r="AD8" s="36"/>
      <c r="AE8" s="36"/>
      <c r="AF8" s="36"/>
      <c r="AG8" s="36"/>
      <c r="AH8" s="36"/>
      <c r="AI8" s="36"/>
      <c r="AJ8" s="36"/>
      <c r="AK8" s="36"/>
      <c r="AL8" s="36"/>
      <c r="AM8" s="36"/>
      <c r="AN8" s="36"/>
      <c r="AO8" s="36"/>
      <c r="AP8" s="36"/>
    </row>
    <row r="9" spans="1:44" ht="21" thickBot="1" x14ac:dyDescent="0.4">
      <c r="B9" s="45"/>
      <c r="C9" s="46"/>
      <c r="D9" s="45"/>
      <c r="E9" s="45"/>
      <c r="F9" s="45"/>
      <c r="G9" s="45"/>
      <c r="H9" s="45"/>
      <c r="I9" s="43"/>
      <c r="L9" s="45"/>
      <c r="M9" s="45"/>
      <c r="N9" s="45"/>
      <c r="O9" s="45"/>
      <c r="P9" s="45"/>
      <c r="S9" s="47"/>
      <c r="T9" s="48"/>
      <c r="U9" s="48"/>
      <c r="V9" s="48"/>
      <c r="W9" s="48"/>
      <c r="X9" s="48"/>
      <c r="Y9" s="48"/>
      <c r="Z9" s="48"/>
      <c r="AA9" s="48"/>
      <c r="AB9" s="48"/>
      <c r="AD9" s="36"/>
      <c r="AE9" s="36"/>
      <c r="AF9" s="36"/>
      <c r="AG9" s="36"/>
      <c r="AH9" s="36"/>
      <c r="AI9" s="36"/>
      <c r="AJ9" s="36"/>
      <c r="AK9" s="36"/>
      <c r="AL9" s="36"/>
      <c r="AM9" s="36"/>
      <c r="AN9" s="36"/>
      <c r="AO9" s="36"/>
      <c r="AP9" s="36"/>
    </row>
    <row r="10" spans="1:44" s="85" customFormat="1" ht="42.75" customHeight="1" thickBot="1" x14ac:dyDescent="0.4">
      <c r="A10" s="54"/>
      <c r="B10" s="55"/>
      <c r="C10" s="106" t="s">
        <v>68</v>
      </c>
      <c r="D10" s="107"/>
      <c r="E10" s="107"/>
      <c r="F10" s="107"/>
      <c r="G10" s="107"/>
      <c r="H10" s="107"/>
      <c r="I10" s="107"/>
      <c r="J10" s="107"/>
      <c r="K10" s="107"/>
      <c r="L10" s="108"/>
      <c r="M10" s="106" t="s">
        <v>54</v>
      </c>
      <c r="N10" s="107"/>
      <c r="O10" s="107"/>
      <c r="P10" s="107"/>
      <c r="Q10" s="107"/>
      <c r="R10" s="107"/>
      <c r="S10" s="107"/>
      <c r="T10" s="107"/>
      <c r="U10" s="108"/>
      <c r="V10" s="106" t="s">
        <v>53</v>
      </c>
      <c r="W10" s="107"/>
      <c r="X10" s="107"/>
      <c r="Y10" s="107"/>
      <c r="Z10" s="107"/>
      <c r="AA10" s="107"/>
      <c r="AB10" s="107"/>
      <c r="AC10" s="108"/>
      <c r="AD10" s="56"/>
      <c r="AE10" s="57"/>
      <c r="AF10" s="58"/>
      <c r="AG10" s="103" t="s">
        <v>49</v>
      </c>
      <c r="AH10" s="104"/>
      <c r="AI10" s="104"/>
      <c r="AJ10" s="105"/>
      <c r="AK10" s="58"/>
      <c r="AL10" s="103" t="s">
        <v>50</v>
      </c>
      <c r="AM10" s="104"/>
      <c r="AN10" s="104"/>
      <c r="AO10" s="104"/>
      <c r="AP10" s="104"/>
      <c r="AQ10" s="104"/>
      <c r="AR10" s="105"/>
    </row>
    <row r="11" spans="1:44" s="85" customFormat="1" ht="98.25" thickBot="1" x14ac:dyDescent="0.4">
      <c r="A11" s="59" t="s">
        <v>1</v>
      </c>
      <c r="B11" s="59" t="s">
        <v>2</v>
      </c>
      <c r="C11" s="59" t="s">
        <v>74</v>
      </c>
      <c r="D11" s="60" t="s">
        <v>69</v>
      </c>
      <c r="E11" s="61" t="s">
        <v>107</v>
      </c>
      <c r="F11" s="61" t="s">
        <v>27</v>
      </c>
      <c r="G11" s="61" t="s">
        <v>59</v>
      </c>
      <c r="H11" s="50" t="s">
        <v>4</v>
      </c>
      <c r="I11" s="61" t="s">
        <v>104</v>
      </c>
      <c r="J11" s="86" t="s">
        <v>108</v>
      </c>
      <c r="K11" s="60" t="s">
        <v>106</v>
      </c>
      <c r="L11" s="61" t="s">
        <v>66</v>
      </c>
      <c r="M11" s="61" t="s">
        <v>58</v>
      </c>
      <c r="N11" s="86" t="s">
        <v>70</v>
      </c>
      <c r="O11" s="61" t="s">
        <v>5</v>
      </c>
      <c r="P11" s="86" t="s">
        <v>45</v>
      </c>
      <c r="Q11" s="61" t="s">
        <v>30</v>
      </c>
      <c r="R11" s="86" t="s">
        <v>71</v>
      </c>
      <c r="S11" s="61" t="s">
        <v>46</v>
      </c>
      <c r="T11" s="61" t="s">
        <v>47</v>
      </c>
      <c r="U11" s="86" t="s">
        <v>6</v>
      </c>
      <c r="V11" s="86" t="s">
        <v>62</v>
      </c>
      <c r="W11" s="50" t="s">
        <v>60</v>
      </c>
      <c r="X11" s="50" t="s">
        <v>61</v>
      </c>
      <c r="Y11" s="50" t="s">
        <v>109</v>
      </c>
      <c r="Z11" s="86" t="s">
        <v>110</v>
      </c>
      <c r="AA11" s="50" t="s">
        <v>111</v>
      </c>
      <c r="AB11" s="62" t="s">
        <v>112</v>
      </c>
      <c r="AC11" s="86" t="s">
        <v>7</v>
      </c>
      <c r="AD11" s="60" t="s">
        <v>113</v>
      </c>
      <c r="AE11" s="60" t="s">
        <v>105</v>
      </c>
      <c r="AF11" s="63"/>
      <c r="AG11" s="61" t="s">
        <v>107</v>
      </c>
      <c r="AH11" s="61" t="s">
        <v>27</v>
      </c>
      <c r="AI11" s="61" t="s">
        <v>63</v>
      </c>
      <c r="AJ11" s="60" t="s">
        <v>106</v>
      </c>
      <c r="AK11" s="63"/>
      <c r="AL11" s="60" t="s">
        <v>8</v>
      </c>
      <c r="AM11" s="61" t="s">
        <v>107</v>
      </c>
      <c r="AN11" s="61" t="s">
        <v>27</v>
      </c>
      <c r="AO11" s="61" t="s">
        <v>63</v>
      </c>
      <c r="AP11" s="60" t="s">
        <v>9</v>
      </c>
      <c r="AQ11" s="60" t="s">
        <v>10</v>
      </c>
      <c r="AR11" s="60" t="s">
        <v>116</v>
      </c>
    </row>
    <row r="12" spans="1:44" hidden="1" x14ac:dyDescent="0.35">
      <c r="A12" s="75"/>
      <c r="B12" s="76"/>
      <c r="C12" s="75"/>
      <c r="D12" s="77"/>
      <c r="E12" s="78"/>
      <c r="F12" s="78"/>
      <c r="G12" s="78"/>
      <c r="H12" s="79"/>
      <c r="I12" s="78"/>
      <c r="J12" s="80">
        <f>+List!A1</f>
        <v>2024</v>
      </c>
      <c r="K12" s="77"/>
      <c r="L12" s="78"/>
      <c r="M12" s="81"/>
      <c r="N12" s="81"/>
      <c r="O12" s="81"/>
      <c r="P12" s="78"/>
      <c r="Q12" s="78"/>
      <c r="R12" s="78"/>
      <c r="S12" s="78"/>
      <c r="T12" s="78"/>
      <c r="U12" s="77"/>
      <c r="V12" s="79"/>
      <c r="W12" s="79"/>
      <c r="X12" s="79"/>
      <c r="Y12" s="79"/>
      <c r="Z12" s="79"/>
      <c r="AA12" s="79"/>
      <c r="AB12" s="82"/>
      <c r="AC12" s="82"/>
      <c r="AD12" s="77"/>
      <c r="AE12" s="77"/>
      <c r="AF12" s="83"/>
      <c r="AG12" s="78"/>
      <c r="AH12" s="78"/>
      <c r="AI12" s="78"/>
      <c r="AJ12" s="77"/>
      <c r="AK12" s="83"/>
      <c r="AL12" s="77"/>
      <c r="AM12" s="78"/>
      <c r="AN12" s="78"/>
      <c r="AO12" s="78"/>
      <c r="AP12" s="77"/>
      <c r="AQ12" s="77"/>
      <c r="AR12" s="77"/>
    </row>
    <row r="13" spans="1:44" s="31" customFormat="1" x14ac:dyDescent="0.35">
      <c r="A13" s="14">
        <v>1</v>
      </c>
      <c r="B13" s="15" t="s">
        <v>72</v>
      </c>
      <c r="C13" s="16"/>
      <c r="D13" s="16"/>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row>
    <row r="14" spans="1:44" s="31" customFormat="1" ht="27" x14ac:dyDescent="0.25">
      <c r="A14" s="17">
        <v>1</v>
      </c>
      <c r="B14" s="18" t="s">
        <v>139</v>
      </c>
      <c r="C14" s="19" t="s">
        <v>34</v>
      </c>
      <c r="D14" s="101" t="s">
        <v>130</v>
      </c>
      <c r="E14" s="17" t="s">
        <v>11</v>
      </c>
      <c r="F14" s="17" t="s">
        <v>12</v>
      </c>
      <c r="G14" s="20" t="s">
        <v>65</v>
      </c>
      <c r="H14" s="64">
        <v>12975</v>
      </c>
      <c r="I14" s="17">
        <v>2013</v>
      </c>
      <c r="J14" s="92">
        <f>IF(I14="մինչև 2000","օգտակար ծառայության ժամկետը սպառված է",10-($J$12-I14))</f>
        <v>-1</v>
      </c>
      <c r="K14" s="65" t="s">
        <v>17</v>
      </c>
      <c r="L14" s="64">
        <v>14.3</v>
      </c>
      <c r="M14" s="64">
        <v>20</v>
      </c>
      <c r="N14" s="72">
        <f>O14/21</f>
        <v>89.947619047619057</v>
      </c>
      <c r="O14" s="64">
        <v>1888.9</v>
      </c>
      <c r="P14" s="87">
        <f>+O14*M14/100</f>
        <v>377.78</v>
      </c>
      <c r="Q14" s="64">
        <v>173.14</v>
      </c>
      <c r="R14" s="100">
        <f>+Q14*1000/P14</f>
        <v>458.30906877018373</v>
      </c>
      <c r="S14" s="64"/>
      <c r="T14" s="64"/>
      <c r="U14" s="88">
        <f>(Q14+T14)</f>
        <v>173.14</v>
      </c>
      <c r="V14" s="88">
        <f>U14*12</f>
        <v>2077.6799999999998</v>
      </c>
      <c r="W14" s="64">
        <f>77.4/2</f>
        <v>38.700000000000003</v>
      </c>
      <c r="X14" s="64">
        <v>0</v>
      </c>
      <c r="Y14" s="64">
        <v>0</v>
      </c>
      <c r="Z14" s="72">
        <f>SUM(V14:Y14)</f>
        <v>2116.3799999999997</v>
      </c>
      <c r="AA14" s="64">
        <f>885.2/2</f>
        <v>442.6</v>
      </c>
      <c r="AB14" s="64">
        <f>12.4+18.3</f>
        <v>30.700000000000003</v>
      </c>
      <c r="AC14" s="72">
        <f>SUM(Z14:AB14)</f>
        <v>2589.6799999999994</v>
      </c>
      <c r="AD14" s="19" t="s">
        <v>40</v>
      </c>
      <c r="AE14" s="19" t="s">
        <v>41</v>
      </c>
      <c r="AF14" s="32"/>
      <c r="AG14" s="17"/>
      <c r="AH14" s="65"/>
      <c r="AI14" s="65"/>
      <c r="AJ14" s="65"/>
      <c r="AK14" s="66"/>
      <c r="AL14" s="67">
        <v>1</v>
      </c>
      <c r="AM14" s="17" t="s">
        <v>11</v>
      </c>
      <c r="AN14" s="65" t="s">
        <v>12</v>
      </c>
      <c r="AO14" s="65" t="s">
        <v>64</v>
      </c>
      <c r="AP14" s="65" t="s">
        <v>17</v>
      </c>
      <c r="AQ14" s="67"/>
      <c r="AR14" s="19"/>
    </row>
    <row r="15" spans="1:44" s="31" customFormat="1" ht="40.5" x14ac:dyDescent="0.25">
      <c r="A15" s="17">
        <v>2</v>
      </c>
      <c r="B15" s="18" t="s">
        <v>140</v>
      </c>
      <c r="C15" s="19" t="s">
        <v>35</v>
      </c>
      <c r="D15" s="101" t="s">
        <v>133</v>
      </c>
      <c r="E15" s="17" t="s">
        <v>19</v>
      </c>
      <c r="F15" s="17" t="s">
        <v>12</v>
      </c>
      <c r="G15" s="20" t="s">
        <v>64</v>
      </c>
      <c r="H15" s="64">
        <v>6000</v>
      </c>
      <c r="I15" s="17">
        <v>2008</v>
      </c>
      <c r="J15" s="92">
        <f>IF(I15="մինչև 2000","օգտակար ծառայության ժամկետը սպառված է",10-($J$12-I15))</f>
        <v>-6</v>
      </c>
      <c r="K15" s="65" t="s">
        <v>17</v>
      </c>
      <c r="L15" s="64">
        <v>13.8</v>
      </c>
      <c r="M15" s="64">
        <v>20</v>
      </c>
      <c r="N15" s="72">
        <f t="shared" ref="N15:N41" si="0">O15/21</f>
        <v>55.028571428571425</v>
      </c>
      <c r="O15" s="64">
        <v>1155.5999999999999</v>
      </c>
      <c r="P15" s="87">
        <f t="shared" ref="P15:P17" si="1">+O15*M15/100</f>
        <v>231.12</v>
      </c>
      <c r="Q15" s="64">
        <v>105.92</v>
      </c>
      <c r="R15" s="100">
        <f t="shared" ref="R15:R17" si="2">+Q15*1000/P15</f>
        <v>458.29006576670128</v>
      </c>
      <c r="S15" s="64"/>
      <c r="T15" s="64"/>
      <c r="U15" s="88">
        <f>(Q15+T15)</f>
        <v>105.92</v>
      </c>
      <c r="V15" s="88">
        <f>U15*12</f>
        <v>1271.04</v>
      </c>
      <c r="W15" s="64">
        <f>138.6/2</f>
        <v>69.3</v>
      </c>
      <c r="X15" s="64">
        <v>0</v>
      </c>
      <c r="Y15" s="64">
        <v>0</v>
      </c>
      <c r="Z15" s="72">
        <f>SUM(V15:Y15)</f>
        <v>1340.34</v>
      </c>
      <c r="AA15" s="64">
        <f>1807.2/2</f>
        <v>903.6</v>
      </c>
      <c r="AB15" s="64">
        <f>12.4+18.3</f>
        <v>30.700000000000003</v>
      </c>
      <c r="AC15" s="72">
        <f t="shared" ref="AC15:AC17" si="3">SUM(Z15:AB15)</f>
        <v>2274.64</v>
      </c>
      <c r="AD15" s="19" t="s">
        <v>39</v>
      </c>
      <c r="AE15" s="19"/>
      <c r="AF15" s="32"/>
      <c r="AG15" s="17"/>
      <c r="AH15" s="65"/>
      <c r="AI15" s="65"/>
      <c r="AJ15" s="65"/>
      <c r="AK15" s="66"/>
      <c r="AL15" s="67"/>
      <c r="AM15" s="17"/>
      <c r="AN15" s="65"/>
      <c r="AO15" s="65"/>
      <c r="AP15" s="65"/>
      <c r="AQ15" s="67"/>
      <c r="AR15" s="19"/>
    </row>
    <row r="16" spans="1:44" s="31" customFormat="1" ht="40.5" x14ac:dyDescent="0.25">
      <c r="A16" s="17">
        <v>3</v>
      </c>
      <c r="B16" s="18" t="s">
        <v>140</v>
      </c>
      <c r="C16" s="19" t="s">
        <v>35</v>
      </c>
      <c r="D16" s="101" t="s">
        <v>131</v>
      </c>
      <c r="E16" s="17" t="s">
        <v>11</v>
      </c>
      <c r="F16" s="17" t="s">
        <v>12</v>
      </c>
      <c r="G16" s="20" t="s">
        <v>28</v>
      </c>
      <c r="H16" s="64">
        <v>8200</v>
      </c>
      <c r="I16" s="17">
        <v>2010</v>
      </c>
      <c r="J16" s="92">
        <f>IF(I16="մինչև 2000","օգտակար ծառայության ժամկետը սպառված է",10-($J$12-I16))</f>
        <v>-4</v>
      </c>
      <c r="K16" s="65" t="s">
        <v>17</v>
      </c>
      <c r="L16" s="64">
        <v>11.2</v>
      </c>
      <c r="M16" s="64">
        <v>19</v>
      </c>
      <c r="N16" s="72">
        <f t="shared" si="0"/>
        <v>42.885714285714286</v>
      </c>
      <c r="O16" s="64">
        <v>900.6</v>
      </c>
      <c r="P16" s="87">
        <f t="shared" si="1"/>
        <v>171.114</v>
      </c>
      <c r="Q16" s="64">
        <v>78.42</v>
      </c>
      <c r="R16" s="87">
        <f t="shared" si="2"/>
        <v>458.29096391879096</v>
      </c>
      <c r="S16" s="64"/>
      <c r="T16" s="64"/>
      <c r="U16" s="88">
        <f t="shared" ref="U16:U17" si="4">(Q16+T16)</f>
        <v>78.42</v>
      </c>
      <c r="V16" s="88">
        <f t="shared" ref="V16:V17" si="5">U16*12</f>
        <v>941.04</v>
      </c>
      <c r="W16" s="64">
        <f>162.8/2</f>
        <v>81.400000000000006</v>
      </c>
      <c r="X16" s="64">
        <v>0</v>
      </c>
      <c r="Y16" s="64">
        <v>0</v>
      </c>
      <c r="Z16" s="72">
        <f t="shared" ref="Z16:Z17" si="6">SUM(V16:Y16)</f>
        <v>1022.4399999999999</v>
      </c>
      <c r="AA16" s="64">
        <f>634.2/2</f>
        <v>317.10000000000002</v>
      </c>
      <c r="AB16" s="64">
        <f>12.4+18.3</f>
        <v>30.700000000000003</v>
      </c>
      <c r="AC16" s="72">
        <f t="shared" si="3"/>
        <v>1370.24</v>
      </c>
      <c r="AD16" s="19" t="s">
        <v>39</v>
      </c>
      <c r="AE16" s="19"/>
      <c r="AF16" s="32"/>
      <c r="AG16" s="17"/>
      <c r="AH16" s="65"/>
      <c r="AI16" s="65"/>
      <c r="AJ16" s="65"/>
      <c r="AK16" s="66"/>
      <c r="AL16" s="67"/>
      <c r="AM16" s="17"/>
      <c r="AN16" s="65"/>
      <c r="AO16" s="65"/>
      <c r="AP16" s="65"/>
      <c r="AQ16" s="67"/>
      <c r="AR16" s="19"/>
    </row>
    <row r="17" spans="1:44" s="31" customFormat="1" ht="40.5" x14ac:dyDescent="0.25">
      <c r="A17" s="17">
        <v>4</v>
      </c>
      <c r="B17" s="98" t="s">
        <v>140</v>
      </c>
      <c r="C17" s="19" t="s">
        <v>35</v>
      </c>
      <c r="D17" s="101" t="s">
        <v>132</v>
      </c>
      <c r="E17" s="17" t="s">
        <v>11</v>
      </c>
      <c r="F17" s="17" t="s">
        <v>12</v>
      </c>
      <c r="G17" s="20" t="s">
        <v>16</v>
      </c>
      <c r="H17" s="64">
        <v>6125.8</v>
      </c>
      <c r="I17" s="17">
        <v>2012</v>
      </c>
      <c r="J17" s="92">
        <f>IF(I17="մինչև 2000","օգտակար ծառայության ժամկետը սպառված է",10-($J$12-I17))</f>
        <v>-2</v>
      </c>
      <c r="K17" s="65" t="s">
        <v>17</v>
      </c>
      <c r="L17" s="64">
        <v>10.199999999999999</v>
      </c>
      <c r="M17" s="64">
        <v>12</v>
      </c>
      <c r="N17" s="72">
        <f t="shared" si="0"/>
        <v>62.609523809523807</v>
      </c>
      <c r="O17" s="64">
        <v>1314.8</v>
      </c>
      <c r="P17" s="87">
        <f t="shared" si="1"/>
        <v>157.77599999999998</v>
      </c>
      <c r="Q17" s="64">
        <v>72.31</v>
      </c>
      <c r="R17" s="87">
        <f t="shared" si="2"/>
        <v>458.30798093499652</v>
      </c>
      <c r="S17" s="64"/>
      <c r="T17" s="64"/>
      <c r="U17" s="88">
        <f t="shared" si="4"/>
        <v>72.31</v>
      </c>
      <c r="V17" s="88">
        <f t="shared" si="5"/>
        <v>867.72</v>
      </c>
      <c r="W17" s="64">
        <f>133.4/2</f>
        <v>66.7</v>
      </c>
      <c r="X17" s="64">
        <v>0</v>
      </c>
      <c r="Y17" s="64">
        <v>0</v>
      </c>
      <c r="Z17" s="72">
        <f t="shared" si="6"/>
        <v>934.42000000000007</v>
      </c>
      <c r="AA17" s="64">
        <f>364.2/2</f>
        <v>182.1</v>
      </c>
      <c r="AB17" s="64">
        <f>12.4+18.3</f>
        <v>30.700000000000003</v>
      </c>
      <c r="AC17" s="72">
        <f t="shared" si="3"/>
        <v>1147.22</v>
      </c>
      <c r="AD17" s="19" t="s">
        <v>39</v>
      </c>
      <c r="AE17" s="19"/>
      <c r="AF17" s="32"/>
      <c r="AG17" s="17"/>
      <c r="AH17" s="65"/>
      <c r="AI17" s="65"/>
      <c r="AJ17" s="65"/>
      <c r="AK17" s="66"/>
      <c r="AL17" s="67"/>
      <c r="AM17" s="17"/>
      <c r="AN17" s="65"/>
      <c r="AO17" s="65"/>
      <c r="AP17" s="65"/>
      <c r="AQ17" s="67"/>
      <c r="AR17" s="19"/>
    </row>
    <row r="18" spans="1:44" s="31" customFormat="1" x14ac:dyDescent="0.35">
      <c r="A18" s="14"/>
      <c r="B18" s="15" t="s">
        <v>73</v>
      </c>
      <c r="C18" s="16"/>
      <c r="D18" s="102"/>
      <c r="E18" s="16"/>
      <c r="F18" s="16"/>
      <c r="G18" s="16"/>
      <c r="H18" s="16"/>
      <c r="I18" s="16"/>
      <c r="J18" s="93"/>
      <c r="K18" s="16"/>
      <c r="L18" s="16"/>
      <c r="M18" s="16"/>
      <c r="N18" s="72">
        <f t="shared" si="0"/>
        <v>0</v>
      </c>
      <c r="O18" s="16"/>
      <c r="P18" s="13"/>
      <c r="Q18" s="16"/>
      <c r="R18" s="13"/>
      <c r="S18" s="16"/>
      <c r="T18" s="16"/>
      <c r="U18" s="13"/>
      <c r="V18" s="13"/>
      <c r="W18" s="16"/>
      <c r="X18" s="16"/>
      <c r="Y18" s="16"/>
      <c r="Z18" s="13"/>
      <c r="AA18" s="16"/>
      <c r="AB18" s="16"/>
      <c r="AC18" s="13"/>
      <c r="AD18" s="16"/>
      <c r="AE18" s="16"/>
      <c r="AF18" s="16"/>
      <c r="AG18" s="16"/>
      <c r="AH18" s="16"/>
      <c r="AI18" s="16"/>
      <c r="AJ18" s="16"/>
      <c r="AK18" s="16"/>
      <c r="AL18" s="16"/>
      <c r="AM18" s="16"/>
      <c r="AN18" s="16"/>
      <c r="AO18" s="16"/>
      <c r="AP18" s="16"/>
      <c r="AQ18" s="16"/>
      <c r="AR18" s="16"/>
    </row>
    <row r="19" spans="1:44" s="31" customFormat="1" ht="40.5" x14ac:dyDescent="0.25">
      <c r="A19" s="17">
        <v>1</v>
      </c>
      <c r="B19" s="99" t="s">
        <v>152</v>
      </c>
      <c r="C19" s="19" t="s">
        <v>35</v>
      </c>
      <c r="D19" s="101" t="s">
        <v>131</v>
      </c>
      <c r="E19" s="17" t="s">
        <v>11</v>
      </c>
      <c r="F19" s="17" t="s">
        <v>12</v>
      </c>
      <c r="G19" s="20" t="s">
        <v>28</v>
      </c>
      <c r="H19" s="64">
        <v>8200</v>
      </c>
      <c r="I19" s="17">
        <v>2010</v>
      </c>
      <c r="J19" s="92">
        <f t="shared" ref="J19:J41" si="7">IF(I19="մինչև 2000","օգտակար ծառայության ժամկետը սպառված է",10-($J$12-I19))</f>
        <v>-4</v>
      </c>
      <c r="K19" s="65" t="s">
        <v>17</v>
      </c>
      <c r="L19" s="64">
        <v>11.2</v>
      </c>
      <c r="M19" s="64">
        <v>15</v>
      </c>
      <c r="N19" s="72">
        <f t="shared" si="0"/>
        <v>40.919047619047618</v>
      </c>
      <c r="O19" s="64">
        <v>859.3</v>
      </c>
      <c r="P19" s="87">
        <f t="shared" ref="P19:P41" si="8">+O19*M19/100</f>
        <v>128.89500000000001</v>
      </c>
      <c r="Q19" s="64">
        <v>59.07</v>
      </c>
      <c r="R19" s="87">
        <f t="shared" ref="R19:R41" si="9">+Q19*1000/P19</f>
        <v>458.27999534504823</v>
      </c>
      <c r="S19" s="64"/>
      <c r="T19" s="64"/>
      <c r="U19" s="88">
        <f t="shared" ref="U19:U36" si="10">(Q19+T19)</f>
        <v>59.07</v>
      </c>
      <c r="V19" s="88">
        <f t="shared" ref="V19:V36" si="11">U19*12</f>
        <v>708.84</v>
      </c>
      <c r="W19" s="64">
        <f>81.3/2</f>
        <v>40.65</v>
      </c>
      <c r="X19" s="64">
        <v>0</v>
      </c>
      <c r="Y19" s="64">
        <v>0</v>
      </c>
      <c r="Z19" s="72">
        <f t="shared" ref="Z19:Z36" si="12">SUM(V19:Y19)</f>
        <v>749.49</v>
      </c>
      <c r="AA19" s="64">
        <v>614.5</v>
      </c>
      <c r="AB19" s="64">
        <f>12.4+18.3</f>
        <v>30.700000000000003</v>
      </c>
      <c r="AC19" s="72">
        <f t="shared" ref="AC19:AC41" si="13">SUM(Z19:AB19)</f>
        <v>1394.69</v>
      </c>
      <c r="AD19" s="19" t="s">
        <v>39</v>
      </c>
      <c r="AE19" s="19"/>
      <c r="AF19" s="32"/>
      <c r="AG19" s="17"/>
      <c r="AH19" s="65"/>
      <c r="AI19" s="65"/>
      <c r="AJ19" s="65"/>
      <c r="AK19" s="66"/>
      <c r="AL19" s="67"/>
      <c r="AM19" s="17"/>
      <c r="AN19" s="65"/>
      <c r="AO19" s="65"/>
      <c r="AP19" s="65"/>
      <c r="AQ19" s="67"/>
      <c r="AR19" s="19"/>
    </row>
    <row r="20" spans="1:44" s="31" customFormat="1" ht="40.5" x14ac:dyDescent="0.25">
      <c r="A20" s="17">
        <v>2</v>
      </c>
      <c r="B20" s="99" t="s">
        <v>152</v>
      </c>
      <c r="C20" s="19" t="s">
        <v>35</v>
      </c>
      <c r="D20" s="101" t="s">
        <v>132</v>
      </c>
      <c r="E20" s="17" t="s">
        <v>11</v>
      </c>
      <c r="F20" s="17" t="s">
        <v>12</v>
      </c>
      <c r="G20" s="20" t="s">
        <v>16</v>
      </c>
      <c r="H20" s="64">
        <v>6125.8</v>
      </c>
      <c r="I20" s="17">
        <v>2012</v>
      </c>
      <c r="J20" s="92">
        <f t="shared" si="7"/>
        <v>-2</v>
      </c>
      <c r="K20" s="65" t="s">
        <v>17</v>
      </c>
      <c r="L20" s="64">
        <v>10.199999999999999</v>
      </c>
      <c r="M20" s="64">
        <v>15</v>
      </c>
      <c r="N20" s="72">
        <f t="shared" si="0"/>
        <v>38.095238095238095</v>
      </c>
      <c r="O20" s="64">
        <v>800</v>
      </c>
      <c r="P20" s="87">
        <f t="shared" si="8"/>
        <v>120</v>
      </c>
      <c r="Q20" s="64">
        <v>55</v>
      </c>
      <c r="R20" s="87">
        <f t="shared" si="9"/>
        <v>458.33333333333331</v>
      </c>
      <c r="S20" s="64"/>
      <c r="T20" s="64"/>
      <c r="U20" s="88">
        <f t="shared" si="10"/>
        <v>55</v>
      </c>
      <c r="V20" s="88">
        <f t="shared" si="11"/>
        <v>660</v>
      </c>
      <c r="W20" s="64">
        <v>40</v>
      </c>
      <c r="X20" s="64">
        <v>0</v>
      </c>
      <c r="Y20" s="64">
        <v>0</v>
      </c>
      <c r="Z20" s="72">
        <f t="shared" si="12"/>
        <v>700</v>
      </c>
      <c r="AA20" s="64">
        <f>370.4/2</f>
        <v>185.2</v>
      </c>
      <c r="AB20" s="64">
        <f>12.4+18.3</f>
        <v>30.700000000000003</v>
      </c>
      <c r="AC20" s="72">
        <f t="shared" si="13"/>
        <v>915.90000000000009</v>
      </c>
      <c r="AD20" s="19" t="s">
        <v>39</v>
      </c>
      <c r="AE20" s="19"/>
      <c r="AF20" s="32"/>
      <c r="AG20" s="17"/>
      <c r="AH20" s="65"/>
      <c r="AI20" s="65"/>
      <c r="AJ20" s="65"/>
      <c r="AK20" s="66"/>
      <c r="AL20" s="67"/>
      <c r="AM20" s="17"/>
      <c r="AN20" s="65"/>
      <c r="AO20" s="65"/>
      <c r="AP20" s="65"/>
      <c r="AQ20" s="67"/>
      <c r="AR20" s="19"/>
    </row>
    <row r="21" spans="1:44" s="31" customFormat="1" ht="40.5" x14ac:dyDescent="0.25">
      <c r="A21" s="17">
        <v>3</v>
      </c>
      <c r="B21" s="99" t="s">
        <v>150</v>
      </c>
      <c r="C21" s="19" t="s">
        <v>35</v>
      </c>
      <c r="D21" s="101" t="s">
        <v>131</v>
      </c>
      <c r="E21" s="17" t="s">
        <v>11</v>
      </c>
      <c r="F21" s="17" t="s">
        <v>12</v>
      </c>
      <c r="G21" s="20" t="s">
        <v>28</v>
      </c>
      <c r="H21" s="64">
        <v>8200</v>
      </c>
      <c r="I21" s="17">
        <v>2010</v>
      </c>
      <c r="J21" s="92">
        <f t="shared" ref="J21:J27" si="14">IF(I21="մինչև 2000","օգտակար ծառայության ժամկետը սպառված է",10-($J$12-I21))</f>
        <v>-4</v>
      </c>
      <c r="K21" s="65" t="s">
        <v>17</v>
      </c>
      <c r="L21" s="64">
        <v>11.2</v>
      </c>
      <c r="M21" s="64">
        <v>13</v>
      </c>
      <c r="N21" s="72">
        <f t="shared" si="0"/>
        <v>51.280952380952385</v>
      </c>
      <c r="O21" s="64">
        <v>1076.9000000000001</v>
      </c>
      <c r="P21" s="87">
        <f t="shared" ref="P21:P27" si="15">+O21*M21/100</f>
        <v>139.99700000000001</v>
      </c>
      <c r="Q21" s="64">
        <v>64.16</v>
      </c>
      <c r="R21" s="87">
        <f t="shared" ref="R21:R27" si="16">+Q21*1000/P21</f>
        <v>458.29553490431931</v>
      </c>
      <c r="S21" s="64"/>
      <c r="T21" s="64"/>
      <c r="U21" s="88">
        <f t="shared" ref="U21:U27" si="17">(Q21+T21)</f>
        <v>64.16</v>
      </c>
      <c r="V21" s="88">
        <f t="shared" ref="V21:V27" si="18">U21*12</f>
        <v>769.92</v>
      </c>
      <c r="W21" s="64">
        <v>0</v>
      </c>
      <c r="X21" s="64">
        <v>0</v>
      </c>
      <c r="Y21" s="64">
        <v>0</v>
      </c>
      <c r="Z21" s="72">
        <f t="shared" ref="Z21:Z27" si="19">SUM(V21:Y21)</f>
        <v>769.92</v>
      </c>
      <c r="AA21" s="64">
        <f>495.4/2</f>
        <v>247.7</v>
      </c>
      <c r="AB21" s="64">
        <f>12.4+18.3</f>
        <v>30.700000000000003</v>
      </c>
      <c r="AC21" s="72">
        <f t="shared" ref="AC21:AC27" si="20">SUM(Z21:AB21)</f>
        <v>1048.32</v>
      </c>
      <c r="AD21" s="19" t="s">
        <v>39</v>
      </c>
      <c r="AE21" s="19"/>
      <c r="AF21" s="32"/>
      <c r="AG21" s="17"/>
      <c r="AH21" s="65"/>
      <c r="AI21" s="65"/>
      <c r="AJ21" s="65"/>
      <c r="AK21" s="66"/>
      <c r="AL21" s="67"/>
      <c r="AM21" s="17"/>
      <c r="AN21" s="65"/>
      <c r="AO21" s="65"/>
      <c r="AP21" s="65"/>
      <c r="AQ21" s="67"/>
      <c r="AR21" s="19"/>
    </row>
    <row r="22" spans="1:44" s="31" customFormat="1" ht="40.5" x14ac:dyDescent="0.25">
      <c r="A22" s="17">
        <v>4</v>
      </c>
      <c r="B22" s="99" t="s">
        <v>149</v>
      </c>
      <c r="C22" s="19" t="s">
        <v>35</v>
      </c>
      <c r="D22" s="101" t="s">
        <v>133</v>
      </c>
      <c r="E22" s="17" t="s">
        <v>19</v>
      </c>
      <c r="F22" s="17" t="s">
        <v>12</v>
      </c>
      <c r="G22" s="20" t="s">
        <v>64</v>
      </c>
      <c r="H22" s="64">
        <v>8893</v>
      </c>
      <c r="I22" s="17">
        <v>2007</v>
      </c>
      <c r="J22" s="92">
        <f t="shared" si="14"/>
        <v>-7</v>
      </c>
      <c r="K22" s="65" t="s">
        <v>17</v>
      </c>
      <c r="L22" s="64">
        <v>13.8</v>
      </c>
      <c r="M22" s="64">
        <v>20</v>
      </c>
      <c r="N22" s="72">
        <f t="shared" si="0"/>
        <v>27.514285714285712</v>
      </c>
      <c r="O22" s="64">
        <v>577.79999999999995</v>
      </c>
      <c r="P22" s="87">
        <f t="shared" si="15"/>
        <v>115.56</v>
      </c>
      <c r="Q22" s="64">
        <v>53</v>
      </c>
      <c r="R22" s="87">
        <f t="shared" si="16"/>
        <v>458.6362062997577</v>
      </c>
      <c r="S22" s="64"/>
      <c r="T22" s="64"/>
      <c r="U22" s="88">
        <f t="shared" si="17"/>
        <v>53</v>
      </c>
      <c r="V22" s="88">
        <f t="shared" si="18"/>
        <v>636</v>
      </c>
      <c r="W22" s="64">
        <v>0</v>
      </c>
      <c r="X22" s="64">
        <v>0</v>
      </c>
      <c r="Y22" s="64">
        <v>0</v>
      </c>
      <c r="Z22" s="72">
        <f t="shared" si="19"/>
        <v>636</v>
      </c>
      <c r="AA22" s="64">
        <f>627.5/2</f>
        <v>313.75</v>
      </c>
      <c r="AB22" s="64">
        <f>12.4+18.3</f>
        <v>30.700000000000003</v>
      </c>
      <c r="AC22" s="72">
        <f t="shared" si="20"/>
        <v>980.45</v>
      </c>
      <c r="AD22" s="19" t="s">
        <v>39</v>
      </c>
      <c r="AE22" s="19"/>
      <c r="AF22" s="32"/>
      <c r="AG22" s="17"/>
      <c r="AH22" s="65"/>
      <c r="AI22" s="65"/>
      <c r="AJ22" s="65"/>
      <c r="AK22" s="66"/>
      <c r="AL22" s="67"/>
      <c r="AM22" s="17"/>
      <c r="AN22" s="65"/>
      <c r="AO22" s="65"/>
      <c r="AP22" s="65"/>
      <c r="AQ22" s="67"/>
      <c r="AR22" s="19"/>
    </row>
    <row r="23" spans="1:44" s="31" customFormat="1" ht="40.5" x14ac:dyDescent="0.25">
      <c r="A23" s="17">
        <v>5</v>
      </c>
      <c r="B23" s="99" t="s">
        <v>151</v>
      </c>
      <c r="C23" s="19" t="s">
        <v>35</v>
      </c>
      <c r="D23" s="101" t="s">
        <v>134</v>
      </c>
      <c r="E23" s="17" t="s">
        <v>11</v>
      </c>
      <c r="F23" s="17" t="s">
        <v>12</v>
      </c>
      <c r="G23" s="20" t="s">
        <v>16</v>
      </c>
      <c r="H23" s="64">
        <v>5935</v>
      </c>
      <c r="I23" s="17">
        <v>2013</v>
      </c>
      <c r="J23" s="92">
        <f t="shared" ref="J23:J25" si="21">IF(I23="մինչև 2000","օգտակար ծառայության ժամկետը սպառված է",10-($J$12-I23))</f>
        <v>-1</v>
      </c>
      <c r="K23" s="65" t="s">
        <v>17</v>
      </c>
      <c r="L23" s="64">
        <v>7.5</v>
      </c>
      <c r="M23" s="64">
        <v>12</v>
      </c>
      <c r="N23" s="72">
        <f t="shared" si="0"/>
        <v>67.019047619047626</v>
      </c>
      <c r="O23" s="64">
        <v>1407.4</v>
      </c>
      <c r="P23" s="87">
        <f t="shared" ref="P23:P25" si="22">+O23*M23/100</f>
        <v>168.88800000000003</v>
      </c>
      <c r="Q23" s="64">
        <v>77.400000000000006</v>
      </c>
      <c r="R23" s="87">
        <f t="shared" ref="R23:R25" si="23">+Q23*1000/P23</f>
        <v>458.29188574676698</v>
      </c>
      <c r="S23" s="64"/>
      <c r="T23" s="64"/>
      <c r="U23" s="88">
        <f t="shared" ref="U23:U25" si="24">(Q23+T23)</f>
        <v>77.400000000000006</v>
      </c>
      <c r="V23" s="88">
        <f t="shared" ref="V23:V25" si="25">U23*12</f>
        <v>928.80000000000007</v>
      </c>
      <c r="W23" s="64">
        <v>0</v>
      </c>
      <c r="X23" s="64">
        <v>0</v>
      </c>
      <c r="Y23" s="64">
        <v>0</v>
      </c>
      <c r="Z23" s="72">
        <f t="shared" ref="Z23:Z25" si="26">SUM(V23:Y23)</f>
        <v>928.80000000000007</v>
      </c>
      <c r="AA23" s="64">
        <v>134</v>
      </c>
      <c r="AB23" s="64">
        <f>12.4+18.3</f>
        <v>30.700000000000003</v>
      </c>
      <c r="AC23" s="72">
        <f t="shared" ref="AC23:AC25" si="27">SUM(Z23:AB23)</f>
        <v>1093.5000000000002</v>
      </c>
      <c r="AD23" s="19" t="s">
        <v>39</v>
      </c>
      <c r="AE23" s="19"/>
      <c r="AF23" s="32"/>
      <c r="AG23" s="17"/>
      <c r="AH23" s="65"/>
      <c r="AI23" s="65"/>
      <c r="AJ23" s="65"/>
      <c r="AK23" s="66"/>
      <c r="AL23" s="67"/>
      <c r="AM23" s="17"/>
      <c r="AN23" s="65"/>
      <c r="AO23" s="65"/>
      <c r="AP23" s="65"/>
      <c r="AQ23" s="67"/>
      <c r="AR23" s="19"/>
    </row>
    <row r="24" spans="1:44" s="31" customFormat="1" ht="40.5" x14ac:dyDescent="0.25">
      <c r="A24" s="17">
        <v>6</v>
      </c>
      <c r="B24" s="99" t="s">
        <v>141</v>
      </c>
      <c r="C24" s="19" t="s">
        <v>35</v>
      </c>
      <c r="D24" s="101" t="s">
        <v>134</v>
      </c>
      <c r="E24" s="17" t="s">
        <v>11</v>
      </c>
      <c r="F24" s="17" t="s">
        <v>12</v>
      </c>
      <c r="G24" s="20" t="s">
        <v>16</v>
      </c>
      <c r="H24" s="64">
        <v>5935</v>
      </c>
      <c r="I24" s="17">
        <v>2013</v>
      </c>
      <c r="J24" s="92">
        <f t="shared" si="21"/>
        <v>-1</v>
      </c>
      <c r="K24" s="65" t="s">
        <v>17</v>
      </c>
      <c r="L24" s="64">
        <v>7.5</v>
      </c>
      <c r="M24" s="64">
        <v>12</v>
      </c>
      <c r="N24" s="72">
        <f t="shared" si="0"/>
        <v>39.680952380952377</v>
      </c>
      <c r="O24" s="64">
        <v>833.3</v>
      </c>
      <c r="P24" s="87">
        <f t="shared" si="22"/>
        <v>99.995999999999981</v>
      </c>
      <c r="Q24" s="64">
        <v>45.83</v>
      </c>
      <c r="R24" s="87">
        <f t="shared" si="23"/>
        <v>458.31833273330943</v>
      </c>
      <c r="S24" s="64"/>
      <c r="T24" s="64"/>
      <c r="U24" s="88">
        <f t="shared" si="24"/>
        <v>45.83</v>
      </c>
      <c r="V24" s="88">
        <f t="shared" si="25"/>
        <v>549.96</v>
      </c>
      <c r="W24" s="64">
        <v>0</v>
      </c>
      <c r="X24" s="64">
        <v>0</v>
      </c>
      <c r="Y24" s="64">
        <v>0</v>
      </c>
      <c r="Z24" s="72">
        <f t="shared" si="26"/>
        <v>549.96</v>
      </c>
      <c r="AA24" s="64">
        <f>66.6/2</f>
        <v>33.299999999999997</v>
      </c>
      <c r="AB24" s="64">
        <f>12.4+18.4</f>
        <v>30.799999999999997</v>
      </c>
      <c r="AC24" s="72">
        <f t="shared" si="27"/>
        <v>614.05999999999995</v>
      </c>
      <c r="AD24" s="19" t="s">
        <v>39</v>
      </c>
      <c r="AE24" s="19"/>
      <c r="AF24" s="32"/>
      <c r="AG24" s="17"/>
      <c r="AH24" s="65"/>
      <c r="AI24" s="65"/>
      <c r="AJ24" s="65"/>
      <c r="AK24" s="66"/>
      <c r="AL24" s="67"/>
      <c r="AM24" s="17"/>
      <c r="AN24" s="65"/>
      <c r="AO24" s="65"/>
      <c r="AP24" s="65"/>
      <c r="AQ24" s="67"/>
      <c r="AR24" s="19"/>
    </row>
    <row r="25" spans="1:44" s="31" customFormat="1" ht="40.5" x14ac:dyDescent="0.25">
      <c r="A25" s="17">
        <v>7</v>
      </c>
      <c r="B25" s="99" t="s">
        <v>142</v>
      </c>
      <c r="C25" s="19" t="s">
        <v>35</v>
      </c>
      <c r="D25" s="101" t="s">
        <v>132</v>
      </c>
      <c r="E25" s="17" t="s">
        <v>11</v>
      </c>
      <c r="F25" s="17" t="s">
        <v>12</v>
      </c>
      <c r="G25" s="20" t="s">
        <v>16</v>
      </c>
      <c r="H25" s="64">
        <v>6125.8</v>
      </c>
      <c r="I25" s="17">
        <v>2012</v>
      </c>
      <c r="J25" s="92">
        <f t="shared" si="21"/>
        <v>-2</v>
      </c>
      <c r="K25" s="65" t="s">
        <v>17</v>
      </c>
      <c r="L25" s="64">
        <v>10.199999999999999</v>
      </c>
      <c r="M25" s="64">
        <v>12</v>
      </c>
      <c r="N25" s="72">
        <f t="shared" si="0"/>
        <v>44.971428571428568</v>
      </c>
      <c r="O25" s="64">
        <v>944.4</v>
      </c>
      <c r="P25" s="87">
        <f t="shared" si="22"/>
        <v>113.32799999999999</v>
      </c>
      <c r="Q25" s="64">
        <v>51.94</v>
      </c>
      <c r="R25" s="87">
        <f t="shared" si="23"/>
        <v>458.31568544402091</v>
      </c>
      <c r="S25" s="64"/>
      <c r="T25" s="64"/>
      <c r="U25" s="88">
        <f t="shared" si="24"/>
        <v>51.94</v>
      </c>
      <c r="V25" s="88">
        <f t="shared" si="25"/>
        <v>623.28</v>
      </c>
      <c r="W25" s="64">
        <v>0</v>
      </c>
      <c r="X25" s="64">
        <v>0</v>
      </c>
      <c r="Y25" s="64">
        <v>0</v>
      </c>
      <c r="Z25" s="72">
        <f t="shared" si="26"/>
        <v>623.28</v>
      </c>
      <c r="AA25" s="64">
        <f>134.94/2</f>
        <v>67.47</v>
      </c>
      <c r="AB25" s="64">
        <f>12.4+18.4</f>
        <v>30.799999999999997</v>
      </c>
      <c r="AC25" s="72">
        <f t="shared" si="27"/>
        <v>721.55</v>
      </c>
      <c r="AD25" s="19" t="s">
        <v>39</v>
      </c>
      <c r="AE25" s="19"/>
      <c r="AF25" s="32"/>
      <c r="AG25" s="17"/>
      <c r="AH25" s="65"/>
      <c r="AI25" s="65"/>
      <c r="AJ25" s="65"/>
      <c r="AK25" s="66"/>
      <c r="AL25" s="67"/>
      <c r="AM25" s="17"/>
      <c r="AN25" s="65"/>
      <c r="AO25" s="65"/>
      <c r="AP25" s="65"/>
      <c r="AQ25" s="67"/>
      <c r="AR25" s="19"/>
    </row>
    <row r="26" spans="1:44" s="31" customFormat="1" ht="40.5" x14ac:dyDescent="0.25">
      <c r="A26" s="17">
        <v>8</v>
      </c>
      <c r="B26" s="18" t="s">
        <v>143</v>
      </c>
      <c r="C26" s="19" t="s">
        <v>35</v>
      </c>
      <c r="D26" s="101" t="s">
        <v>131</v>
      </c>
      <c r="E26" s="17" t="s">
        <v>11</v>
      </c>
      <c r="F26" s="17" t="s">
        <v>12</v>
      </c>
      <c r="G26" s="20" t="s">
        <v>28</v>
      </c>
      <c r="H26" s="64">
        <v>8200</v>
      </c>
      <c r="I26" s="17">
        <v>2010</v>
      </c>
      <c r="J26" s="92">
        <f t="shared" si="14"/>
        <v>-4</v>
      </c>
      <c r="K26" s="65" t="s">
        <v>17</v>
      </c>
      <c r="L26" s="64">
        <v>11.2</v>
      </c>
      <c r="M26" s="64">
        <v>13</v>
      </c>
      <c r="N26" s="72">
        <f t="shared" si="0"/>
        <v>51.485714285714288</v>
      </c>
      <c r="O26" s="64">
        <v>1081.2</v>
      </c>
      <c r="P26" s="87">
        <f t="shared" si="15"/>
        <v>140.55600000000001</v>
      </c>
      <c r="Q26" s="64">
        <v>64.42</v>
      </c>
      <c r="R26" s="87">
        <f t="shared" si="16"/>
        <v>458.32266143031956</v>
      </c>
      <c r="S26" s="64"/>
      <c r="T26" s="64"/>
      <c r="U26" s="88">
        <f t="shared" si="17"/>
        <v>64.42</v>
      </c>
      <c r="V26" s="88">
        <f t="shared" si="18"/>
        <v>773.04</v>
      </c>
      <c r="W26" s="64">
        <v>98.5</v>
      </c>
      <c r="X26" s="64">
        <v>0</v>
      </c>
      <c r="Y26" s="64">
        <v>0</v>
      </c>
      <c r="Z26" s="72">
        <f t="shared" si="19"/>
        <v>871.54</v>
      </c>
      <c r="AA26" s="64">
        <f>994.3/2</f>
        <v>497.15</v>
      </c>
      <c r="AB26" s="64">
        <f t="shared" ref="AB26:AB28" si="28">12.4+18.3</f>
        <v>30.700000000000003</v>
      </c>
      <c r="AC26" s="72">
        <f t="shared" si="20"/>
        <v>1399.39</v>
      </c>
      <c r="AD26" s="19" t="s">
        <v>39</v>
      </c>
      <c r="AE26" s="19"/>
      <c r="AF26" s="32"/>
      <c r="AG26" s="17"/>
      <c r="AH26" s="65"/>
      <c r="AI26" s="65"/>
      <c r="AJ26" s="65"/>
      <c r="AK26" s="66"/>
      <c r="AL26" s="67"/>
      <c r="AM26" s="17"/>
      <c r="AN26" s="65"/>
      <c r="AO26" s="65"/>
      <c r="AP26" s="65"/>
      <c r="AQ26" s="67"/>
      <c r="AR26" s="19"/>
    </row>
    <row r="27" spans="1:44" s="31" customFormat="1" ht="40.5" x14ac:dyDescent="0.25">
      <c r="A27" s="17">
        <v>9</v>
      </c>
      <c r="B27" s="99" t="s">
        <v>144</v>
      </c>
      <c r="C27" s="19" t="s">
        <v>35</v>
      </c>
      <c r="D27" s="101" t="s">
        <v>135</v>
      </c>
      <c r="E27" s="17" t="s">
        <v>11</v>
      </c>
      <c r="F27" s="17" t="s">
        <v>12</v>
      </c>
      <c r="G27" s="20" t="s">
        <v>28</v>
      </c>
      <c r="H27" s="64">
        <v>16044</v>
      </c>
      <c r="I27" s="17">
        <v>2006</v>
      </c>
      <c r="J27" s="92">
        <f t="shared" si="14"/>
        <v>-8</v>
      </c>
      <c r="K27" s="65" t="s">
        <v>17</v>
      </c>
      <c r="L27" s="64">
        <v>12.2</v>
      </c>
      <c r="M27" s="64">
        <v>14</v>
      </c>
      <c r="N27" s="72">
        <f>O27/21</f>
        <v>37.038095238095238</v>
      </c>
      <c r="O27" s="64">
        <v>777.8</v>
      </c>
      <c r="P27" s="87">
        <f t="shared" si="15"/>
        <v>108.892</v>
      </c>
      <c r="Q27" s="64">
        <v>49.9</v>
      </c>
      <c r="R27" s="87">
        <f t="shared" si="16"/>
        <v>458.2522132020718</v>
      </c>
      <c r="S27" s="64"/>
      <c r="T27" s="64"/>
      <c r="U27" s="88">
        <f t="shared" si="17"/>
        <v>49.9</v>
      </c>
      <c r="V27" s="88">
        <f t="shared" si="18"/>
        <v>598.79999999999995</v>
      </c>
      <c r="W27" s="64">
        <v>0</v>
      </c>
      <c r="X27" s="64">
        <v>0</v>
      </c>
      <c r="Y27" s="64">
        <v>0</v>
      </c>
      <c r="Z27" s="72">
        <f t="shared" si="19"/>
        <v>598.79999999999995</v>
      </c>
      <c r="AA27" s="64">
        <f>1132.2/2</f>
        <v>566.1</v>
      </c>
      <c r="AB27" s="64">
        <f t="shared" si="28"/>
        <v>30.700000000000003</v>
      </c>
      <c r="AC27" s="72">
        <f t="shared" si="20"/>
        <v>1195.6000000000001</v>
      </c>
      <c r="AD27" s="19" t="s">
        <v>39</v>
      </c>
      <c r="AE27" s="19"/>
      <c r="AF27" s="32"/>
      <c r="AG27" s="17"/>
      <c r="AH27" s="65"/>
      <c r="AI27" s="65"/>
      <c r="AJ27" s="65"/>
      <c r="AK27" s="66"/>
      <c r="AL27" s="67"/>
      <c r="AM27" s="17"/>
      <c r="AN27" s="65"/>
      <c r="AO27" s="65"/>
      <c r="AP27" s="65"/>
      <c r="AQ27" s="67"/>
      <c r="AR27" s="19"/>
    </row>
    <row r="28" spans="1:44" s="31" customFormat="1" ht="40.5" x14ac:dyDescent="0.25">
      <c r="A28" s="17">
        <v>10</v>
      </c>
      <c r="B28" s="99" t="s">
        <v>145</v>
      </c>
      <c r="C28" s="19" t="s">
        <v>35</v>
      </c>
      <c r="D28" s="101" t="s">
        <v>134</v>
      </c>
      <c r="E28" s="17" t="s">
        <v>11</v>
      </c>
      <c r="F28" s="17" t="s">
        <v>12</v>
      </c>
      <c r="G28" s="20" t="s">
        <v>16</v>
      </c>
      <c r="H28" s="64">
        <v>5935</v>
      </c>
      <c r="I28" s="17">
        <v>2013</v>
      </c>
      <c r="J28" s="92">
        <f t="shared" si="7"/>
        <v>-1</v>
      </c>
      <c r="K28" s="65" t="s">
        <v>17</v>
      </c>
      <c r="L28" s="64">
        <v>7.5</v>
      </c>
      <c r="M28" s="64">
        <v>12</v>
      </c>
      <c r="N28" s="72">
        <f t="shared" si="0"/>
        <v>54.671428571428564</v>
      </c>
      <c r="O28" s="64">
        <v>1148.0999999999999</v>
      </c>
      <c r="P28" s="87">
        <f t="shared" si="8"/>
        <v>137.77199999999999</v>
      </c>
      <c r="Q28" s="64">
        <v>63.14</v>
      </c>
      <c r="R28" s="87">
        <f t="shared" si="9"/>
        <v>458.293412304387</v>
      </c>
      <c r="S28" s="64"/>
      <c r="T28" s="64"/>
      <c r="U28" s="88">
        <f t="shared" si="10"/>
        <v>63.14</v>
      </c>
      <c r="V28" s="88">
        <f t="shared" si="11"/>
        <v>757.68000000000006</v>
      </c>
      <c r="W28" s="64">
        <v>0</v>
      </c>
      <c r="X28" s="64">
        <v>0</v>
      </c>
      <c r="Y28" s="64">
        <v>0</v>
      </c>
      <c r="Z28" s="72">
        <f t="shared" si="12"/>
        <v>757.68000000000006</v>
      </c>
      <c r="AA28" s="64">
        <f>451.2/2</f>
        <v>225.6</v>
      </c>
      <c r="AB28" s="64">
        <f t="shared" si="28"/>
        <v>30.700000000000003</v>
      </c>
      <c r="AC28" s="72">
        <f t="shared" si="13"/>
        <v>1013.9800000000001</v>
      </c>
      <c r="AD28" s="19" t="s">
        <v>39</v>
      </c>
      <c r="AE28" s="19"/>
      <c r="AF28" s="32"/>
      <c r="AG28" s="17"/>
      <c r="AH28" s="65"/>
      <c r="AI28" s="65"/>
      <c r="AJ28" s="65"/>
      <c r="AK28" s="66"/>
      <c r="AL28" s="67"/>
      <c r="AM28" s="17"/>
      <c r="AN28" s="65"/>
      <c r="AO28" s="65"/>
      <c r="AP28" s="65"/>
      <c r="AQ28" s="67"/>
      <c r="AR28" s="19"/>
    </row>
    <row r="29" spans="1:44" s="31" customFormat="1" ht="40.5" x14ac:dyDescent="0.25">
      <c r="A29" s="17">
        <v>11</v>
      </c>
      <c r="B29" s="99" t="s">
        <v>146</v>
      </c>
      <c r="C29" s="19" t="s">
        <v>35</v>
      </c>
      <c r="D29" s="101" t="s">
        <v>136</v>
      </c>
      <c r="E29" s="17" t="s">
        <v>19</v>
      </c>
      <c r="F29" s="17" t="s">
        <v>12</v>
      </c>
      <c r="G29" s="20" t="s">
        <v>16</v>
      </c>
      <c r="H29" s="64">
        <v>5100</v>
      </c>
      <c r="I29" s="17">
        <v>2010</v>
      </c>
      <c r="J29" s="92">
        <f t="shared" si="7"/>
        <v>-4</v>
      </c>
      <c r="K29" s="65" t="s">
        <v>17</v>
      </c>
      <c r="L29" s="64">
        <v>12</v>
      </c>
      <c r="M29" s="64">
        <v>12</v>
      </c>
      <c r="N29" s="72">
        <f t="shared" si="0"/>
        <v>49.38095238095238</v>
      </c>
      <c r="O29" s="64">
        <v>1037</v>
      </c>
      <c r="P29" s="87">
        <f t="shared" si="8"/>
        <v>124.44</v>
      </c>
      <c r="Q29" s="64">
        <v>57.03</v>
      </c>
      <c r="R29" s="87">
        <f t="shared" si="9"/>
        <v>458.29315332690453</v>
      </c>
      <c r="S29" s="64"/>
      <c r="T29" s="64"/>
      <c r="U29" s="88">
        <f t="shared" si="10"/>
        <v>57.03</v>
      </c>
      <c r="V29" s="88">
        <f t="shared" si="11"/>
        <v>684.36</v>
      </c>
      <c r="W29" s="64">
        <v>0</v>
      </c>
      <c r="X29" s="64">
        <v>0</v>
      </c>
      <c r="Y29" s="64">
        <v>0</v>
      </c>
      <c r="Z29" s="72">
        <f t="shared" si="12"/>
        <v>684.36</v>
      </c>
      <c r="AA29" s="64">
        <f>1049.5/2</f>
        <v>524.75</v>
      </c>
      <c r="AB29" s="64">
        <f>5.5+18.4</f>
        <v>23.9</v>
      </c>
      <c r="AC29" s="72">
        <f t="shared" si="13"/>
        <v>1233.0100000000002</v>
      </c>
      <c r="AD29" s="19" t="s">
        <v>39</v>
      </c>
      <c r="AE29" s="19"/>
      <c r="AF29" s="32"/>
      <c r="AG29" s="17"/>
      <c r="AH29" s="65"/>
      <c r="AI29" s="65"/>
      <c r="AJ29" s="65"/>
      <c r="AK29" s="66"/>
      <c r="AL29" s="67"/>
      <c r="AM29" s="17"/>
      <c r="AN29" s="65"/>
      <c r="AO29" s="65"/>
      <c r="AP29" s="65"/>
      <c r="AQ29" s="67"/>
      <c r="AR29" s="19"/>
    </row>
    <row r="30" spans="1:44" s="31" customFormat="1" ht="40.5" x14ac:dyDescent="0.25">
      <c r="A30" s="17">
        <v>12</v>
      </c>
      <c r="B30" s="99" t="s">
        <v>147</v>
      </c>
      <c r="C30" s="19" t="s">
        <v>35</v>
      </c>
      <c r="D30" s="101" t="s">
        <v>134</v>
      </c>
      <c r="E30" s="17" t="s">
        <v>11</v>
      </c>
      <c r="F30" s="17" t="s">
        <v>12</v>
      </c>
      <c r="G30" s="20" t="s">
        <v>16</v>
      </c>
      <c r="H30" s="64">
        <v>5935</v>
      </c>
      <c r="I30" s="17">
        <v>2013</v>
      </c>
      <c r="J30" s="92">
        <f t="shared" si="7"/>
        <v>-1</v>
      </c>
      <c r="K30" s="65" t="s">
        <v>17</v>
      </c>
      <c r="L30" s="64">
        <v>7.5</v>
      </c>
      <c r="M30" s="64">
        <v>12</v>
      </c>
      <c r="N30" s="72">
        <f t="shared" si="0"/>
        <v>41.44761904761905</v>
      </c>
      <c r="O30" s="64">
        <v>870.4</v>
      </c>
      <c r="P30" s="87">
        <f t="shared" si="8"/>
        <v>104.44799999999999</v>
      </c>
      <c r="Q30" s="64">
        <v>47.87</v>
      </c>
      <c r="R30" s="87">
        <f t="shared" si="9"/>
        <v>458.31418504901961</v>
      </c>
      <c r="S30" s="64"/>
      <c r="T30" s="64"/>
      <c r="U30" s="88">
        <f t="shared" si="10"/>
        <v>47.87</v>
      </c>
      <c r="V30" s="88">
        <f t="shared" si="11"/>
        <v>574.43999999999994</v>
      </c>
      <c r="W30" s="64">
        <v>40</v>
      </c>
      <c r="X30" s="64">
        <v>0</v>
      </c>
      <c r="Y30" s="64">
        <v>0</v>
      </c>
      <c r="Z30" s="72">
        <f t="shared" si="12"/>
        <v>614.43999999999994</v>
      </c>
      <c r="AA30" s="64">
        <f>78.5/2</f>
        <v>39.25</v>
      </c>
      <c r="AB30" s="64">
        <f t="shared" ref="AB30:AB33" si="29">12.4+18.3</f>
        <v>30.700000000000003</v>
      </c>
      <c r="AC30" s="72">
        <f t="shared" si="13"/>
        <v>684.39</v>
      </c>
      <c r="AD30" s="19" t="s">
        <v>39</v>
      </c>
      <c r="AE30" s="19"/>
      <c r="AF30" s="32"/>
      <c r="AG30" s="17"/>
      <c r="AH30" s="65"/>
      <c r="AI30" s="65"/>
      <c r="AJ30" s="65"/>
      <c r="AK30" s="66"/>
      <c r="AL30" s="67"/>
      <c r="AM30" s="17"/>
      <c r="AN30" s="65"/>
      <c r="AO30" s="65"/>
      <c r="AP30" s="65"/>
      <c r="AQ30" s="67"/>
      <c r="AR30" s="19"/>
    </row>
    <row r="31" spans="1:44" s="31" customFormat="1" ht="40.5" x14ac:dyDescent="0.25">
      <c r="A31" s="17">
        <v>13</v>
      </c>
      <c r="B31" s="18" t="s">
        <v>148</v>
      </c>
      <c r="C31" s="19" t="s">
        <v>35</v>
      </c>
      <c r="D31" s="101" t="s">
        <v>134</v>
      </c>
      <c r="E31" s="17" t="s">
        <v>11</v>
      </c>
      <c r="F31" s="17" t="s">
        <v>12</v>
      </c>
      <c r="G31" s="20" t="s">
        <v>16</v>
      </c>
      <c r="H31" s="64">
        <v>5935</v>
      </c>
      <c r="I31" s="17">
        <v>2013</v>
      </c>
      <c r="J31" s="92">
        <f>IF(I31="մինչև 2000","օգտակար ծառայության ժամկետը սպառված է",10-($J$12-I31))</f>
        <v>-1</v>
      </c>
      <c r="K31" s="65" t="s">
        <v>17</v>
      </c>
      <c r="L31" s="64">
        <v>7.5</v>
      </c>
      <c r="M31" s="64">
        <v>12</v>
      </c>
      <c r="N31" s="72">
        <f>O31/21</f>
        <v>21.338095238095239</v>
      </c>
      <c r="O31" s="64">
        <v>448.1</v>
      </c>
      <c r="P31" s="87">
        <f>+O31*M31/100</f>
        <v>53.772000000000006</v>
      </c>
      <c r="Q31" s="64">
        <v>24.65</v>
      </c>
      <c r="R31" s="87">
        <f>+Q31*1000/P31</f>
        <v>458.41702001041432</v>
      </c>
      <c r="S31" s="64"/>
      <c r="T31" s="64"/>
      <c r="U31" s="88">
        <f>(Q31+T31)</f>
        <v>24.65</v>
      </c>
      <c r="V31" s="88">
        <f>U31*12</f>
        <v>295.79999999999995</v>
      </c>
      <c r="W31" s="64">
        <f>53.4/2</f>
        <v>26.7</v>
      </c>
      <c r="X31" s="64">
        <v>0</v>
      </c>
      <c r="Y31" s="64">
        <v>0</v>
      </c>
      <c r="Z31" s="72">
        <f>SUM(V31:Y31)</f>
        <v>322.49999999999994</v>
      </c>
      <c r="AA31" s="64">
        <f>23.8/2</f>
        <v>11.9</v>
      </c>
      <c r="AB31" s="64">
        <f t="shared" si="29"/>
        <v>30.700000000000003</v>
      </c>
      <c r="AC31" s="72">
        <f>SUM(Z31:AB31)</f>
        <v>365.09999999999991</v>
      </c>
      <c r="AD31" s="19" t="s">
        <v>39</v>
      </c>
      <c r="AE31" s="19"/>
      <c r="AF31" s="32"/>
      <c r="AG31" s="17"/>
      <c r="AH31" s="65"/>
      <c r="AI31" s="65"/>
      <c r="AJ31" s="65"/>
      <c r="AK31" s="66"/>
      <c r="AL31" s="67"/>
      <c r="AM31" s="17"/>
      <c r="AN31" s="65"/>
      <c r="AO31" s="65"/>
      <c r="AP31" s="65"/>
      <c r="AQ31" s="67"/>
      <c r="AR31" s="19"/>
    </row>
    <row r="32" spans="1:44" s="31" customFormat="1" ht="40.5" x14ac:dyDescent="0.25">
      <c r="A32" s="17">
        <v>14</v>
      </c>
      <c r="B32" s="18" t="s">
        <v>148</v>
      </c>
      <c r="C32" s="19" t="s">
        <v>35</v>
      </c>
      <c r="D32" s="101" t="s">
        <v>134</v>
      </c>
      <c r="E32" s="17" t="s">
        <v>11</v>
      </c>
      <c r="F32" s="17" t="s">
        <v>12</v>
      </c>
      <c r="G32" s="20" t="s">
        <v>16</v>
      </c>
      <c r="H32" s="64">
        <v>5935</v>
      </c>
      <c r="I32" s="17">
        <v>2013</v>
      </c>
      <c r="J32" s="92">
        <f>IF(I32="մինչև 2000","օգտակար ծառայության ժամկետը սպառված է",10-($J$12-I32))</f>
        <v>-1</v>
      </c>
      <c r="K32" s="65" t="s">
        <v>17</v>
      </c>
      <c r="L32" s="64">
        <v>7.5</v>
      </c>
      <c r="M32" s="64">
        <v>12</v>
      </c>
      <c r="N32" s="72">
        <f>O32/21</f>
        <v>24.69047619047619</v>
      </c>
      <c r="O32" s="64">
        <v>518.5</v>
      </c>
      <c r="P32" s="87">
        <f>+O32*M32/100</f>
        <v>62.22</v>
      </c>
      <c r="Q32" s="64">
        <v>28.52</v>
      </c>
      <c r="R32" s="87">
        <f>+Q32*1000/P32</f>
        <v>458.37351333976216</v>
      </c>
      <c r="S32" s="64"/>
      <c r="T32" s="64"/>
      <c r="U32" s="88">
        <f>(Q32+T32)</f>
        <v>28.52</v>
      </c>
      <c r="V32" s="88">
        <f>U32*12</f>
        <v>342.24</v>
      </c>
      <c r="W32" s="64">
        <v>0</v>
      </c>
      <c r="X32" s="64">
        <v>0</v>
      </c>
      <c r="Y32" s="64">
        <v>0</v>
      </c>
      <c r="Z32" s="72">
        <f>SUM(V32:Y32)</f>
        <v>342.24</v>
      </c>
      <c r="AA32" s="64">
        <f>220.5/2</f>
        <v>110.25</v>
      </c>
      <c r="AB32" s="64">
        <f t="shared" si="29"/>
        <v>30.700000000000003</v>
      </c>
      <c r="AC32" s="72">
        <f>SUM(Z32:AB32)</f>
        <v>483.19</v>
      </c>
      <c r="AD32" s="19" t="s">
        <v>39</v>
      </c>
      <c r="AE32" s="19"/>
      <c r="AF32" s="32"/>
      <c r="AG32" s="17"/>
      <c r="AH32" s="65"/>
      <c r="AI32" s="65"/>
      <c r="AJ32" s="65"/>
      <c r="AK32" s="66"/>
      <c r="AL32" s="67"/>
      <c r="AM32" s="17"/>
      <c r="AN32" s="65"/>
      <c r="AO32" s="65"/>
      <c r="AP32" s="65"/>
      <c r="AQ32" s="67"/>
      <c r="AR32" s="19"/>
    </row>
    <row r="33" spans="1:44" s="31" customFormat="1" ht="40.5" x14ac:dyDescent="0.25">
      <c r="A33" s="17">
        <v>15</v>
      </c>
      <c r="B33" s="18" t="s">
        <v>148</v>
      </c>
      <c r="C33" s="19" t="s">
        <v>35</v>
      </c>
      <c r="D33" s="101" t="s">
        <v>137</v>
      </c>
      <c r="E33" s="17" t="s">
        <v>19</v>
      </c>
      <c r="F33" s="17" t="s">
        <v>12</v>
      </c>
      <c r="G33" s="20" t="s">
        <v>28</v>
      </c>
      <c r="H33" s="64">
        <v>3500</v>
      </c>
      <c r="I33" s="17">
        <v>2009</v>
      </c>
      <c r="J33" s="92">
        <f>IF(I33="մինչև 2000","օգտակար ծառայության ժամկետը սպառված է",10-($J$12-I33))</f>
        <v>-5</v>
      </c>
      <c r="K33" s="65" t="s">
        <v>17</v>
      </c>
      <c r="L33" s="64">
        <v>13.8</v>
      </c>
      <c r="M33" s="64">
        <v>17</v>
      </c>
      <c r="N33" s="72">
        <f>O33/21</f>
        <v>36.723809523809528</v>
      </c>
      <c r="O33" s="64">
        <v>771.2</v>
      </c>
      <c r="P33" s="87">
        <f>+O33*M33/100</f>
        <v>131.10400000000001</v>
      </c>
      <c r="Q33" s="64">
        <v>60.09</v>
      </c>
      <c r="R33" s="87">
        <f>+Q33*1000/P33</f>
        <v>458.3384183548938</v>
      </c>
      <c r="S33" s="64"/>
      <c r="T33" s="64"/>
      <c r="U33" s="88">
        <f>(Q33+T33)</f>
        <v>60.09</v>
      </c>
      <c r="V33" s="88">
        <f>U33*12</f>
        <v>721.08</v>
      </c>
      <c r="W33" s="64">
        <v>0</v>
      </c>
      <c r="X33" s="64">
        <v>0</v>
      </c>
      <c r="Y33" s="64">
        <v>0</v>
      </c>
      <c r="Z33" s="72">
        <f>SUM(V33:Y33)</f>
        <v>721.08</v>
      </c>
      <c r="AA33" s="64">
        <f>769.8/2</f>
        <v>384.9</v>
      </c>
      <c r="AB33" s="64">
        <f t="shared" si="29"/>
        <v>30.700000000000003</v>
      </c>
      <c r="AC33" s="72">
        <f>SUM(Z33:AB33)</f>
        <v>1136.68</v>
      </c>
      <c r="AD33" s="19" t="s">
        <v>39</v>
      </c>
      <c r="AE33" s="19"/>
      <c r="AF33" s="32"/>
      <c r="AG33" s="17"/>
      <c r="AH33" s="65"/>
      <c r="AI33" s="65"/>
      <c r="AJ33" s="65"/>
      <c r="AK33" s="66"/>
      <c r="AL33" s="67"/>
      <c r="AM33" s="17"/>
      <c r="AN33" s="65"/>
      <c r="AO33" s="65"/>
      <c r="AP33" s="65"/>
      <c r="AQ33" s="67"/>
      <c r="AR33" s="19"/>
    </row>
    <row r="34" spans="1:44" s="31" customFormat="1" ht="108" x14ac:dyDescent="0.25">
      <c r="A34" s="17">
        <v>16</v>
      </c>
      <c r="B34" s="18" t="s">
        <v>148</v>
      </c>
      <c r="C34" s="19" t="s">
        <v>36</v>
      </c>
      <c r="D34" s="101" t="s">
        <v>138</v>
      </c>
      <c r="E34" s="17" t="s">
        <v>19</v>
      </c>
      <c r="F34" s="17" t="s">
        <v>12</v>
      </c>
      <c r="G34" s="20" t="s">
        <v>16</v>
      </c>
      <c r="H34" s="64">
        <v>8004</v>
      </c>
      <c r="I34" s="17">
        <v>2018</v>
      </c>
      <c r="J34" s="92">
        <f t="shared" si="7"/>
        <v>4</v>
      </c>
      <c r="K34" s="65" t="s">
        <v>17</v>
      </c>
      <c r="L34" s="64">
        <v>7.8</v>
      </c>
      <c r="M34" s="64">
        <v>12</v>
      </c>
      <c r="N34" s="72">
        <f t="shared" si="0"/>
        <v>128.08571428571429</v>
      </c>
      <c r="O34" s="64">
        <v>2689.8</v>
      </c>
      <c r="P34" s="87">
        <f t="shared" si="8"/>
        <v>322.77600000000001</v>
      </c>
      <c r="Q34" s="64">
        <v>147.93</v>
      </c>
      <c r="R34" s="87">
        <f t="shared" si="9"/>
        <v>458.30545021934716</v>
      </c>
      <c r="S34" s="64"/>
      <c r="T34" s="64"/>
      <c r="U34" s="88">
        <f t="shared" si="10"/>
        <v>147.93</v>
      </c>
      <c r="V34" s="88">
        <f t="shared" si="11"/>
        <v>1775.16</v>
      </c>
      <c r="W34" s="64">
        <f>53.4/2</f>
        <v>26.7</v>
      </c>
      <c r="X34" s="64">
        <v>0</v>
      </c>
      <c r="Y34" s="64">
        <v>0</v>
      </c>
      <c r="Z34" s="72">
        <f t="shared" si="12"/>
        <v>1801.8600000000001</v>
      </c>
      <c r="AA34" s="64">
        <f>846.3/2</f>
        <v>423.15</v>
      </c>
      <c r="AB34" s="64">
        <f>5.5+12.4+18.4</f>
        <v>36.299999999999997</v>
      </c>
      <c r="AC34" s="72">
        <f t="shared" si="13"/>
        <v>2261.3100000000004</v>
      </c>
      <c r="AD34" s="19" t="s">
        <v>39</v>
      </c>
      <c r="AE34" s="19"/>
      <c r="AF34" s="32"/>
      <c r="AG34" s="17"/>
      <c r="AH34" s="65"/>
      <c r="AI34" s="65"/>
      <c r="AJ34" s="65"/>
      <c r="AK34" s="66"/>
      <c r="AL34" s="67"/>
      <c r="AM34" s="17"/>
      <c r="AN34" s="65"/>
      <c r="AO34" s="65"/>
      <c r="AP34" s="65"/>
      <c r="AQ34" s="67"/>
      <c r="AR34" s="19"/>
    </row>
    <row r="35" spans="1:44" s="31" customFormat="1" ht="108" x14ac:dyDescent="0.25">
      <c r="A35" s="17">
        <v>17</v>
      </c>
      <c r="B35" s="18" t="s">
        <v>148</v>
      </c>
      <c r="C35" s="19" t="s">
        <v>36</v>
      </c>
      <c r="D35" s="101" t="s">
        <v>138</v>
      </c>
      <c r="E35" s="17" t="s">
        <v>19</v>
      </c>
      <c r="F35" s="17" t="s">
        <v>12</v>
      </c>
      <c r="G35" s="20" t="s">
        <v>16</v>
      </c>
      <c r="H35" s="64">
        <v>8004</v>
      </c>
      <c r="I35" s="17">
        <v>2018</v>
      </c>
      <c r="J35" s="92">
        <f t="shared" si="7"/>
        <v>4</v>
      </c>
      <c r="K35" s="65" t="s">
        <v>17</v>
      </c>
      <c r="L35" s="64">
        <v>7.8</v>
      </c>
      <c r="M35" s="64">
        <v>14</v>
      </c>
      <c r="N35" s="72">
        <f t="shared" si="0"/>
        <v>134.61904761904762</v>
      </c>
      <c r="O35" s="64">
        <v>2827</v>
      </c>
      <c r="P35" s="87">
        <f t="shared" si="8"/>
        <v>395.78</v>
      </c>
      <c r="Q35" s="64">
        <v>181.39</v>
      </c>
      <c r="R35" s="87">
        <f t="shared" si="9"/>
        <v>458.31017231795443</v>
      </c>
      <c r="S35" s="64"/>
      <c r="T35" s="64"/>
      <c r="U35" s="88">
        <f t="shared" si="10"/>
        <v>181.39</v>
      </c>
      <c r="V35" s="88">
        <f t="shared" si="11"/>
        <v>2176.6799999999998</v>
      </c>
      <c r="W35" s="64">
        <f>186.8/2</f>
        <v>93.4</v>
      </c>
      <c r="X35" s="64">
        <v>0</v>
      </c>
      <c r="Y35" s="64">
        <v>0</v>
      </c>
      <c r="Z35" s="72">
        <f t="shared" si="12"/>
        <v>2270.08</v>
      </c>
      <c r="AA35" s="64">
        <f>1034.8/2</f>
        <v>517.4</v>
      </c>
      <c r="AB35" s="64">
        <f>17.9+18.4</f>
        <v>36.299999999999997</v>
      </c>
      <c r="AC35" s="72">
        <f t="shared" si="13"/>
        <v>2823.78</v>
      </c>
      <c r="AD35" s="19" t="s">
        <v>39</v>
      </c>
      <c r="AE35" s="19"/>
      <c r="AF35" s="32"/>
      <c r="AG35" s="17"/>
      <c r="AH35" s="65"/>
      <c r="AI35" s="65"/>
      <c r="AJ35" s="65"/>
      <c r="AK35" s="66"/>
      <c r="AL35" s="67"/>
      <c r="AM35" s="17"/>
      <c r="AN35" s="65"/>
      <c r="AO35" s="65"/>
      <c r="AP35" s="65"/>
      <c r="AQ35" s="67"/>
      <c r="AR35" s="19"/>
    </row>
    <row r="36" spans="1:44" s="31" customFormat="1" x14ac:dyDescent="0.35">
      <c r="A36" s="74" t="s">
        <v>121</v>
      </c>
      <c r="B36" s="18"/>
      <c r="C36" s="19"/>
      <c r="D36" s="17"/>
      <c r="E36" s="17"/>
      <c r="F36" s="17"/>
      <c r="G36" s="20"/>
      <c r="H36" s="17"/>
      <c r="I36" s="17"/>
      <c r="J36" s="92">
        <f t="shared" si="7"/>
        <v>-2014</v>
      </c>
      <c r="K36" s="65"/>
      <c r="L36" s="64"/>
      <c r="M36" s="64"/>
      <c r="N36" s="72">
        <f t="shared" si="0"/>
        <v>0</v>
      </c>
      <c r="O36" s="64"/>
      <c r="P36" s="87">
        <f t="shared" si="8"/>
        <v>0</v>
      </c>
      <c r="Q36" s="64"/>
      <c r="R36" s="87" t="e">
        <f t="shared" si="9"/>
        <v>#DIV/0!</v>
      </c>
      <c r="S36" s="64"/>
      <c r="T36" s="64"/>
      <c r="U36" s="88">
        <f t="shared" si="10"/>
        <v>0</v>
      </c>
      <c r="V36" s="88">
        <f t="shared" si="11"/>
        <v>0</v>
      </c>
      <c r="W36" s="64"/>
      <c r="X36" s="64"/>
      <c r="Y36" s="64"/>
      <c r="Z36" s="72">
        <f t="shared" si="12"/>
        <v>0</v>
      </c>
      <c r="AA36" s="64"/>
      <c r="AB36" s="64"/>
      <c r="AC36" s="72">
        <f t="shared" si="13"/>
        <v>0</v>
      </c>
      <c r="AD36" s="19"/>
      <c r="AE36" s="19"/>
      <c r="AF36" s="32"/>
      <c r="AG36" s="17"/>
      <c r="AH36" s="65"/>
      <c r="AI36" s="65"/>
      <c r="AJ36" s="65"/>
      <c r="AK36" s="66"/>
      <c r="AL36" s="67"/>
      <c r="AM36" s="17"/>
      <c r="AN36" s="65"/>
      <c r="AO36" s="65"/>
      <c r="AP36" s="65"/>
      <c r="AQ36" s="67"/>
      <c r="AR36" s="19"/>
    </row>
    <row r="37" spans="1:44" s="31" customFormat="1" x14ac:dyDescent="0.35">
      <c r="A37" s="22"/>
      <c r="B37" s="15" t="s">
        <v>13</v>
      </c>
      <c r="C37" s="16"/>
      <c r="D37" s="16"/>
      <c r="E37" s="16"/>
      <c r="F37" s="16"/>
      <c r="G37" s="16"/>
      <c r="H37" s="16"/>
      <c r="I37" s="16"/>
      <c r="J37" s="93"/>
      <c r="K37" s="16"/>
      <c r="L37" s="16"/>
      <c r="M37" s="16"/>
      <c r="N37" s="13"/>
      <c r="O37" s="16"/>
      <c r="P37" s="13"/>
      <c r="Q37" s="16"/>
      <c r="R37" s="13"/>
      <c r="S37" s="16"/>
      <c r="T37" s="16"/>
      <c r="U37" s="13"/>
      <c r="V37" s="13"/>
      <c r="W37" s="16"/>
      <c r="X37" s="16"/>
      <c r="Y37" s="16"/>
      <c r="Z37" s="13"/>
      <c r="AA37" s="16"/>
      <c r="AB37" s="16"/>
      <c r="AC37" s="13"/>
      <c r="AD37" s="16"/>
      <c r="AE37" s="16"/>
      <c r="AF37" s="16"/>
      <c r="AG37" s="16"/>
      <c r="AH37" s="16"/>
      <c r="AI37" s="16"/>
      <c r="AJ37" s="16"/>
      <c r="AK37" s="16"/>
      <c r="AL37" s="16"/>
      <c r="AM37" s="16"/>
      <c r="AN37" s="16"/>
      <c r="AO37" s="16"/>
      <c r="AP37" s="16"/>
      <c r="AQ37" s="16"/>
      <c r="AR37" s="16"/>
    </row>
    <row r="38" spans="1:44" s="31" customFormat="1" x14ac:dyDescent="0.35">
      <c r="A38" s="21">
        <v>1</v>
      </c>
      <c r="B38" s="18"/>
      <c r="C38" s="19"/>
      <c r="D38" s="17"/>
      <c r="E38" s="17"/>
      <c r="F38" s="17"/>
      <c r="G38" s="20"/>
      <c r="H38" s="17"/>
      <c r="I38" s="17"/>
      <c r="J38" s="92">
        <f t="shared" si="7"/>
        <v>-2014</v>
      </c>
      <c r="K38" s="65"/>
      <c r="L38" s="64"/>
      <c r="M38" s="64"/>
      <c r="N38" s="72">
        <f t="shared" si="0"/>
        <v>0</v>
      </c>
      <c r="O38" s="64"/>
      <c r="P38" s="87">
        <f t="shared" si="8"/>
        <v>0</v>
      </c>
      <c r="Q38" s="64"/>
      <c r="R38" s="87" t="e">
        <f t="shared" si="9"/>
        <v>#DIV/0!</v>
      </c>
      <c r="S38" s="64"/>
      <c r="T38" s="64"/>
      <c r="U38" s="88">
        <f>(Q38+T38)</f>
        <v>0</v>
      </c>
      <c r="V38" s="88">
        <f>U38*12</f>
        <v>0</v>
      </c>
      <c r="W38" s="64"/>
      <c r="X38" s="64"/>
      <c r="Y38" s="64"/>
      <c r="Z38" s="72">
        <f>SUM(V38:Y38)</f>
        <v>0</v>
      </c>
      <c r="AA38" s="64"/>
      <c r="AB38" s="64"/>
      <c r="AC38" s="72">
        <f t="shared" si="13"/>
        <v>0</v>
      </c>
      <c r="AD38" s="19"/>
      <c r="AE38" s="19"/>
      <c r="AF38" s="32"/>
      <c r="AG38" s="17"/>
      <c r="AH38" s="65"/>
      <c r="AI38" s="65"/>
      <c r="AJ38" s="65"/>
      <c r="AK38" s="66"/>
      <c r="AL38" s="67"/>
      <c r="AM38" s="17"/>
      <c r="AN38" s="65"/>
      <c r="AO38" s="65"/>
      <c r="AP38" s="65"/>
      <c r="AQ38" s="67"/>
      <c r="AR38" s="19"/>
    </row>
    <row r="39" spans="1:44" s="31" customFormat="1" x14ac:dyDescent="0.35">
      <c r="A39" s="21">
        <v>2</v>
      </c>
      <c r="B39" s="18"/>
      <c r="C39" s="19"/>
      <c r="D39" s="17"/>
      <c r="E39" s="17"/>
      <c r="F39" s="17"/>
      <c r="G39" s="20"/>
      <c r="H39" s="17"/>
      <c r="I39" s="17"/>
      <c r="J39" s="92">
        <f t="shared" si="7"/>
        <v>-2014</v>
      </c>
      <c r="K39" s="65"/>
      <c r="L39" s="64"/>
      <c r="M39" s="64"/>
      <c r="N39" s="72">
        <f t="shared" si="0"/>
        <v>0</v>
      </c>
      <c r="O39" s="64"/>
      <c r="P39" s="87">
        <f t="shared" si="8"/>
        <v>0</v>
      </c>
      <c r="Q39" s="64"/>
      <c r="R39" s="87" t="e">
        <f t="shared" si="9"/>
        <v>#DIV/0!</v>
      </c>
      <c r="S39" s="64"/>
      <c r="T39" s="64"/>
      <c r="U39" s="88">
        <f>(Q39+T39)</f>
        <v>0</v>
      </c>
      <c r="V39" s="88">
        <f>U39*12</f>
        <v>0</v>
      </c>
      <c r="W39" s="64"/>
      <c r="X39" s="64"/>
      <c r="Y39" s="64"/>
      <c r="Z39" s="72">
        <f>SUM(V39:Y39)</f>
        <v>0</v>
      </c>
      <c r="AA39" s="64"/>
      <c r="AB39" s="64"/>
      <c r="AC39" s="72">
        <f t="shared" si="13"/>
        <v>0</v>
      </c>
      <c r="AD39" s="19"/>
      <c r="AE39" s="19"/>
      <c r="AF39" s="32"/>
      <c r="AG39" s="17"/>
      <c r="AH39" s="65"/>
      <c r="AI39" s="65"/>
      <c r="AJ39" s="65"/>
      <c r="AK39" s="66"/>
      <c r="AL39" s="67"/>
      <c r="AM39" s="17"/>
      <c r="AN39" s="65"/>
      <c r="AO39" s="65"/>
      <c r="AP39" s="65"/>
      <c r="AQ39" s="67"/>
      <c r="AR39" s="19"/>
    </row>
    <row r="40" spans="1:44" s="31" customFormat="1" x14ac:dyDescent="0.35">
      <c r="A40" s="21">
        <v>3</v>
      </c>
      <c r="B40" s="18"/>
      <c r="C40" s="19"/>
      <c r="D40" s="17"/>
      <c r="E40" s="17"/>
      <c r="F40" s="17"/>
      <c r="G40" s="20"/>
      <c r="H40" s="17"/>
      <c r="I40" s="17"/>
      <c r="J40" s="92">
        <f t="shared" si="7"/>
        <v>-2014</v>
      </c>
      <c r="K40" s="65"/>
      <c r="L40" s="64"/>
      <c r="M40" s="64"/>
      <c r="N40" s="72">
        <f t="shared" si="0"/>
        <v>0</v>
      </c>
      <c r="O40" s="64"/>
      <c r="P40" s="87">
        <f t="shared" si="8"/>
        <v>0</v>
      </c>
      <c r="Q40" s="64"/>
      <c r="R40" s="87" t="e">
        <f t="shared" si="9"/>
        <v>#DIV/0!</v>
      </c>
      <c r="S40" s="64"/>
      <c r="T40" s="64"/>
      <c r="U40" s="88">
        <f>(Q40+T40)</f>
        <v>0</v>
      </c>
      <c r="V40" s="88">
        <f>U40*12</f>
        <v>0</v>
      </c>
      <c r="W40" s="64"/>
      <c r="X40" s="64"/>
      <c r="Y40" s="64"/>
      <c r="Z40" s="72">
        <f>SUM(V40:Y40)</f>
        <v>0</v>
      </c>
      <c r="AA40" s="64"/>
      <c r="AB40" s="64"/>
      <c r="AC40" s="72">
        <f t="shared" si="13"/>
        <v>0</v>
      </c>
      <c r="AD40" s="19"/>
      <c r="AE40" s="19"/>
      <c r="AF40" s="32"/>
      <c r="AG40" s="17"/>
      <c r="AH40" s="65"/>
      <c r="AI40" s="65"/>
      <c r="AJ40" s="65"/>
      <c r="AK40" s="66"/>
      <c r="AL40" s="67"/>
      <c r="AM40" s="17"/>
      <c r="AN40" s="65"/>
      <c r="AO40" s="65"/>
      <c r="AP40" s="65"/>
      <c r="AQ40" s="67"/>
      <c r="AR40" s="19"/>
    </row>
    <row r="41" spans="1:44" s="31" customFormat="1" x14ac:dyDescent="0.35">
      <c r="A41" s="74" t="s">
        <v>121</v>
      </c>
      <c r="B41" s="18"/>
      <c r="C41" s="19"/>
      <c r="D41" s="17"/>
      <c r="E41" s="17"/>
      <c r="F41" s="17"/>
      <c r="G41" s="20"/>
      <c r="H41" s="17"/>
      <c r="I41" s="17"/>
      <c r="J41" s="92">
        <f t="shared" si="7"/>
        <v>-2014</v>
      </c>
      <c r="K41" s="65"/>
      <c r="L41" s="64"/>
      <c r="M41" s="64"/>
      <c r="N41" s="72">
        <f t="shared" si="0"/>
        <v>0</v>
      </c>
      <c r="O41" s="64"/>
      <c r="P41" s="87">
        <f t="shared" si="8"/>
        <v>0</v>
      </c>
      <c r="Q41" s="64"/>
      <c r="R41" s="87" t="e">
        <f t="shared" si="9"/>
        <v>#DIV/0!</v>
      </c>
      <c r="S41" s="64"/>
      <c r="T41" s="64"/>
      <c r="U41" s="88">
        <f>(Q41+T41)</f>
        <v>0</v>
      </c>
      <c r="V41" s="88">
        <f>U41*12</f>
        <v>0</v>
      </c>
      <c r="W41" s="64"/>
      <c r="X41" s="64"/>
      <c r="Y41" s="64"/>
      <c r="Z41" s="72">
        <f>SUM(V41:Y41)</f>
        <v>0</v>
      </c>
      <c r="AA41" s="64"/>
      <c r="AB41" s="64"/>
      <c r="AC41" s="72">
        <f t="shared" si="13"/>
        <v>0</v>
      </c>
      <c r="AD41" s="19"/>
      <c r="AE41" s="19"/>
      <c r="AF41" s="32"/>
      <c r="AG41" s="17"/>
      <c r="AH41" s="65"/>
      <c r="AI41" s="65"/>
      <c r="AJ41" s="65"/>
      <c r="AK41" s="66"/>
      <c r="AL41" s="67"/>
      <c r="AM41" s="17"/>
      <c r="AN41" s="65"/>
      <c r="AO41" s="65"/>
      <c r="AP41" s="65"/>
      <c r="AQ41" s="67"/>
      <c r="AR41" s="19"/>
    </row>
    <row r="42" spans="1:44" x14ac:dyDescent="0.35">
      <c r="A42" s="23"/>
      <c r="B42" s="24"/>
      <c r="C42" s="25"/>
      <c r="D42" s="26"/>
      <c r="E42" s="26"/>
      <c r="F42" s="26"/>
      <c r="G42" s="26"/>
      <c r="H42" s="26"/>
      <c r="I42" s="27"/>
      <c r="J42" s="25"/>
      <c r="K42" s="25"/>
      <c r="L42" s="26"/>
      <c r="M42" s="26"/>
      <c r="N42" s="26"/>
      <c r="O42" s="26"/>
      <c r="P42" s="89"/>
      <c r="Q42" s="26"/>
      <c r="R42" s="26"/>
      <c r="S42" s="26"/>
      <c r="T42" s="26"/>
      <c r="U42" s="33"/>
      <c r="V42" s="33"/>
      <c r="W42" s="33"/>
      <c r="X42" s="33"/>
      <c r="Y42" s="33"/>
      <c r="Z42" s="33"/>
      <c r="AA42" s="33"/>
      <c r="AB42" s="33"/>
      <c r="AC42" s="33"/>
      <c r="AD42" s="34"/>
      <c r="AE42" s="34"/>
      <c r="AF42" s="34"/>
      <c r="AG42" s="26"/>
      <c r="AH42" s="26"/>
      <c r="AI42" s="26"/>
      <c r="AJ42" s="34"/>
      <c r="AK42" s="34"/>
      <c r="AL42" s="34"/>
      <c r="AM42" s="26"/>
      <c r="AN42" s="26"/>
      <c r="AO42" s="34"/>
      <c r="AP42" s="34"/>
    </row>
    <row r="43" spans="1:44" x14ac:dyDescent="0.35">
      <c r="A43" s="23"/>
      <c r="B43" s="24"/>
      <c r="C43" s="25"/>
      <c r="D43" s="26"/>
      <c r="E43" s="26"/>
      <c r="F43" s="26"/>
      <c r="G43" s="26"/>
      <c r="H43" s="26"/>
      <c r="I43" s="27"/>
      <c r="J43" s="25"/>
      <c r="K43" s="25"/>
      <c r="L43" s="26"/>
      <c r="M43" s="26"/>
      <c r="N43" s="26"/>
      <c r="O43" s="26"/>
      <c r="P43" s="26"/>
      <c r="Q43" s="26"/>
      <c r="R43" s="26"/>
      <c r="S43" s="26"/>
      <c r="T43" s="26"/>
      <c r="U43" s="33"/>
      <c r="V43" s="33"/>
      <c r="W43" s="33"/>
      <c r="X43" s="33"/>
      <c r="Y43" s="33"/>
      <c r="Z43" s="33"/>
      <c r="AA43" s="33"/>
      <c r="AB43" s="33"/>
      <c r="AC43" s="33"/>
      <c r="AD43" s="34"/>
      <c r="AE43" s="34"/>
      <c r="AF43" s="34"/>
      <c r="AG43" s="26"/>
      <c r="AH43" s="26"/>
      <c r="AI43" s="26"/>
      <c r="AJ43" s="34"/>
      <c r="AK43" s="34"/>
      <c r="AL43" s="34"/>
      <c r="AM43" s="26"/>
      <c r="AN43" s="26"/>
      <c r="AO43" s="34"/>
      <c r="AP43" s="34"/>
    </row>
    <row r="44" spans="1:44" x14ac:dyDescent="0.35">
      <c r="B44" s="29"/>
    </row>
  </sheetData>
  <sheetProtection formatCells="0" formatColumns="0" formatRows="0" insertRows="0" deleteRows="0" sort="0" autoFilter="0" pivotTables="0"/>
  <scenarios current="0">
    <scenario name="8-րդ կետ" locked="1" count="1" user="Marine Shishyan" comment="Автор: Marine Shishyan , 12/4/2023">
      <inputCells r="AD15" val="առաջարկվում է հատկացնել նոր ավտոմեքենա՝ համաձայն Կարգի 8-րդ կետի պահանջների"/>
    </scenario>
  </scenarios>
  <autoFilter ref="A13:AR41"/>
  <dataConsolidate/>
  <mergeCells count="5">
    <mergeCell ref="AL10:AR10"/>
    <mergeCell ref="C10:L10"/>
    <mergeCell ref="M10:U10"/>
    <mergeCell ref="V10:AC10"/>
    <mergeCell ref="AG10:AJ10"/>
  </mergeCells>
  <conditionalFormatting sqref="J14:J17 J26:J36">
    <cfRule type="cellIs" dxfId="12" priority="17" stopIfTrue="1" operator="equal">
      <formula>-2014</formula>
    </cfRule>
  </conditionalFormatting>
  <conditionalFormatting sqref="J19:J20">
    <cfRule type="cellIs" dxfId="11" priority="12" stopIfTrue="1" operator="equal">
      <formula>-2014</formula>
    </cfRule>
  </conditionalFormatting>
  <conditionalFormatting sqref="J38:J41">
    <cfRule type="cellIs" dxfId="10" priority="11" stopIfTrue="1" operator="equal">
      <formula>-2014</formula>
    </cfRule>
  </conditionalFormatting>
  <conditionalFormatting sqref="R19:R20 R38:R41 R26:R36 P26:P36">
    <cfRule type="cellIs" dxfId="9" priority="10" operator="greaterThan">
      <formula>0</formula>
    </cfRule>
  </conditionalFormatting>
  <conditionalFormatting sqref="R14:R17">
    <cfRule type="cellIs" dxfId="8" priority="9" operator="greaterThan">
      <formula>0</formula>
    </cfRule>
  </conditionalFormatting>
  <conditionalFormatting sqref="P19:P20 P38:P41">
    <cfRule type="cellIs" dxfId="7" priority="8" operator="greaterThan">
      <formula>0</formula>
    </cfRule>
  </conditionalFormatting>
  <conditionalFormatting sqref="P14:P17">
    <cfRule type="cellIs" dxfId="6" priority="7" operator="greaterThan">
      <formula>0</formula>
    </cfRule>
  </conditionalFormatting>
  <conditionalFormatting sqref="J21:J22">
    <cfRule type="cellIs" dxfId="5" priority="6" stopIfTrue="1" operator="equal">
      <formula>-2014</formula>
    </cfRule>
  </conditionalFormatting>
  <conditionalFormatting sqref="R21:R22">
    <cfRule type="cellIs" dxfId="4" priority="5" operator="greaterThan">
      <formula>0</formula>
    </cfRule>
  </conditionalFormatting>
  <conditionalFormatting sqref="P21:P22">
    <cfRule type="cellIs" dxfId="3" priority="4" operator="greaterThan">
      <formula>0</formula>
    </cfRule>
  </conditionalFormatting>
  <conditionalFormatting sqref="J23:J25">
    <cfRule type="cellIs" dxfId="2" priority="3" stopIfTrue="1" operator="equal">
      <formula>-2014</formula>
    </cfRule>
  </conditionalFormatting>
  <conditionalFormatting sqref="R23:R25">
    <cfRule type="cellIs" dxfId="1" priority="2" operator="greaterThan">
      <formula>0</formula>
    </cfRule>
  </conditionalFormatting>
  <conditionalFormatting sqref="P23:P25">
    <cfRule type="cellIs" dxfId="0" priority="1" operator="greaterThan">
      <formula>0</formula>
    </cfRule>
  </conditionalFormatting>
  <dataValidations count="10">
    <dataValidation type="list" allowBlank="1" showInputMessage="1" showErrorMessage="1" sqref="AF14:AF17 AK14:AK17 AF38:AF41 AF19:AF36 AK19:AK36">
      <formula1>$F$4:$F$5</formula1>
    </dataValidation>
    <dataValidation type="whole" operator="equal" allowBlank="1" showInputMessage="1" showErrorMessage="1" sqref="J12">
      <formula1>2024</formula1>
    </dataValidation>
    <dataValidation type="custom" allowBlank="1" showInputMessage="1" showErrorMessage="1" errorTitle="սխալ է" error="բանաձևը ներմուծված է, անհրաժեշտ է լրացնել նախորդ /ձախակողմյան/ սյունակը" sqref="J38:J41 J36">
      <formula1>IF(I40="մինչև 2000","օգտակար ծառայության ժամկետը սպառված",10-($J$12-I50))</formula1>
    </dataValidation>
    <dataValidation type="custom" allowBlank="1" showInputMessage="1" showErrorMessage="1" errorTitle="սխալ է" error="բանաձևը ներմուծված է, անհրաժեշտ է լրացնել նախորդ /ձախակողմյան/ սյունակը" sqref="J34:J35">
      <formula1>IF(I38="մինչև 2000","օգտակար ծառայության ժամկետը սպառված",10-($J$12-I47))</formula1>
    </dataValidation>
    <dataValidation type="custom" allowBlank="1" showInputMessage="1" showErrorMessage="1" errorTitle="սխալ է" error="բանաձևը ներմուծված է, անհրաժեշտ է լրացնել նախորդ /ձախակողմյան/ սյունակը" sqref="J26:J30">
      <formula1>IF(I30="մինչև 2000","օգտակար ծառայության ժամկետը սպառված",10-($J$12-I42))</formula1>
    </dataValidation>
    <dataValidation type="custom" allowBlank="1" showInputMessage="1" showErrorMessage="1" errorTitle="սխալ է" error="բանաձևը ներմուծված է, անհրաժեշտ է լրացնել նախորդ /ձախակողմյան/ սյունակը" sqref="J19:J20">
      <formula1>IF(I30="մինչև 2000","օգտակար ծառայության ժամկետը սպառված",10-($J$12-I42))</formula1>
    </dataValidation>
    <dataValidation type="custom" allowBlank="1" showInputMessage="1" showErrorMessage="1" errorTitle="սխալ է" error="բանաձևը ներմուծված է, անհրաժեշտ է լրացնել նախորդ /ձախակողմյան/ սյունակը" sqref="J21:J22">
      <formula1>IF(I27="մինչև 2000","օգտակար ծառայության ժամկետը սպառված",10-($J$12-I39))</formula1>
    </dataValidation>
    <dataValidation type="custom" allowBlank="1" showInputMessage="1" showErrorMessage="1" errorTitle="սխալ է" error="բանաձևը ներմուծված է, անհրաժեշտ է լրացնել նախորդ /ձախակողմյան/ սյունակը" sqref="J23:J25">
      <formula1>IF(I26="մինչև 2000","օգտակար ծառայության ժամկետը սպառված",10-($J$12-I38))</formula1>
    </dataValidation>
    <dataValidation type="custom" allowBlank="1" showInputMessage="1" showErrorMessage="1" errorTitle="սխալ է" error="բանաձևը ներմուծված է, անհրաժեշտ է լրացնել նախորդ /ձախակողմյան/ սյունակը" sqref="J31:J33">
      <formula1>IF(I29="մինչև 2000","օգտակար ծառայության ժամկետը սպառված",10-($J$12-I41))</formula1>
    </dataValidation>
    <dataValidation type="custom" allowBlank="1" showInputMessage="1" showErrorMessage="1" errorTitle="սխալ է" error="բանաձևը ներմուծված է, անհրաժեշտ է լրացնել նախորդ /ձախակողմյան/ սյունակը" sqref="J14:J17">
      <formula1>IF(I20="մինչև 2000","օգտակար ծառայության ժամկետը սպառված",10-($J$12-I39))</formula1>
    </dataValidation>
  </dataValidations>
  <pageMargins left="0.7" right="0.7" top="0.75" bottom="0.75" header="0.3" footer="0.3"/>
  <pageSetup orientation="portrait" verticalDpi="0" r:id="rId1"/>
  <ignoredErrors>
    <ignoredError sqref="R26:R27 R21:R25" evalError="1"/>
    <ignoredError sqref="R18:R20 R14 R34:R41 R28:R30" evalError="1" unlockedFormula="1"/>
    <ignoredError sqref="J28 N14 P14 S35:V35 J35 J29 P29 N29 S18:AQ18 J18:M18 J26:J27 J12 J14:J15 S15:V15 N15 J19:J25 S37:AQ37 J36:Q41 J30 S29:V29 O18:Q18 N19 P19 N20 P20 N28 P28 N30 P30 J34 N34 P34 P35 S14:V14 Z14 Z15 S20:V20 S19:V19 Z19 Z20 S30:V30 Z30 S34:V34 Z34 Z35 AC14 AE15:AQ15 AC20 S28:V28 AC28 AC30 AC34 AC35 AC19 AC29 Z29 Z28 AF14:AK14 AE19:AQ19 AE20:AQ20 AE28:AQ28 AE29:AQ29 AE30:AQ30 AE34:AQ34 AE35:AQ35 S36:AC36 AE36:AQ36 S41:AC41 S38:AC38 AE38:AQ38 S39:AC39 AE39:AQ39 S40:AC40 AE40:AQ40 AE41:AQ41 AQ14" unlockedFormula="1"/>
  </ignoredErrors>
  <extLst>
    <ext xmlns:x14="http://schemas.microsoft.com/office/spreadsheetml/2009/9/main" uri="{CCE6A557-97BC-4b89-ADB6-D9C93CAAB3DF}">
      <x14:dataValidations xmlns:xm="http://schemas.microsoft.com/office/excel/2006/main" count="9">
        <x14:dataValidation type="list" allowBlank="1" showInputMessage="1" showErrorMessage="1">
          <x14:formula1>
            <xm:f>List!$D$3:$D$7</xm:f>
          </x14:formula1>
          <xm:sqref>G14:G17 G38:G41 AI38:AI41 AO14:AO17 AI14:AI17 AO38:AO41 AO19:AO36 AI19:AI36 G19:G36</xm:sqref>
        </x14:dataValidation>
        <x14:dataValidation type="list" allowBlank="1" showInputMessage="1" showErrorMessage="1">
          <x14:formula1>
            <xm:f>List!$C$3:$C$7</xm:f>
          </x14:formula1>
          <xm:sqref>F38:F41 F14:F17 AH38:AH41 AN14:AN17 AH14:AH17 AN38:AN41 AN19:AN36 AH19:AH36 F19:F36</xm:sqref>
        </x14:dataValidation>
        <x14:dataValidation type="list" allowBlank="1" showInputMessage="1" showErrorMessage="1">
          <x14:formula1>
            <xm:f>List!$F$3:$F$4</xm:f>
          </x14:formula1>
          <xm:sqref>K38:K41 K14:K17 AJ38:AK41 AP14:AP17 AJ14:AJ17 AP38:AP41 AP19:AP36 AJ19:AJ36 K19:K36</xm:sqref>
        </x14:dataValidation>
        <x14:dataValidation type="list" allowBlank="1" showInputMessage="1" showErrorMessage="1">
          <x14:formula1>
            <xm:f>List!$B$3:$B$8</xm:f>
          </x14:formula1>
          <xm:sqref>E38:E41 E14:E17 AG38:AG41 AG14:AG17 AM38:AM41 AM14:AM17 AM19:AM36 AG19:AG36 E19:E36</xm:sqref>
        </x14:dataValidation>
        <x14:dataValidation type="list" allowBlank="1" showInputMessage="1" showErrorMessage="1">
          <x14:formula1>
            <xm:f>List!$E$3:$E$26</xm:f>
          </x14:formula1>
          <xm:sqref>I14:I17 I38:I41 I19:I36</xm:sqref>
        </x14:dataValidation>
        <x14:dataValidation type="list" allowBlank="1" showInputMessage="1" showErrorMessage="1">
          <x14:formula1>
            <xm:f>List!$A$3:$A$4</xm:f>
          </x14:formula1>
          <xm:sqref>C14:C17</xm:sqref>
        </x14:dataValidation>
        <x14:dataValidation type="list" allowBlank="1" showInputMessage="1" showErrorMessage="1">
          <x14:formula1>
            <xm:f>List!$A$4:$A$7</xm:f>
          </x14:formula1>
          <xm:sqref>C38:C41 C19:C36</xm:sqref>
        </x14:dataValidation>
        <x14:dataValidation type="list" allowBlank="1" showInputMessage="1" showErrorMessage="1">
          <x14:formula1>
            <xm:f>List!$H$3:$H$5</xm:f>
          </x14:formula1>
          <xm:sqref>AE14:AE17 AE38:AE41 AE19:AE36</xm:sqref>
        </x14:dataValidation>
        <x14:dataValidation type="list" allowBlank="1" showInputMessage="1" showErrorMessage="1">
          <x14:formula1>
            <xm:f>List!$G$3:$G$5</xm:f>
          </x14:formula1>
          <xm:sqref>AD14:AD17 AD38:AD41 AD19:AD36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47"/>
  <sheetViews>
    <sheetView topLeftCell="B31" workbookViewId="0">
      <selection activeCell="B36" sqref="B36"/>
    </sheetView>
  </sheetViews>
  <sheetFormatPr defaultColWidth="5.33203125" defaultRowHeight="17.25" x14ac:dyDescent="0.3"/>
  <cols>
    <col min="1" max="1" width="5.33203125" style="69"/>
    <col min="2" max="2" width="142.33203125" style="70" customWidth="1"/>
    <col min="3" max="16384" width="5.33203125" style="68"/>
  </cols>
  <sheetData>
    <row r="2" spans="1:2" ht="65.25" customHeight="1" x14ac:dyDescent="0.3">
      <c r="B2" s="96" t="s">
        <v>128</v>
      </c>
    </row>
    <row r="3" spans="1:2" ht="27" customHeight="1" x14ac:dyDescent="0.3">
      <c r="A3" s="90" t="s">
        <v>57</v>
      </c>
      <c r="B3" s="91" t="s">
        <v>122</v>
      </c>
    </row>
    <row r="4" spans="1:2" ht="26.25" customHeight="1" x14ac:dyDescent="0.3">
      <c r="A4" s="69">
        <v>1</v>
      </c>
      <c r="B4" s="70" t="s">
        <v>126</v>
      </c>
    </row>
    <row r="5" spans="1:2" ht="66.75" customHeight="1" x14ac:dyDescent="0.3">
      <c r="A5" s="69">
        <v>2</v>
      </c>
      <c r="B5" s="70" t="s">
        <v>77</v>
      </c>
    </row>
    <row r="6" spans="1:2" ht="99.75" customHeight="1" x14ac:dyDescent="0.3">
      <c r="A6" s="69">
        <v>3</v>
      </c>
      <c r="B6" s="70" t="s">
        <v>120</v>
      </c>
    </row>
    <row r="7" spans="1:2" ht="31.5" customHeight="1" x14ac:dyDescent="0.3">
      <c r="A7" s="69">
        <v>4</v>
      </c>
      <c r="B7" s="70" t="s">
        <v>115</v>
      </c>
    </row>
    <row r="8" spans="1:2" ht="24.75" customHeight="1" x14ac:dyDescent="0.3">
      <c r="A8" s="69">
        <v>5</v>
      </c>
      <c r="B8" s="70" t="s">
        <v>101</v>
      </c>
    </row>
    <row r="9" spans="1:2" ht="30" customHeight="1" x14ac:dyDescent="0.3">
      <c r="A9" s="69">
        <v>6</v>
      </c>
      <c r="B9" s="70" t="s">
        <v>100</v>
      </c>
    </row>
    <row r="10" spans="1:2" ht="42.75" customHeight="1" x14ac:dyDescent="0.3">
      <c r="A10" s="69">
        <v>7</v>
      </c>
      <c r="B10" s="70" t="s">
        <v>102</v>
      </c>
    </row>
    <row r="11" spans="1:2" ht="33.75" customHeight="1" x14ac:dyDescent="0.3">
      <c r="A11" s="69">
        <v>8</v>
      </c>
      <c r="B11" s="70" t="s">
        <v>103</v>
      </c>
    </row>
    <row r="12" spans="1:2" ht="33.75" customHeight="1" x14ac:dyDescent="0.3">
      <c r="A12" s="69">
        <v>9</v>
      </c>
      <c r="B12" s="70" t="s">
        <v>119</v>
      </c>
    </row>
    <row r="13" spans="1:2" ht="51.75" customHeight="1" x14ac:dyDescent="0.3">
      <c r="A13" s="69">
        <v>10</v>
      </c>
      <c r="B13" s="70" t="s">
        <v>118</v>
      </c>
    </row>
    <row r="15" spans="1:2" x14ac:dyDescent="0.3">
      <c r="B15" s="84" t="s">
        <v>117</v>
      </c>
    </row>
    <row r="16" spans="1:2" ht="35.25" customHeight="1" x14ac:dyDescent="0.3">
      <c r="B16" s="70" t="s">
        <v>79</v>
      </c>
    </row>
    <row r="17" spans="2:2" x14ac:dyDescent="0.3">
      <c r="B17" s="71" t="s">
        <v>80</v>
      </c>
    </row>
    <row r="18" spans="2:2" x14ac:dyDescent="0.3">
      <c r="B18" s="71" t="s">
        <v>81</v>
      </c>
    </row>
    <row r="19" spans="2:2" ht="31.5" customHeight="1" x14ac:dyDescent="0.3">
      <c r="B19" s="71" t="s">
        <v>99</v>
      </c>
    </row>
    <row r="20" spans="2:2" x14ac:dyDescent="0.3">
      <c r="B20" s="71" t="s">
        <v>82</v>
      </c>
    </row>
    <row r="21" spans="2:2" x14ac:dyDescent="0.3">
      <c r="B21" s="71" t="s">
        <v>83</v>
      </c>
    </row>
    <row r="22" spans="2:2" ht="32.25" customHeight="1" x14ac:dyDescent="0.3">
      <c r="B22" s="71" t="s">
        <v>84</v>
      </c>
    </row>
    <row r="23" spans="2:2" ht="65.25" customHeight="1" x14ac:dyDescent="0.3">
      <c r="B23" s="71" t="s">
        <v>85</v>
      </c>
    </row>
    <row r="24" spans="2:2" ht="43.5" customHeight="1" x14ac:dyDescent="0.3">
      <c r="B24" s="73" t="s">
        <v>114</v>
      </c>
    </row>
    <row r="25" spans="2:2" ht="51.75" x14ac:dyDescent="0.3">
      <c r="B25" s="73" t="s">
        <v>31</v>
      </c>
    </row>
    <row r="26" spans="2:2" x14ac:dyDescent="0.3">
      <c r="B26" s="73" t="s">
        <v>32</v>
      </c>
    </row>
    <row r="27" spans="2:2" x14ac:dyDescent="0.3">
      <c r="B27" s="73" t="s">
        <v>33</v>
      </c>
    </row>
    <row r="28" spans="2:2" ht="27" customHeight="1" x14ac:dyDescent="0.3">
      <c r="B28" s="71" t="s">
        <v>86</v>
      </c>
    </row>
    <row r="29" spans="2:2" x14ac:dyDescent="0.3">
      <c r="B29" s="71" t="s">
        <v>87</v>
      </c>
    </row>
    <row r="30" spans="2:2" x14ac:dyDescent="0.3">
      <c r="B30" s="71" t="s">
        <v>88</v>
      </c>
    </row>
    <row r="31" spans="2:2" x14ac:dyDescent="0.3">
      <c r="B31" s="71" t="s">
        <v>89</v>
      </c>
    </row>
    <row r="32" spans="2:2" x14ac:dyDescent="0.3">
      <c r="B32" s="71" t="s">
        <v>90</v>
      </c>
    </row>
    <row r="33" spans="2:2" x14ac:dyDescent="0.3">
      <c r="B33" s="71" t="s">
        <v>91</v>
      </c>
    </row>
    <row r="34" spans="2:2" x14ac:dyDescent="0.3">
      <c r="B34" s="71" t="s">
        <v>92</v>
      </c>
    </row>
    <row r="35" spans="2:2" x14ac:dyDescent="0.3">
      <c r="B35" s="71" t="s">
        <v>93</v>
      </c>
    </row>
    <row r="36" spans="2:2" ht="77.25" customHeight="1" x14ac:dyDescent="0.3">
      <c r="B36" s="71" t="s">
        <v>94</v>
      </c>
    </row>
    <row r="37" spans="2:2" ht="42.75" customHeight="1" x14ac:dyDescent="0.3">
      <c r="B37" s="70" t="s">
        <v>123</v>
      </c>
    </row>
    <row r="38" spans="2:2" ht="30.75" customHeight="1" x14ac:dyDescent="0.3">
      <c r="B38" s="70" t="s">
        <v>96</v>
      </c>
    </row>
    <row r="39" spans="2:2" ht="34.5" x14ac:dyDescent="0.3">
      <c r="B39" s="70" t="s">
        <v>97</v>
      </c>
    </row>
    <row r="40" spans="2:2" x14ac:dyDescent="0.3">
      <c r="B40" s="70" t="s">
        <v>98</v>
      </c>
    </row>
    <row r="44" spans="2:2" x14ac:dyDescent="0.3">
      <c r="B44" s="71" t="s">
        <v>78</v>
      </c>
    </row>
    <row r="45" spans="2:2" x14ac:dyDescent="0.3">
      <c r="B45" s="71"/>
    </row>
    <row r="46" spans="2:2" x14ac:dyDescent="0.3">
      <c r="B46" s="71" t="s">
        <v>95</v>
      </c>
    </row>
    <row r="47" spans="2:2" x14ac:dyDescent="0.3">
      <c r="B47" s="71"/>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sheetViews>
  <sheetFormatPr defaultRowHeight="20.25" x14ac:dyDescent="0.35"/>
  <cols>
    <col min="1" max="1" width="18.9140625" customWidth="1"/>
    <col min="3" max="3" width="11.4140625" customWidth="1"/>
    <col min="4" max="4" width="23" customWidth="1"/>
    <col min="5" max="5" width="17" customWidth="1"/>
    <col min="6" max="6" width="9.4140625" customWidth="1"/>
    <col min="7" max="7" width="39" customWidth="1"/>
    <col min="8" max="8" width="33.08203125" customWidth="1"/>
  </cols>
  <sheetData>
    <row r="1" spans="1:8" x14ac:dyDescent="0.35">
      <c r="A1">
        <v>2024</v>
      </c>
    </row>
    <row r="2" spans="1:8" ht="103.5" x14ac:dyDescent="0.35">
      <c r="A2" s="6" t="s">
        <v>3</v>
      </c>
      <c r="B2" s="6" t="s">
        <v>14</v>
      </c>
      <c r="C2" s="6" t="s">
        <v>27</v>
      </c>
      <c r="D2" s="6" t="s">
        <v>15</v>
      </c>
      <c r="E2" s="6" t="s">
        <v>44</v>
      </c>
      <c r="F2" s="6" t="s">
        <v>37</v>
      </c>
      <c r="G2" s="6" t="s">
        <v>38</v>
      </c>
      <c r="H2" s="6" t="s">
        <v>48</v>
      </c>
    </row>
    <row r="3" spans="1:8" ht="97.5" customHeight="1" x14ac:dyDescent="0.35">
      <c r="A3" s="2" t="s">
        <v>34</v>
      </c>
      <c r="B3" s="3" t="s">
        <v>11</v>
      </c>
      <c r="C3" s="3" t="s">
        <v>12</v>
      </c>
      <c r="D3" s="3" t="s">
        <v>16</v>
      </c>
      <c r="E3" s="3" t="s">
        <v>67</v>
      </c>
      <c r="F3" s="3" t="s">
        <v>17</v>
      </c>
      <c r="G3" s="4" t="s">
        <v>39</v>
      </c>
      <c r="H3" s="4" t="s">
        <v>41</v>
      </c>
    </row>
    <row r="4" spans="1:8" ht="84" customHeight="1" x14ac:dyDescent="0.35">
      <c r="A4" s="2" t="s">
        <v>35</v>
      </c>
      <c r="B4" s="3" t="s">
        <v>19</v>
      </c>
      <c r="C4" s="3" t="s">
        <v>18</v>
      </c>
      <c r="D4" s="3" t="s">
        <v>28</v>
      </c>
      <c r="E4" s="3">
        <v>2001</v>
      </c>
      <c r="F4" s="3" t="s">
        <v>20</v>
      </c>
      <c r="G4" s="4" t="s">
        <v>40</v>
      </c>
      <c r="H4" s="4" t="s">
        <v>42</v>
      </c>
    </row>
    <row r="5" spans="1:8" ht="81.75" customHeight="1" x14ac:dyDescent="0.35">
      <c r="A5" s="2" t="s">
        <v>36</v>
      </c>
      <c r="B5" s="3" t="s">
        <v>22</v>
      </c>
      <c r="C5" s="3" t="s">
        <v>21</v>
      </c>
      <c r="D5" s="3" t="s">
        <v>64</v>
      </c>
      <c r="E5" s="3">
        <v>2002</v>
      </c>
      <c r="F5" s="3"/>
      <c r="G5" s="4" t="s">
        <v>55</v>
      </c>
      <c r="H5" s="4" t="s">
        <v>43</v>
      </c>
    </row>
    <row r="6" spans="1:8" ht="87" x14ac:dyDescent="0.35">
      <c r="A6" s="2" t="s">
        <v>76</v>
      </c>
      <c r="B6" s="3" t="s">
        <v>24</v>
      </c>
      <c r="C6" s="3" t="s">
        <v>23</v>
      </c>
      <c r="D6" s="3" t="s">
        <v>65</v>
      </c>
      <c r="E6" s="3">
        <v>2003</v>
      </c>
    </row>
    <row r="7" spans="1:8" ht="35.25" x14ac:dyDescent="0.35">
      <c r="A7" s="2" t="s">
        <v>56</v>
      </c>
      <c r="B7" s="3" t="s">
        <v>51</v>
      </c>
      <c r="C7" s="3" t="s">
        <v>25</v>
      </c>
      <c r="D7" s="5" t="s">
        <v>29</v>
      </c>
      <c r="E7" s="3">
        <v>2004</v>
      </c>
      <c r="G7" s="10"/>
    </row>
    <row r="8" spans="1:8" ht="57.75" customHeight="1" x14ac:dyDescent="0.35">
      <c r="A8" s="12"/>
      <c r="B8" s="3" t="s">
        <v>26</v>
      </c>
      <c r="C8" s="8"/>
      <c r="D8" s="9"/>
      <c r="E8" s="3">
        <v>2005</v>
      </c>
    </row>
    <row r="9" spans="1:8" x14ac:dyDescent="0.35">
      <c r="B9" s="8"/>
      <c r="E9" s="3">
        <v>2006</v>
      </c>
    </row>
    <row r="10" spans="1:8" x14ac:dyDescent="0.35">
      <c r="A10" s="1"/>
      <c r="C10" s="1"/>
      <c r="D10" s="1"/>
      <c r="E10" s="3">
        <v>2007</v>
      </c>
      <c r="F10" s="1"/>
      <c r="G10" s="1"/>
    </row>
    <row r="11" spans="1:8" x14ac:dyDescent="0.35">
      <c r="A11" s="7"/>
      <c r="B11" s="1"/>
      <c r="C11" s="11"/>
      <c r="D11" s="11"/>
      <c r="E11" s="3">
        <v>2008</v>
      </c>
    </row>
    <row r="12" spans="1:8" x14ac:dyDescent="0.35">
      <c r="A12" s="11"/>
      <c r="B12" s="11"/>
      <c r="E12" s="3">
        <v>2009</v>
      </c>
    </row>
    <row r="13" spans="1:8" x14ac:dyDescent="0.35">
      <c r="A13" s="7"/>
      <c r="C13" s="11"/>
      <c r="D13" s="11"/>
      <c r="E13" s="3">
        <v>2010</v>
      </c>
    </row>
    <row r="14" spans="1:8" x14ac:dyDescent="0.35">
      <c r="A14" s="11"/>
      <c r="B14" s="11"/>
      <c r="E14" s="3">
        <v>2011</v>
      </c>
    </row>
    <row r="15" spans="1:8" x14ac:dyDescent="0.35">
      <c r="E15" s="3">
        <v>2012</v>
      </c>
    </row>
    <row r="16" spans="1:8" x14ac:dyDescent="0.35">
      <c r="E16" s="3">
        <v>2013</v>
      </c>
    </row>
    <row r="17" spans="5:5" x14ac:dyDescent="0.35">
      <c r="E17" s="3">
        <v>2014</v>
      </c>
    </row>
    <row r="18" spans="5:5" x14ac:dyDescent="0.35">
      <c r="E18" s="3">
        <v>2015</v>
      </c>
    </row>
    <row r="19" spans="5:5" x14ac:dyDescent="0.35">
      <c r="E19" s="3">
        <v>2016</v>
      </c>
    </row>
    <row r="20" spans="5:5" x14ac:dyDescent="0.35">
      <c r="E20" s="3">
        <v>2017</v>
      </c>
    </row>
    <row r="21" spans="5:5" x14ac:dyDescent="0.35">
      <c r="E21" s="3">
        <v>2018</v>
      </c>
    </row>
    <row r="22" spans="5:5" x14ac:dyDescent="0.35">
      <c r="E22" s="3">
        <v>2019</v>
      </c>
    </row>
    <row r="23" spans="5:5" x14ac:dyDescent="0.35">
      <c r="E23" s="3">
        <v>2020</v>
      </c>
    </row>
    <row r="24" spans="5:5" x14ac:dyDescent="0.35">
      <c r="E24" s="3">
        <v>2021</v>
      </c>
    </row>
    <row r="25" spans="5:5" x14ac:dyDescent="0.35">
      <c r="E25" s="3">
        <v>2022</v>
      </c>
    </row>
    <row r="26" spans="5:5" x14ac:dyDescent="0.35">
      <c r="E26" s="3">
        <v>2023</v>
      </c>
    </row>
  </sheetData>
  <sheetProtection password="CF5E" sheet="1" objects="1" scenarios="1" selectLockedCells="1" selectUnlockedCell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Հայտի ձևաչափ</vt:lpstr>
      <vt:lpstr>Լրացման պահանջները</vt:lpstr>
      <vt:lpstr>List</vt:lpstr>
      <vt:lpstr>_Կարգի_8_կետ</vt:lpstr>
      <vt:lpstr>'Հայտի ձևաչափ'!համաձայն_Կարգի_8_րդ_կետի_պահանջների__այլ_ավտոմեքենա_հատկացնելու__առաջարկության_հիմնավորումը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Marine Shishyan</dc:creator>
  <cp:keywords>https://mul2-mta.gov.am/tasks/1497092/oneclick/43365a9d54876988967012cb16b527f8575a3460f0c6afd57df6eae5e631a265.xlsx?token=7e63f741dc5d9fda8fb52e22d2c57691</cp:keywords>
  <cp:lastModifiedBy>Vardan</cp:lastModifiedBy>
  <dcterms:created xsi:type="dcterms:W3CDTF">2023-12-04T06:12:26Z</dcterms:created>
  <dcterms:modified xsi:type="dcterms:W3CDTF">2024-01-26T13:59:09Z</dcterms:modified>
</cp:coreProperties>
</file>