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62" firstSheet="1" activeTab="1"/>
  </bookViews>
  <sheets>
    <sheet name="caxser gorc" sheetId="1" state="hidden" r:id="rId1"/>
    <sheet name="ampop caxser tnt.das." sheetId="2" r:id="rId2"/>
    <sheet name="Aragacotn" sheetId="3" r:id="rId3"/>
    <sheet name="Ararat" sheetId="4" r:id="rId4"/>
    <sheet name="Armavir" sheetId="5" r:id="rId5"/>
    <sheet name="Gexarquniq" sheetId="6" r:id="rId6"/>
    <sheet name="Лori" sheetId="7" r:id="rId7"/>
    <sheet name="Kotayq" sheetId="8" r:id="rId8"/>
    <sheet name="Shirak" sheetId="9" r:id="rId9"/>
    <sheet name="Syuniq" sheetId="10" r:id="rId10"/>
    <sheet name="Vayoc dzor" sheetId="11" r:id="rId11"/>
    <sheet name="Tavush" sheetId="12" r:id="rId12"/>
  </sheets>
  <externalReferences>
    <externalReference r:id="rId15"/>
    <externalReference r:id="rId16"/>
  </externalReferences>
  <definedNames>
    <definedName name="_xlnm.Print_Titles" localSheetId="1">'ampop caxser tnt.das.'!$A:$A,'ampop caxser tnt.das.'!$4:$10</definedName>
    <definedName name="_xlnm.Print_Titles" localSheetId="0">'caxser gorc'!$B:$B</definedName>
  </definedNames>
  <calcPr fullCalcOnLoad="1"/>
</workbook>
</file>

<file path=xl/sharedStrings.xml><?xml version="1.0" encoding="utf-8"?>
<sst xmlns="http://schemas.openxmlformats.org/spreadsheetml/2006/main" count="1834" uniqueCount="1139">
  <si>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</si>
  <si>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</si>
  <si>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</si>
  <si>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</si>
  <si>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</si>
  <si>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 xml:space="preserve">   ³Û¹ ÃíáõÙ`  </t>
  </si>
  <si>
    <t>1.4 êáõµëÇ¹³Ý»ñ 
(ïáÕ 4410+ïáÕ 4420)</t>
  </si>
  <si>
    <r>
      <t xml:space="preserve">  1.5 ¸ñ³Ù³ßÝáñÑÝ»ñ
</t>
    </r>
    <r>
      <rPr>
        <sz val="9"/>
        <rFont val="Arial Armenian"/>
        <family val="2"/>
      </rPr>
      <t xml:space="preserve"> (ïáÕ4510+ïáÕ4520+ïáÕ4530+ïáÕ4540)</t>
    </r>
  </si>
  <si>
    <r>
      <t xml:space="preserve">1.6 êáóÇ³É³Ï³Ý      Ýå³ëïÝ»ñ ¨ Ï»Ýë³Ãáß³ÏÝ»ñ 
</t>
    </r>
    <r>
      <rPr>
        <sz val="9"/>
        <rFont val="Arial Armenian"/>
        <family val="2"/>
      </rPr>
      <t>(ïáÕ 4610+ïáÕ 4630+ïáÕ4640)</t>
    </r>
  </si>
  <si>
    <r>
      <t xml:space="preserve">1.1 ²ßË³ï³ÝùÇ í³ñÓ³ïñáõÃÛáõÝ </t>
    </r>
    <r>
      <rPr>
        <sz val="10"/>
        <rFont val="Arial Armenian"/>
        <family val="2"/>
      </rPr>
      <t xml:space="preserve">(ïáÕ4110+ïáÕ4120+ïáÕ4130)                                                                                                                                                                                                                       </t>
    </r>
  </si>
  <si>
    <t>êáóÇ³É³Ï³Ý ³å³ÑáíáõÃÛ³Ý í×³ñÝ»ñ
(ïáÕ 4130)</t>
  </si>
  <si>
    <r>
      <t xml:space="preserve">1.2 Ì³é³ÛáõÃÛáõÝÝ»ñÇ ¨ ³åñ³ÝùÝ»ñÇ Ó»éù µ»ñáõÙ </t>
    </r>
    <r>
      <rPr>
        <sz val="10"/>
        <rFont val="Arial Armenian"/>
        <family val="2"/>
      </rPr>
      <t xml:space="preserve">
(ïáÕ 4210+ïáÕ 4220+ïáÕ 4230+ïáÕ 4240+ïáÕ4250+
ïáÕ 4260)</t>
    </r>
  </si>
  <si>
    <t>1.3 §´³ñÓñ³ñÅ»ù ³ÏïÇíÝ»ñ¦  (ïáÕ 5311)
1.4 §â³ñï³¹ñí³Í ³ÏïÇíÝ»ñ¦ (ïáÕ 5400)</t>
  </si>
  <si>
    <t>¶.àã ýÇÝ³Ýë³Ï³Ý ³ÏïÇíÝ»ñÇ Çñ³óáõÙÇó Ùáõïù»ñ</t>
  </si>
  <si>
    <t xml:space="preserve"> §ÐÇÙÝ³Ï³Ý ÙÇçáóÝ»ñÇ Çñ³óáõÙÇó Ùáõïù»ñ¦
(ïáÕ 6100),
§ä³ß³ñÝ»ñÇ Çñ³óáõÙÇó Ùáõïù»ñ¦ (ïáÕ 6200),
§´³ñÓñ³ñÅ»ù ³ÏïÇíÝ»ñÇ Çñ³óáõÙÇó Ùáõïù»ñ¦ (6300)
</t>
  </si>
  <si>
    <t>â³ñï³¹ñí³Í ³ÏïÇíÝ»ñÇ Çñ³óáõÙÇó Ùáõïù»ñ (ïáÕ 6410+ïáÕ6420+6430+ïáÕ6440)</t>
  </si>
  <si>
    <t>§¸ñ³Ùáí í×³ñíáÕ ³ßË³ï³í³ñÓ»ñ ¨ Ñ³í»É³í×³ñÝ»ñ¦ (4110),
§´Ý»Õ»Ý ³ßË³ï³í³ñÓ»ñ ¨ Ñ³í»É³í×³ñÝ»ñ¦(4120)</t>
  </si>
  <si>
    <t>ÐáÕÇ Çñ³óáõÙÇó Ùáõïù»ñ 
(ïáÕ 6410)</t>
  </si>
  <si>
    <t>§ú·ï³Ï³ñ Ñ³Ý³ÍáÝ»ñÇ Çñ³óáõÙÇó Ùáõïù»ñ¦, (ïáÕ 6420),  §²ÛÉ µÝ³Ï³Ý Í³·áõÙ áõÝ»óáÕ ÑÇÙÝ³Ï³Ý ÙÇçáóÝ»ñÇ Çñ³óáõÙÇó Ùáõïù»ñ¦ (ïáÕ 6430), §àã ÝÛáõÃ³Ï³Ý ã³ñï³¹ñí³Í ³ÏïÇíÝ»ñÇ Çñ³óáõÙÇó Ùáõïù»ñ¦ (ïáÕ 6440)</t>
  </si>
  <si>
    <t>Ñ³½³ñ ¹ñ³Ù</t>
  </si>
  <si>
    <r>
      <t>²ÛÉ Í³Ëë»ñ*</t>
    </r>
    <r>
      <rPr>
        <sz val="10"/>
        <rFont val="Arial Armenian"/>
        <family val="2"/>
      </rPr>
      <t xml:space="preserve">
³Û¹ ÃíáõÙ` Ñ³Ù³ÛÝùÇ µÛáõç»Ç í³ñã³Ï³Ý Ù³ëÇ å³Ñáõëï³ÛÇÝ ýáÝ¹Çó ýáÝ¹³ÛÇÝ Ù³ë Ï³ï³ñíáÕ Ñ³ïÏ³óáõÙÝ»ñ
</t>
    </r>
  </si>
  <si>
    <t xml:space="preserve">²ÛÉ Í³Ëë»ñ*
³Û¹ ÃíáõÙ` 
å³Ñáõëï³ÛÇÝ ÙÇçáóÝ»ñ </t>
  </si>
  <si>
    <t xml:space="preserve">                                    ².  À Ý Ã ³ ó Ç Ï   Í ³ Ë ë » ñ  (µÛáõç. ïáÕ 4050+ïáÕ5000+ïáÕ6000)</t>
  </si>
  <si>
    <t>1.1. ÐÇÙÝ³Ï³Ý ÙÇçáóÝ»ñ
(ïáÕ 5110+
ïáÕ5120+ïáÕ5130)</t>
  </si>
  <si>
    <r>
      <t xml:space="preserve">1.2 ä³ß³ñÝ»ñ 
</t>
    </r>
    <r>
      <rPr>
        <sz val="10"/>
        <rFont val="Arial Armenian"/>
        <family val="2"/>
      </rPr>
      <t>(ïáÕ5211+ïáÕ5221+
ïáÕ5231+ïáÕ5241)</t>
    </r>
  </si>
  <si>
    <r>
      <t xml:space="preserve">ÀÜ¸²ØºÜÀ ´Úàôæºî²ÚÆÜ Ì²Êêºð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>( µÛáõç.ïáÕ 4100 +ïáÕ 4200+ïáÕ4300+
ïáÕ 4400+ïáÕ 4500+ïáÕ4600+ïáÕ 4700</t>
    </r>
    <r>
      <rPr>
        <b/>
        <sz val="11"/>
        <rFont val="Arial Armenian"/>
        <family val="2"/>
      </rPr>
      <t>)</t>
    </r>
  </si>
  <si>
    <t xml:space="preserve">ÀÝ¹³Ù»ÝÁ </t>
  </si>
  <si>
    <t>²ð²¶²ÌàîÜ</t>
  </si>
  <si>
    <t>²ð²ð²î</t>
  </si>
  <si>
    <t>²ðØ²ìÆð</t>
  </si>
  <si>
    <t>¶ºÔ²ðøàôÜÆø</t>
  </si>
  <si>
    <t>ÈàèÆ</t>
  </si>
  <si>
    <t>Îàî²Úø</t>
  </si>
  <si>
    <t>ÞÆð²Î</t>
  </si>
  <si>
    <t>êÚàôÜÆø</t>
  </si>
  <si>
    <t>ì²Úàò Òàð</t>
  </si>
  <si>
    <t>î²ìàôÞ</t>
  </si>
  <si>
    <t>´. àã ýÇÝ³Ýë³Ï³Ý ³ÏïÇíÝ»ñÇ ·Íáí Í³Ëë»ñ   (ïáÕ5100+ïáÕ5200+  ïáÕ5300+ïáÕ5400)</t>
  </si>
  <si>
    <t>Ø³ñ½Ç ³Ýí³ÝáõÙÁ</t>
  </si>
  <si>
    <t>ºðºì²Ü</t>
  </si>
  <si>
    <t xml:space="preserve">                       Ð²ÞìºîìàôÂÚàôÜ</t>
  </si>
  <si>
    <t xml:space="preserve"> ÐÐ Ð²Ø²ÚÜøÜºðÆ (Àêî Ø²ð¼ºðÆ)     ´Úàôæºî²ÚÆÜ   Ì²ÊêºðÆ   ìºð²´ºðÚ²È </t>
  </si>
  <si>
    <t xml:space="preserve">    ³Û¹ ÃíáõÙ` </t>
  </si>
  <si>
    <r>
      <t xml:space="preserve">ä²Þîä²ÜàôÂÚàôÜ` ÁÝ¹³Ù»ÝÁ       </t>
    </r>
    <r>
      <rPr>
        <b/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b/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sz val="9"/>
        <rFont val="Arial Armenian"/>
        <family val="2"/>
      </rPr>
      <t xml:space="preserve">(ïáÕ 2210+ïáÕ 2220+ ïáÕ 2240+ïáÕ2250)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</si>
  <si>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 Armenian"/>
        <family val="2"/>
      </rPr>
      <t>(ïáÕ 2710 - ïáÕ 2720 
+ïáÕ2730+ïáÕ2740+ïáÕ2750+ïáÕ2760)</t>
    </r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</si>
  <si>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</si>
  <si>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</si>
  <si>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t xml:space="preserve"> ÀÝ¹³Ù»ÝÁ í³ñã³Ï³Ý µÛáõç»</t>
  </si>
  <si>
    <t>ì³ñã³Ï³Ý µÛáõç»</t>
  </si>
  <si>
    <t>üáÝ¹³ÛÇÝ µÛáõç»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</si>
  <si>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</si>
  <si>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÷³ëï. 
/Ñ³ßí»ïáõ Å³Ù³Ý³Ï³ßñç³Ý/</t>
  </si>
  <si>
    <t xml:space="preserve">          üáÝ¹³ÛÇÝ µÛáõç»</t>
  </si>
  <si>
    <t xml:space="preserve"> ÀÝ¹³Ù»ÝÁ Í³Ëë»ñ</t>
  </si>
  <si>
    <r>
      <t>²ÛÉ Í³Ëë»ñ*</t>
    </r>
    <r>
      <rPr>
        <sz val="10"/>
        <rFont val="Arial Armenian"/>
        <family val="2"/>
      </rPr>
      <t xml:space="preserve">
³Û¹ ÃíáõÙ` å³Ñáõëï³ÛÇÝ ÙÇçáóÝ»ñ
</t>
    </r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</si>
  <si>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</si>
  <si>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ÀÜ¸²ØºÜÀ Ì²Êêºð  µÛáõç. ïáÕ 300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ïáÕ 2400 + ïáÕ 2500 + ïáÕ 2600 + ïáÕ 2700+ ïáÕ 2800 + ïáÕ 2900 + ïáÕ 3000+ ïáÕ 3100)</t>
    </r>
  </si>
  <si>
    <t xml:space="preserve">ÀÝ¹³Ù»ÝÁ Í³Ëë»ñ
³é³Ýó áã ýÇÝ³Ýë³Ï³Ý ³ÏïÇíÝ»ñÇ Çñ³óáõÙÇó Ùáõïù»ñÇ </t>
  </si>
  <si>
    <t xml:space="preserve">êáõµí»óÇ³. </t>
  </si>
  <si>
    <t>áñÇó`</t>
  </si>
  <si>
    <t xml:space="preserve">ÀÝ¹³Ù»ÝÁ ýáÝ¹³ÛÇÝ µÛáõç» 
³é³Ýó áã ýÇÝ³Ýë³Ï³Ý ³ÏïÇíÝ»ñÇ Çñ³óáõÙÇó Ùáõïù»ñÇ </t>
  </si>
  <si>
    <t xml:space="preserve">Ñ³Ù³ÛÝùÇ »Ï³ÙáõïÝ»ñÇ Ñ³ßíÇÝ Ï³ï³ñí³Í Í³Ëë»ñ </t>
  </si>
  <si>
    <t>ëáõµí»ÝóÇ³</t>
  </si>
  <si>
    <r>
      <t xml:space="preserve">Þðæ²Î² ØÆæ²ì²ÚðÆ   ä²Þîä²ÜàôÂÚàôÜ 
</t>
    </r>
    <r>
      <rPr>
        <sz val="9"/>
        <rFont val="Arial Armenian"/>
        <family val="2"/>
      </rPr>
      <t>(ïáÕ2510+ïáÕ2520+ïáÕ   2530+ïáÕ2540+ïáÕ2550+ïáÕ2560)</t>
    </r>
  </si>
  <si>
    <r>
      <t xml:space="preserve">ÀÜ¸Ð²Üàôð ´ÜàôÚÂÆ Ð²Üð²ÚÆÜ Ì²è²ÚàôÂÚàôÜÜºð`  ÁÝ¹³Ù»ÝÁ   
</t>
    </r>
    <r>
      <rPr>
        <sz val="9"/>
        <rFont val="Arial Armenian"/>
        <family val="2"/>
      </rPr>
      <t xml:space="preserve">(ïáÕ2110+ïáÕ2120+ïáÕ2130+
ïáÕ2140+ïáÕ2150  +ïáÕ2160+ïáÕ2170+ïáÕ2180)                                                                                                                                                                                    </t>
    </r>
  </si>
  <si>
    <t xml:space="preserve">îÜîºê²Î²Ü Ð²ð²´ºðàôÂÚàôÜÜºð
³é³Ýó áã ýÇÝ³Ýë³Ï³Ý ³ÏïÇíÝ»ñÇ Çñ³óáõÙÇó Ùáõïù»ñÇ </t>
  </si>
  <si>
    <r>
      <t xml:space="preserve">ÎðÂàÆÂÚàõÜ 
</t>
    </r>
    <r>
      <rPr>
        <sz val="10"/>
        <rFont val="Arial Armenian"/>
        <family val="2"/>
      </rPr>
      <t xml:space="preserve">(ïáÕ2910+ïáÕ2920+ïáÕ2930+ïáÕ2940+ïáÕ2950+
ïáÕ2960+ïáÕ2970+ïáÕ2980)
</t>
    </r>
  </si>
  <si>
    <r>
      <t xml:space="preserve"> îÜîºê²Î²Ü Ð²ð²´ºðàôÂÚàôÜÜºð  
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 Armenian"/>
        <family val="2"/>
      </rPr>
      <t xml:space="preserve">(ïáÕ 2410+ïáÕ 2420+ïáÕ 2430+ïáÕ 2440+ïáÕ 2450+ïáÕ 2460+ïáÕ 2470+ïáÕ 2480+ïáÕ 2490)   </t>
    </r>
  </si>
  <si>
    <t>³Û¹ ÃíáõÙ`</t>
  </si>
  <si>
    <t>Ð³Ù³ÛÝùÇ ë»÷³Ï³Ý »Ï³ÙáõïÝ»ñÇ Ñ³ßíÇÝ Ï³ï³ñíáÕ Í³Ëë»ñ</t>
  </si>
  <si>
    <t xml:space="preserve">Ñ³ßí³ñÏ.                                                                                                                                                                                          ï³ñ»Ï³Ý </t>
  </si>
  <si>
    <r>
      <t xml:space="preserve">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 Armenian"/>
        <family val="2"/>
      </rPr>
      <t xml:space="preserve">(ïáÕ 2310+ïáÕ 2320+ ïáÕ 2330+ïáÕ 2340+ïáÕ 2350+ïáÕ 2360+ïáÕ 2370)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</si>
  <si>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Ð³Ù³ÛÝùÇ µÛáõç»Ç í³ñã³Ï³Ý Ù³ëÇ å³Ñáõëï³ÛÇÝ ýáÝ¹Çó ýáÝ¹³ÛÇÝ Ù³ë Ï³ï³ñíáÕ Ñ³ïÏ³óáõÙÝ»ñÇó Ùáõïù»ñ</t>
  </si>
  <si>
    <t xml:space="preserve">                  ´Ûáõç»ï³ÛÇÝ Í³Ëë»ñÁ Áëï ·áñÍ³é³Ï³Ý ¹³ë³Ï³ñ·Ù³Ý)
                               2010Ã.  ï³ñ»Ï³Ý</t>
  </si>
  <si>
    <t xml:space="preserve">  ÐÐ Ð²Ø²ÚÜøÜºðÆ (Àêî Ø²ð¼ºðÆ)  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ï³ñ»Ï³Ý</t>
  </si>
  <si>
    <t>÷³ëï. 
տարեկան</t>
  </si>
  <si>
    <t>÷³ëï 
տարեկան</t>
  </si>
  <si>
    <t xml:space="preserve">Ñ³ßí³ñÏ                                                                                                                                                                                                                                       ï³ñ»Ï³Ý </t>
  </si>
  <si>
    <r>
      <t xml:space="preserve">1.3 îáÏáë³í×³ñÝ»ñ 
</t>
    </r>
    <r>
      <rPr>
        <sz val="9"/>
        <rFont val="Arial Armenian"/>
        <family val="2"/>
      </rPr>
      <t>(ïáÕ4310+ïáÕ4320ïáÕ4330)</t>
    </r>
  </si>
  <si>
    <t xml:space="preserve">Ñ³ßí³ñÏ  ï³ñ»Ï³Ý </t>
  </si>
  <si>
    <t xml:space="preserve">ÀÝ¹³Ù»ÝÁ ýáÝ¹³ÛÇÝ µÛáõç»  
³é³Ýó áã ýÇÝ³Ýë³Ï³Ý ³ÏïÇíÝ»ñÇ Çñ³óáõÙÇó Ùáõïù»ñÇ </t>
  </si>
  <si>
    <t>ûï³ñáõÙ</t>
  </si>
  <si>
    <r>
      <t xml:space="preserve">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sz val="8"/>
        <rFont val="Arial Armenian"/>
        <family val="2"/>
      </rPr>
      <t>(ïáÕ 3610+ïáÕ3620+ïáÕ3630+
ïáÕ3640+ ïáÕ3650+
ïáÕ3660)</t>
    </r>
  </si>
  <si>
    <t xml:space="preserve">Ñ³ßí³ñÏ.                                                                                                                                              ï³ñ»Ï³Ý </t>
  </si>
  <si>
    <t xml:space="preserve">  ÐÐ   ²ð²¶²ÌàîÜÆ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ï³ñ»Ï³Ý</t>
  </si>
  <si>
    <t>Ð³Ù³ÛÝùÇ ³Ýí³ÝáõÙÁ</t>
  </si>
  <si>
    <t xml:space="preserve">ÀÜ¸²ØºÜÀ ´Úàôæºî²ÚÆÜ Ì²Êêºð                                                                                                                                                                                                      </t>
  </si>
  <si>
    <t>´. àã ýÇÝ³Ýë³Ï³Ý ³ÏïÇíÝ»ñÇ ·Íáí ÍËë»ñ  (ïáÕ5100+ïáÕ5200+ïáÕ5300+ïáÕ5400)</t>
  </si>
  <si>
    <r>
      <t xml:space="preserve">1.1 ²ßË³ï³ÝùÇ í³ñÓ³ïñáõÃÛáõÝ </t>
    </r>
    <r>
      <rPr>
        <sz val="9"/>
        <rFont val="Arial Armenian"/>
        <family val="2"/>
      </rPr>
      <t xml:space="preserve">(ïáÕ4110+ïáÕ4120+ïáÕ4130)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</si>
  <si>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1.3 îáÏáë³í×³ñÝ»ñ 
</t>
    </r>
    <r>
      <rPr>
        <sz val="10"/>
        <rFont val="Arial Armenian"/>
        <family val="2"/>
      </rPr>
      <t>(ïáÕ4310+ïáÕ4320ïáÕ4330)</t>
    </r>
  </si>
  <si>
    <t xml:space="preserve">ï³ñ»Ï³Ý </t>
  </si>
  <si>
    <r>
      <t xml:space="preserve">÷³ëï. </t>
    </r>
    <r>
      <rPr>
        <sz val="9"/>
        <rFont val="Arial Armenian"/>
        <family val="2"/>
      </rPr>
      <t xml:space="preserve">
/Ñ³ßí»ïáõ Å³Ù³Ý³Ï³
ßñç³Ý/</t>
    </r>
  </si>
  <si>
    <t>÷³ëï. 
/Ñ³ßí»ïáõ Å³Ù³Ý³Ï³
ßñç³Ý/</t>
  </si>
  <si>
    <t>²ßï³ñ³Ï</t>
  </si>
  <si>
    <t>²ÕÓù</t>
  </si>
  <si>
    <t>²Ýï³éáõï</t>
  </si>
  <si>
    <t>²í³Ý</t>
  </si>
  <si>
    <t>²ñ³·³ÍáïÝ</t>
  </si>
  <si>
    <t>²·³ñ³Ï</t>
  </si>
  <si>
    <t>²ñï³ß³í³Ý</t>
  </si>
  <si>
    <t>²ñáõ×</t>
  </si>
  <si>
    <t>´³½Ù³ÕµÛáõñ</t>
  </si>
  <si>
    <t>´Ûáõñ³Ï³Ý</t>
  </si>
  <si>
    <t>¸åñ»í³Ýù</t>
  </si>
  <si>
    <t>È»éÝ³ñáï</t>
  </si>
  <si>
    <t>Î³ñµÇ</t>
  </si>
  <si>
    <t>Îáß</t>
  </si>
  <si>
    <t>Ô³½³ñ³í³Ý</t>
  </si>
  <si>
    <t>Üáñ ²Ù³Ýáë</t>
  </si>
  <si>
    <t>Üáñ º¹»ëÇ³</t>
  </si>
  <si>
    <t>Þ³ÙÇñ³Ù</t>
  </si>
  <si>
    <t>àëÏ»í³½</t>
  </si>
  <si>
    <t>àëÏ»Ñ³ï</t>
  </si>
  <si>
    <t>ê³ëáõÝÇÏ</t>
  </si>
  <si>
    <t>ê³ÕÙáë³í³Ý</t>
  </si>
  <si>
    <t>ì.ê³ëáõÝÇÏ</t>
  </si>
  <si>
    <t>î»Õ»ñ</t>
  </si>
  <si>
    <t>àõßÇ</t>
  </si>
  <si>
    <t>àõç³Ý</t>
  </si>
  <si>
    <t>ö³ñåÇ</t>
  </si>
  <si>
    <t>úß³Ï³Ý</t>
  </si>
  <si>
    <t>úñ·áí</t>
  </si>
  <si>
    <t>úÑ³Ý³í³Ý</t>
  </si>
  <si>
    <t>²å³ñ³Ý</t>
  </si>
  <si>
    <t>²ñ³·³Í</t>
  </si>
  <si>
    <t>²÷Ý³</t>
  </si>
  <si>
    <t>²ñ³ÛÇ</t>
  </si>
  <si>
    <t>ºñÝç³ï³÷</t>
  </si>
  <si>
    <t>ÂÃáõçáõñ</t>
  </si>
  <si>
    <t>ÜÇ·³í³Ý</t>
  </si>
  <si>
    <t>Ð³ñÃ³í³Ý</t>
  </si>
  <si>
    <t>Þ»Ý³í³Ý</t>
  </si>
  <si>
    <t>ì³ñ¹»ÝÇë</t>
  </si>
  <si>
    <t>ì³ñ¹»Ýáõï</t>
  </si>
  <si>
    <t>øáõã³Ï</t>
  </si>
  <si>
    <t>ê³ñ³É³Ýç</t>
  </si>
  <si>
    <t xml:space="preserve">ÞáÕ³ÏÝ (Üáñ³ß»Ý) </t>
  </si>
  <si>
    <t>âùÝ³Õ</t>
  </si>
  <si>
    <t>Òáñ³·ÉáõË</t>
  </si>
  <si>
    <t>Ì³ÕÏ³ß»Ý</t>
  </si>
  <si>
    <t>ºÕÇå³ïñáõß</t>
  </si>
  <si>
    <t>Î³Ûù (ØáõÉùÇ)</t>
  </si>
  <si>
    <t>Èáõë³·ÛáõÕ</t>
  </si>
  <si>
    <t>æñ³Ùµ³ñ</t>
  </si>
  <si>
    <t>²É³·Û³½</t>
  </si>
  <si>
    <t>ê³¹áõÝó (²Ùñ» Â³½³)</t>
  </si>
  <si>
    <t>²íß»Ý</t>
  </si>
  <si>
    <t>´»ñù³é³ï</t>
  </si>
  <si>
    <t>¶»Õ³¹Çñ</t>
  </si>
  <si>
    <t>¶»Õ³Óáñ</t>
  </si>
  <si>
    <t>¶»Õ³ñáï</t>
  </si>
  <si>
    <t>Ö³ñ×³ÏÇë (¸»ñ»Ï)</t>
  </si>
  <si>
    <t>È»éÝ³å³ñ</t>
  </si>
  <si>
    <t>Ì³ÕÏ³ÑáíÇï</t>
  </si>
  <si>
    <t>ÌÇÉù³ñ</t>
  </si>
  <si>
    <t>ÐÝ³µ»ñ¹</t>
  </si>
  <si>
    <t>Ø»ÉÇù·ÛáõÕ</t>
  </si>
  <si>
    <t>ØÇñ³ù</t>
  </si>
  <si>
    <t xml:space="preserve">Üáñ³ß»Ý (²ñ³·³ÍÇ) </t>
  </si>
  <si>
    <t>Þ»ÝÏ³ÝÇ</t>
  </si>
  <si>
    <t>æ³ÙßÉáõ</t>
  </si>
  <si>
    <t>èÛ³ Â³½³</t>
  </si>
  <si>
    <t>Î³ÝÇ³ßÇñ (ê³Ý·Û³é)</t>
  </si>
  <si>
    <t>êÇ÷³Ý</t>
  </si>
  <si>
    <t>ì³ñ¹³µÉáõñ</t>
  </si>
  <si>
    <t>ØÇçÝ³ïáõÝ (úñÃ³×³)</t>
  </si>
  <si>
    <t>²ÏáõÝù</t>
  </si>
  <si>
    <t>²ñ³·³Í³í³Ý</t>
  </si>
  <si>
    <t>²ñï»ÝÇ</t>
  </si>
  <si>
    <t>²ßÝ³Ï</t>
  </si>
  <si>
    <t>²ñ»· (Â³ÃáõÉ)</t>
  </si>
  <si>
    <t>Ø»Í³Óáñ (²íÃáÝ³)</t>
  </si>
  <si>
    <t>úÃ¨³Ý (´³Ûë½)</t>
  </si>
  <si>
    <t>²ñ¨áõï (´³éáÅ)</t>
  </si>
  <si>
    <t>¶³éÝ³ÑáíÇï</t>
  </si>
  <si>
    <t>¶»ï³÷</t>
  </si>
  <si>
    <t>Î³Ýã (¶Û³ÉÃá)</t>
  </si>
  <si>
    <t>¸³ßï³¹»Ù</t>
  </si>
  <si>
    <t>¸³íÃ³ß»Ý</t>
  </si>
  <si>
    <t>¸Ç³Ý</t>
  </si>
  <si>
    <t>ºÕÝÇÏ</t>
  </si>
  <si>
    <t>¼³ñÇÝç³</t>
  </si>
  <si>
    <t>¼áí³ë³ñ</t>
  </si>
  <si>
    <t>Â³ÉÇÝ</t>
  </si>
  <si>
    <t>ÂÉÇÏ</t>
  </si>
  <si>
    <t>ÆñÇÝ¹</t>
  </si>
  <si>
    <t>Èáõë³ÏÝ</t>
  </si>
  <si>
    <t>Ì³ÕÏ³ë³ñ</t>
  </si>
  <si>
    <t>Î³ÃÝ³ÕµÛáõñ</t>
  </si>
  <si>
    <t>Î³ù³í³Óáñ</t>
  </si>
  <si>
    <t>Î³ñÙñ³ß»Ý</t>
  </si>
  <si>
    <t>Ð³Ïá</t>
  </si>
  <si>
    <t>Ð³ó³ß»Ý</t>
  </si>
  <si>
    <t>¸¹Ù³ë³ñ (Ô³µ³ÕÃ³÷³)</t>
  </si>
  <si>
    <t>Ø³ëï³ñ³</t>
  </si>
  <si>
    <t>Ü. ²ñÃÇÏ</t>
  </si>
  <si>
    <t>Ü. ´³½Ù³µ»ñ¹</t>
  </si>
  <si>
    <t>Ü. ê³ëÝ³ß»Ý</t>
  </si>
  <si>
    <t>ÞÕ³ñßÇÏ</t>
  </si>
  <si>
    <t>àëÏ»Ã³ë</t>
  </si>
  <si>
    <t>ä³ñïÇ½³Ï</t>
  </si>
  <si>
    <t>êáñÇÏ</t>
  </si>
  <si>
    <t>êáõë»ñ</t>
  </si>
  <si>
    <t>²·³ñ³Ï³í³Ý</t>
  </si>
  <si>
    <t>ì. ´³½Ù³µ»ñ¹</t>
  </si>
  <si>
    <t>ì. ê³ëÝ³ß»Ý</t>
  </si>
  <si>
    <t>ò³Ù³ù³ë³ñ</t>
  </si>
  <si>
    <t>ÀÝ¹³Ù»ÝÁ Ù³ñ½áõÙ</t>
  </si>
  <si>
    <t xml:space="preserve"> ՀԱՇՎԵՏՎՈՒԹՅՈՒՆ</t>
  </si>
  <si>
    <t xml:space="preserve">                                                               ՀՀ  ԱՐԱՐԱՏԻ  ՄԱՐԶԻ   ՀԱՄԱՅՆՔՆԵՐԻ   ԲՅՈՒՋԵՏԱՅԻՆ   ԾԱԽՍԵՐԻ   ՎԵՐԱԲԵՐՅԱԼ                                                                                                         (Բյուջետային  ծախսերը ըստ տնտեսագիտական դասակարգման)
2010թ. տարեկան</t>
  </si>
  <si>
    <t>Հ/հ</t>
  </si>
  <si>
    <t>Համայնքի անվանումը</t>
  </si>
  <si>
    <t>ԸՆԴԱՄԵՆԸ ԲՅՈՒՋԵՏԱՅԻՆ ԾԱԽՍԵՐ                                                                                                                                                                                                      ( բյուջ.տող 4100 +տող 4200+տող4300+
տող 4400+տող 4500+տող4600+տող 4700)</t>
  </si>
  <si>
    <t xml:space="preserve">                                                Վ ա ր չ ա կ ա ն    բ յ ու ջ ե</t>
  </si>
  <si>
    <t xml:space="preserve">               Ա.  Ը ն թ ա ց ի կ   ծ ա խ ս ե ր  (բյուջ. տող 4050+տող5000+տող6000)                      </t>
  </si>
  <si>
    <t>Ընդամենը վարչական բյուջե</t>
  </si>
  <si>
    <t>Բ. Ոչ ֆինանսական ակտիվների գծով ծխսեր  (տող5100+տող5200+տող5300+տող5400)</t>
  </si>
  <si>
    <t xml:space="preserve">Գ.Ոչ ֆինանսական ակտիվների իրացումից մուտքեր
</t>
  </si>
  <si>
    <t>Այլ ծախսեր*
այդ թվում` համայնքի բյուջեի վարչական մասի պահուստային ֆոնդից ֆոնդային մաս կատարվող հատկացումներ</t>
  </si>
  <si>
    <t>Ընդամենը ֆոնդային բյուջե</t>
  </si>
  <si>
    <t xml:space="preserve">    այդ թվում`  </t>
  </si>
  <si>
    <t xml:space="preserve">   այդ թվում`  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</si>
  <si>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
</t>
  </si>
  <si>
    <t>Չարտադրված ակտիվների իրացումից մուտքեր (տող 6410+տող6420+6430+տող6440)</t>
  </si>
  <si>
    <t xml:space="preserve"> 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</si>
  <si>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1.2 Ծառայությունների և ապրանքների ձեռք բերում 
(տող 4210+տող 4220+տող 4230+տող 4240+տող4250+
տող 4260)</t>
  </si>
  <si>
    <t>որից</t>
  </si>
  <si>
    <t>1.3 Տոկոսավճարներ 
(տող4310+տող4320տող4330)</t>
  </si>
  <si>
    <t xml:space="preserve">  1.4 Սուբսիդաներ 
(տող 4410+տող 4420)</t>
  </si>
  <si>
    <t>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</si>
  <si>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</si>
  <si>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</si>
  <si>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1.1. Հիմնական միջոցներ
(տող 5110+
տող5120+տող5130)</t>
  </si>
  <si>
    <t xml:space="preserve"> 1.2 Պաշարներ 
(տող5211+տող5221+
տող5231+տող5241)</t>
  </si>
  <si>
    <t xml:space="preserve">1.3 ՙԲարձրարժեք ակտիվներ՚  (տող 5311)
1.4 ՙՉարտադրված ակտիվներ՚ (տող 5400)
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</si>
  <si>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</si>
  <si>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</si>
  <si>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>պաշտոնական դրամաշնորհների  հաշվին կատարված ծածսեր/նվիրատվություններ/</t>
  </si>
  <si>
    <t>պետական դրամաշնորհների հաշվին</t>
  </si>
  <si>
    <t>սեփական եկամուտների հաշվին</t>
  </si>
  <si>
    <t xml:space="preserve">Հողի իրացումից մուտքեր 
(տող 6410)
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</si>
  <si>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</si>
  <si>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>պահուստային ֆոնդ</t>
  </si>
  <si>
    <t xml:space="preserve">տարեկան </t>
  </si>
  <si>
    <t>փաստ. 
/հաշվետու ժամանակա
շրջան/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</si>
  <si>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</si>
  <si>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</si>
  <si>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</si>
  <si>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</si>
  <si>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</si>
  <si>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</si>
  <si>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</si>
  <si>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</si>
  <si>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</si>
  <si>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</si>
  <si>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</si>
  <si>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</si>
  <si>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</si>
  <si>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</si>
  <si>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</si>
  <si>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</si>
  <si>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</si>
  <si>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</si>
  <si>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</si>
  <si>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</si>
  <si>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</si>
  <si>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</si>
  <si>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</si>
  <si>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</si>
  <si>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</si>
  <si>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</si>
  <si>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</si>
  <si>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</si>
  <si>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</si>
  <si>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</si>
  <si>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</si>
  <si>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</si>
  <si>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</si>
  <si>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</si>
  <si>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</si>
  <si>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</si>
  <si>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</si>
  <si>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</si>
  <si>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</si>
  <si>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</si>
  <si>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</si>
  <si>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</si>
  <si>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</si>
  <si>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</si>
  <si>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</si>
  <si>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</si>
  <si>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</si>
  <si>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</si>
  <si>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</si>
  <si>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</si>
  <si>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</si>
  <si>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</si>
  <si>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</si>
  <si>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</si>
  <si>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</si>
  <si>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</si>
  <si>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</si>
  <si>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</si>
  <si>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</si>
  <si>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</si>
  <si>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</si>
  <si>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</si>
  <si>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</si>
  <si>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</si>
  <si>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</si>
  <si>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</si>
  <si>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</si>
  <si>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</si>
  <si>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</si>
  <si>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</si>
  <si>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</si>
  <si>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</si>
  <si>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ՇԱՂԱՓ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</si>
  <si>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</si>
  <si>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</si>
  <si>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</si>
  <si>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</si>
  <si>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</si>
  <si>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</si>
  <si>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</si>
  <si>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</si>
  <si>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</si>
  <si>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</si>
  <si>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</si>
  <si>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</si>
  <si>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</si>
  <si>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</si>
  <si>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ՎԵԴՈՒ Գ?Գ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</si>
  <si>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</si>
  <si>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</si>
  <si>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</si>
  <si>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</si>
  <si>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</si>
  <si>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</si>
  <si>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</si>
  <si>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t xml:space="preserve">  ՀՀ   ԱՐՄԱՎՐԻՐ 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2010թ. տարեկան</t>
  </si>
  <si>
    <t>Համայնքի    անվանումը</t>
  </si>
  <si>
    <t>ԸՆԴԱՄԵՆԸ ԲՅՈՒՋԵՏԱՅԻՆ ԾԱԽՍԵՐ                                                                                                                                                                                                      ( բյուջ.տող 4100 +տող 4200+տող4300+
տող 4400+տող 4500+տող4600+տող 4700)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</si>
  <si>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</si>
  <si>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</t>
  </si>
  <si>
    <t>Գ.Ոչ ֆինանսական ակտիվների իրացումից մուտքեր</t>
  </si>
  <si>
    <t xml:space="preserve">Այլ ծախսեր*
այդ թվում` համայնքի բյուջեի վարչական մասի պահուստային ֆոնդից ֆոնդային մաս կատարվող հատկացումներ
</t>
  </si>
  <si>
    <t xml:space="preserve">Այլ ծախսեր*
այդ թվում` 
պահուստային միջոցներ 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</si>
  <si>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
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</si>
  <si>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</si>
  <si>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</si>
  <si>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</si>
  <si>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</si>
  <si>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</si>
  <si>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</si>
  <si>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>1.1. Հիմնական միջոցներ
(տող 5110+
տող5120+տող5130)</t>
  </si>
  <si>
    <t>1.2 Պաշարներ 
(տող5211+տող5221+
տող5231+տող5241)</t>
  </si>
  <si>
    <t>1.3 ՙԲարձրարժեք ակտիվներ՚  (տող 5311)
1.4 ՙՉարտադրված ակտիվներ՚ (տող 5400)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</si>
  <si>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</si>
  <si>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</si>
  <si>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>Հողի իրացումից մուտքեր 
(տող 6410)</t>
  </si>
  <si>
    <t xml:space="preserve">փաստ. 
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</si>
  <si>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</si>
  <si>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</si>
  <si>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</si>
  <si>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</si>
  <si>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</si>
  <si>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</si>
  <si>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</t>
  </si>
  <si>
    <t>Ապագա</t>
  </si>
  <si>
    <t>Առատաշեն</t>
  </si>
  <si>
    <t>Արագած</t>
  </si>
  <si>
    <t>Արաքս</t>
  </si>
  <si>
    <t>Արշալույս</t>
  </si>
  <si>
    <t>Արտիմետ</t>
  </si>
  <si>
    <t>Արևաշատ</t>
  </si>
  <si>
    <t>Բաղրամյան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</si>
  <si>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</si>
  <si>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</si>
  <si>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</si>
  <si>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</si>
  <si>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</si>
  <si>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</si>
  <si>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</si>
  <si>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</si>
  <si>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</si>
  <si>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</si>
  <si>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</si>
  <si>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</si>
  <si>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</si>
  <si>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</si>
  <si>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</si>
  <si>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</si>
  <si>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</si>
  <si>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</si>
  <si>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</si>
  <si>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</si>
  <si>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</si>
  <si>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</si>
  <si>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</si>
  <si>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</si>
  <si>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</si>
  <si>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</si>
  <si>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</si>
  <si>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</si>
  <si>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</si>
  <si>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</si>
  <si>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</si>
  <si>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</si>
  <si>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</si>
  <si>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</si>
  <si>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</si>
  <si>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</si>
  <si>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</si>
  <si>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</si>
  <si>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</si>
  <si>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</si>
  <si>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</si>
  <si>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</si>
  <si>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</si>
  <si>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</si>
  <si>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</si>
  <si>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</si>
  <si>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</si>
  <si>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</si>
  <si>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</si>
  <si>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Ձերժինսկի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</si>
  <si>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</si>
  <si>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</si>
  <si>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</si>
  <si>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</si>
  <si>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</si>
  <si>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</si>
  <si>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</si>
  <si>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</si>
  <si>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</si>
  <si>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</si>
  <si>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</si>
  <si>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</si>
  <si>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Սովետական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</si>
  <si>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</si>
  <si>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</si>
  <si>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</si>
  <si>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</si>
  <si>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</si>
  <si>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</si>
  <si>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</si>
  <si>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</si>
  <si>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</si>
  <si>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</si>
  <si>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</si>
  <si>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</si>
  <si>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</si>
  <si>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</si>
  <si>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</si>
  <si>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</si>
  <si>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 մարզում</t>
  </si>
  <si>
    <t xml:space="preserve">  ÐÐ   ¶ºÔ²ðøàôÜÆøÆ 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ï³ñ»Ï³Ý</t>
  </si>
  <si>
    <t xml:space="preserve">ø. ì³ñ¹»ÝÇë </t>
  </si>
  <si>
    <t>Î³ñ×³ÕµÛáõñ</t>
  </si>
  <si>
    <t>ö³Ùµ³Ï</t>
  </si>
  <si>
    <t>È×³í³Ý</t>
  </si>
  <si>
    <t>²Ëåñ³Óáñ</t>
  </si>
  <si>
    <t>Üáñ³Ï»ñï</t>
  </si>
  <si>
    <t>Þ³ïí³Ý</t>
  </si>
  <si>
    <t>ì³Ý¨³Ý</t>
  </si>
  <si>
    <t>îñ»ïáõù</t>
  </si>
  <si>
    <t>ÎáõÃ</t>
  </si>
  <si>
    <t>æ³Õ³ó³Óáñ</t>
  </si>
  <si>
    <t>êáïù</t>
  </si>
  <si>
    <t xml:space="preserve">²ñ»·áõÝÇ </t>
  </si>
  <si>
    <t>Î³Ë³ÏÝ</t>
  </si>
  <si>
    <t>ì. ÞáñÅ³</t>
  </si>
  <si>
    <t>²í³½³Ý</t>
  </si>
  <si>
    <t>¸³ñ³Ý³Ï</t>
  </si>
  <si>
    <t>Ü  ÞáñÅ³</t>
  </si>
  <si>
    <t>Þ³ïçñ»ù</t>
  </si>
  <si>
    <t>²ñ÷áõÝù</t>
  </si>
  <si>
    <t>ö. Ø³ëñÇÏ</t>
  </si>
  <si>
    <t>Ì³÷³Ã³Õ</t>
  </si>
  <si>
    <t>²Ûñù</t>
  </si>
  <si>
    <t>Ê³ã³ÕµÛáõñ</t>
  </si>
  <si>
    <t>Èáõë³ÏáõÝù</t>
  </si>
  <si>
    <t>Üáñ³µ³Ï</t>
  </si>
  <si>
    <t>²½³ï</t>
  </si>
  <si>
    <t>Ø³ù»ÝÇë</t>
  </si>
  <si>
    <t>¶»Õ³ù³ñ</t>
  </si>
  <si>
    <t>¶»Õ³Ù³µ³Ï</t>
  </si>
  <si>
    <t>¶»Õ³Ù³ë³ñ</t>
  </si>
  <si>
    <t>Îáõï³Ï³Ý</t>
  </si>
  <si>
    <t>Ø. Ø³ëñÇÏ</t>
  </si>
  <si>
    <t>îáñý³í³Ý</t>
  </si>
  <si>
    <t>Ìáí³Ï</t>
  </si>
  <si>
    <t>ø. ¶³í³é</t>
  </si>
  <si>
    <t>È×³÷</t>
  </si>
  <si>
    <t>Ð³Ûñ³í³Ýù</t>
  </si>
  <si>
    <t>´»ñ¹ÏáõÝù</t>
  </si>
  <si>
    <t>¶»Õ³ñùáõÝÇù</t>
  </si>
  <si>
    <t>Î³ñÙÇñ·ÛáõÕ</t>
  </si>
  <si>
    <t>¶³ÝÓ³Ï</t>
  </si>
  <si>
    <t>ê³ñáõË³Ý</t>
  </si>
  <si>
    <t>È³Ýç³ÕµÛáõñ</t>
  </si>
  <si>
    <t>Ìáí³½³ñ¹</t>
  </si>
  <si>
    <t>Üáñ³ïáõë</t>
  </si>
  <si>
    <t>ø. Ö³Ùµ³ñ³Ï</t>
  </si>
  <si>
    <t>¶»ïÇÏ</t>
  </si>
  <si>
    <t>Ø³ñïáõÝÇ</t>
  </si>
  <si>
    <t xml:space="preserve">ì³Ñ³Ý </t>
  </si>
  <si>
    <t>Òáñ³í³Ýù</t>
  </si>
  <si>
    <t>²Ýï³é³Ù»ç</t>
  </si>
  <si>
    <t>¸åñ³µ³Ï</t>
  </si>
  <si>
    <t>æÇÉ</t>
  </si>
  <si>
    <t>Î³É³í³Ý</t>
  </si>
  <si>
    <t>¸ñ³ËïÇÏ</t>
  </si>
  <si>
    <t>²Õµ»ñù</t>
  </si>
  <si>
    <t>ÞáñÅ³</t>
  </si>
  <si>
    <t>²ñï³ÝÇß</t>
  </si>
  <si>
    <t>²Û·áõï</t>
  </si>
  <si>
    <t>ø. Ø³ñïáõÝÇ</t>
  </si>
  <si>
    <t>Ì³Ïù³ñ</t>
  </si>
  <si>
    <t>Ø³¹ÇÝ³</t>
  </si>
  <si>
    <t>²ñÍí³ÝÇëï</t>
  </si>
  <si>
    <t>¼áÉ³ù³ñ</t>
  </si>
  <si>
    <t>ì. ¶»ï³ß»Ý</t>
  </si>
  <si>
    <t>²ëïÕ³Óáñ</t>
  </si>
  <si>
    <t>ì³ñ¹³Óáñ</t>
  </si>
  <si>
    <t>Ü.¶»ï³ß»Ý</t>
  </si>
  <si>
    <t>¶»ÕÑáíÇï</t>
  </si>
  <si>
    <t>ì³ñ¹»ÝÇÏ</t>
  </si>
  <si>
    <t>ÌáíÇÝ³ñ</t>
  </si>
  <si>
    <t>ºñ³Ýáë</t>
  </si>
  <si>
    <t>Òáñ³·ÛáõÕ</t>
  </si>
  <si>
    <t>Ìáí³ë³ñ</t>
  </si>
  <si>
    <t>ì³Õ³ß»Ý</t>
  </si>
  <si>
    <t>ÈÇ×ù</t>
  </si>
  <si>
    <t>ø.  ê¨³Ý</t>
  </si>
  <si>
    <t>âÏ³ÉáíÏ³</t>
  </si>
  <si>
    <t>ì³ñë»ñ</t>
  </si>
  <si>
    <t>Üáñ³ß»Ý</t>
  </si>
  <si>
    <t>¶»Õ³Ù³í³Ý</t>
  </si>
  <si>
    <t>¸¹Ù³ß»Ý</t>
  </si>
  <si>
    <t>ê»ÙÛáÝáíÏ³</t>
  </si>
  <si>
    <t>Ì³ÕÏáõÝù</t>
  </si>
  <si>
    <t>Ìáí³·ÛáõÕ</t>
  </si>
  <si>
    <t>È×³ß»Ý</t>
  </si>
  <si>
    <t>¼áí³µ»ñ</t>
  </si>
  <si>
    <t xml:space="preserve">  ÐÐ   ÞÆð²ÎÆ  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ï³ñ»Ï³Ý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</si>
  <si>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4100 +ïáÕ 4200+ïáÕ4300+
ïáÕ 4400+ïáÕ 4500+ïáÕ4600+ïáÕ 4700)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</si>
  <si>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</si>
  <si>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r>
      <t xml:space="preserve">  1.5 ¸ñ³Ù³ßÝáñÑÝ»ñ
</t>
    </r>
    <r>
      <rPr>
        <sz val="10"/>
        <rFont val="Arial Armenian"/>
        <family val="2"/>
      </rPr>
      <t xml:space="preserve"> (ïáÕ4510+ïáÕ4520+ïáÕ4530+ïáÕ4540)</t>
    </r>
  </si>
  <si>
    <r>
      <t xml:space="preserve">1.6 êáóÇ³É³Ï³Ý      Ýå³ëïÝ»ñ ¨ Ï»Ýë³Ãáß³ÏÝ»ñ 
</t>
    </r>
    <r>
      <rPr>
        <sz val="10"/>
        <rFont val="Arial Armenian"/>
        <family val="2"/>
      </rPr>
      <t>(ïáÕ 4610+ïáÕ 4630+ïáÕ4640)</t>
    </r>
  </si>
  <si>
    <t>²½³ï³Ý</t>
  </si>
  <si>
    <t>²ËáõñÇÏ</t>
  </si>
  <si>
    <t>²ËáõñÛ³Ý</t>
  </si>
  <si>
    <t>²Û·³µ³ó</t>
  </si>
  <si>
    <t>²é³÷Ç</t>
  </si>
  <si>
    <t>²ñ¨ÇÏ</t>
  </si>
  <si>
    <t>´³ë»Ý/ Øáõë./</t>
  </si>
  <si>
    <t>´³Û³Ý¹áõñ</t>
  </si>
  <si>
    <t>´»ÝÇ³ÙÇÝ</t>
  </si>
  <si>
    <t>¶»ïù</t>
  </si>
  <si>
    <t>ù. ¶ÛáõÙñÇ</t>
  </si>
  <si>
    <t>ºñ³½·³íáñë</t>
  </si>
  <si>
    <t>È»éÝáõï</t>
  </si>
  <si>
    <t>Î³Ùá</t>
  </si>
  <si>
    <t>Î³åë</t>
  </si>
  <si>
    <t>Î³éÝáõï</t>
  </si>
  <si>
    <t>Î³ñÙñ³ù³ñ</t>
  </si>
  <si>
    <t>Îñ³ß»Ý</t>
  </si>
  <si>
    <t>Ð³ÛÏ³í³Ý</t>
  </si>
  <si>
    <t>Ð³óÇÏ</t>
  </si>
  <si>
    <t>ÐáíÇï</t>
  </si>
  <si>
    <t>ÐáíáõÝÇ</t>
  </si>
  <si>
    <t>Ô³ñÇµç³ÝÛ³Ý</t>
  </si>
  <si>
    <t>Ø³ÛÇëÛ³Ý</t>
  </si>
  <si>
    <t xml:space="preserve">Ø³ñÙ³ß»Ý </t>
  </si>
  <si>
    <t>Ø»Í ê³ñÇ³ñ</t>
  </si>
  <si>
    <t xml:space="preserve">ÞÇñ³Ï </t>
  </si>
  <si>
    <t>àëÏ»Ñ³ëÏ</t>
  </si>
  <si>
    <t>æ³çáõé</t>
  </si>
  <si>
    <t>æ³çáõé ³í³Ý</t>
  </si>
  <si>
    <t>æñ³é³ï</t>
  </si>
  <si>
    <t>ì³Ññ³Ù³µ»ñ¹</t>
  </si>
  <si>
    <t>öáùñ³ß»Ý</t>
  </si>
  <si>
    <t>ø»ÃÇ</t>
  </si>
  <si>
    <t>²Ýáõß³í³Ý</t>
  </si>
  <si>
    <t>²ñ¨ß³ï</t>
  </si>
  <si>
    <t>²ñÃÇÏ ù.</t>
  </si>
  <si>
    <t>¶»Õ³ÝÇëï</t>
  </si>
  <si>
    <t>È»éÝ³Ï»ñï</t>
  </si>
  <si>
    <t>Èáõë³Ï»ñï</t>
  </si>
  <si>
    <t>Ð³ÛÏ³ë³ñ</t>
  </si>
  <si>
    <t>Ð³Ûñ»ÝÛ³ó</t>
  </si>
  <si>
    <t>Ð³éÇ×</t>
  </si>
  <si>
    <t>ÐáéáÙ</t>
  </si>
  <si>
    <t>Ðáíï³ß»Ý</t>
  </si>
  <si>
    <t>Ø»Í Ø³ÝÃ³ß</t>
  </si>
  <si>
    <t>Ø»Õñ³ß»Ý</t>
  </si>
  <si>
    <t>Ü³Ñ³å»ï³í³Ý</t>
  </si>
  <si>
    <t>Üáñ ÏÛ³Ýù</t>
  </si>
  <si>
    <t>ä»Ù½³ß»Ý</t>
  </si>
  <si>
    <t>ê³ñ³ï³Ï</t>
  </si>
  <si>
    <t>êå³Ý¹³ñÛ³Ý</t>
  </si>
  <si>
    <t>ì³ñ¹³ù³ñ</t>
  </si>
  <si>
    <t>îáõý³ß»Ý</t>
  </si>
  <si>
    <t>ö³ÝÇÏ</t>
  </si>
  <si>
    <t>öáùñ Ø³ÝÃ³ß</t>
  </si>
  <si>
    <t>²ÕÇÝ</t>
  </si>
  <si>
    <t>²ÝÇ ³í³Ý</t>
  </si>
  <si>
    <t>²ÝÇ ä»Ù½³</t>
  </si>
  <si>
    <t>´³·ñ³í³Ý</t>
  </si>
  <si>
    <t>¶áõë³ÝÝ³·ÛáõÕ</t>
  </si>
  <si>
    <t>Æë³Ñ³ÏÛ³Ý</t>
  </si>
  <si>
    <t>È³ÝçÇÏ</t>
  </si>
  <si>
    <t>Èáõë³ÕµÛáõñ</t>
  </si>
  <si>
    <t>Ð³ÛÏ³Óáñ</t>
  </si>
  <si>
    <t>ÒÇÃÑ³Ýùáí</t>
  </si>
  <si>
    <t>Òáñ³Ï³å</t>
  </si>
  <si>
    <t>Ø³ñ³ÉÇÏ ù.</t>
  </si>
  <si>
    <t>ÞÇñ³Ï³í³Ý</t>
  </si>
  <si>
    <t>æñ³÷Ç</t>
  </si>
  <si>
    <t>ê³éÝ³ÕµÛáõñ</t>
  </si>
  <si>
    <t>ê³ñ³Ï³å</t>
  </si>
  <si>
    <t>ø³ñ³µ»ñ¹</t>
  </si>
  <si>
    <t>²Éí³ñ</t>
  </si>
  <si>
    <t>²ÕíáñÇÏ</t>
  </si>
  <si>
    <t>²Ù³ëÇ³</t>
  </si>
  <si>
    <t>²ñ¹»ÝÇë</t>
  </si>
  <si>
    <t>²ñ»·Ý³¹»Ù</t>
  </si>
  <si>
    <t>´³Ý¹Çí³Ý</t>
  </si>
  <si>
    <t>´»ñ¹³ß»Ý</t>
  </si>
  <si>
    <t>¶³éÝ³éÇ×</t>
  </si>
  <si>
    <t>¶ÛáõÉÉÇµáõÉ³Õ</t>
  </si>
  <si>
    <t>¶ï³ß»Ý</t>
  </si>
  <si>
    <t>¼³ñÇß³ï</t>
  </si>
  <si>
    <t>¼áñ³Ï»ñï</t>
  </si>
  <si>
    <t>Ì³ÕÏáõï</t>
  </si>
  <si>
    <t>ÐáÕÙÇÏ</t>
  </si>
  <si>
    <t>ÐáíïáõÝ</t>
  </si>
  <si>
    <t>Ø»Õñ³ß³ï</t>
  </si>
  <si>
    <t>Þ³ÕÇÏ</t>
  </si>
  <si>
    <t>àÕçÇ</t>
  </si>
  <si>
    <t>æñ³Óáñ</t>
  </si>
  <si>
    <t>²ßáóù</t>
  </si>
  <si>
    <t>²ñ÷»ÝÇ</t>
  </si>
  <si>
    <t>´³ß·ÛáõÕ</t>
  </si>
  <si>
    <t>´³íñ³</t>
  </si>
  <si>
    <t>¶á·ÑáíÇï</t>
  </si>
  <si>
    <t>¼áõÛ·³ÕµÛáõñ</t>
  </si>
  <si>
    <t>Â³íßáõï</t>
  </si>
  <si>
    <t>Âáñáë·ÛáõÕ</t>
  </si>
  <si>
    <t>È»éÝ³·ÛáõÕ</t>
  </si>
  <si>
    <t xml:space="preserve">Î³ñÙñ³í³Ý </t>
  </si>
  <si>
    <t xml:space="preserve">Î³ù³í³ë³ñ </t>
  </si>
  <si>
    <t>Îñ³ë³ñ</t>
  </si>
  <si>
    <t>Ð³ñÃ³ß»Ý</t>
  </si>
  <si>
    <t>Òáñ³ß»Ý</t>
  </si>
  <si>
    <t>Ô³½³ÝãÇ</t>
  </si>
  <si>
    <t>Ø»Í ê»å³ë³ñ</t>
  </si>
  <si>
    <t>Øáõë³Û»ÉÛ³Ý</t>
  </si>
  <si>
    <t>ê³ñ³·ÛáõÕ</t>
  </si>
  <si>
    <t>ê³Éáõï</t>
  </si>
  <si>
    <t>ê³ñ³å³ï</t>
  </si>
  <si>
    <t>êÇ½³í»ï</t>
  </si>
  <si>
    <t>ì³ñ¹³ÕµÛáõñ</t>
  </si>
  <si>
    <t>òáÕ³Ù³ñ·</t>
  </si>
  <si>
    <t xml:space="preserve"> öáùñ ê³ñÇ³ñ</t>
  </si>
  <si>
    <t>öáùñ ê»å³ë³ñ</t>
  </si>
  <si>
    <t>Ð²ÞìºîìàôÂÚàôÜ                                                                                                                                    ÐÐ êÚàôÜÆøÆ Ø²ð¼Æ Ð²Ø²ÚÜøÜºðÆ ´ÚàôÚºî²ÚÆÜ Ì²ÊêºðÆ ìºð²´ºðÚ²È         
      (´Ûáõç»ï³ÛÇÝ Í³Ëë»ñÁ Áëï ïÝï»ë³·Çï³Ï³Ý ¹³ë³Ï³ñ·Ù³Ý)                                                                  2010Ã. ï³ñ»Ï³Ý</t>
  </si>
  <si>
    <r>
      <t>ÀÜ¸²ØºÜÀ ´Úàôæºî²ÚÆÜ Ì²Êêºð</t>
    </r>
    <r>
      <rPr>
        <sz val="11"/>
        <rFont val="Arial Armenian"/>
        <family val="2"/>
      </rPr>
      <t xml:space="preserve"> </t>
    </r>
    <r>
      <rPr>
        <sz val="9"/>
        <rFont val="Arial Armenian"/>
        <family val="2"/>
      </rPr>
      <t>(µÛáõç.ïáÕ4050+ïáÕ5000+ïáÕ6000)</t>
    </r>
    <r>
      <rPr>
        <sz val="11"/>
        <rFont val="Arial Armenian"/>
        <family val="2"/>
      </rPr>
      <t xml:space="preserve">   </t>
    </r>
  </si>
  <si>
    <r>
      <t xml:space="preserve">². ÀÝÃ³óÇÏ Í³Ëë»ñ </t>
    </r>
    <r>
      <rPr>
        <sz val="10"/>
        <rFont val="Arial Armenian"/>
        <family val="2"/>
      </rPr>
      <t xml:space="preserve"> (µÛáõç.ïáÕ4100+ïáÕ4200+ïáÕ4300+ïáÕ4400+ïáÕ4500+ïáÕ4600+ïáÕ4700)</t>
    </r>
  </si>
  <si>
    <t>´. àã ýÇÝ³Ýë³Ï³Ý ³ÏïÇíÝ»ñÇ ·Íáí Í³Ëë»ñ                                          (ïáÕ 5100+ïáÕ5200+ïáÕ5300+ïáÕ5400)</t>
  </si>
  <si>
    <t>¶. àã ýÇÝ³Ýë³Ï³Ý ³ÏïÇíÝ»ñÇ Çñ³óáõÙÇó Ùáõïù»ñ</t>
  </si>
  <si>
    <t>²ÛÉ Í³Ëë»ñ* ³Û¹ ÃíáõÙª Ñ³Ù³ÛÝùÇ µÛáõç»Ç í³ñã³Ï³Ý Ù³ëÇ å³Ñáõëï³ÛÇÝ ýáÝ¹Çó ýáÝ¹³ÛÇÝ Ù³ë Ï³ï³ñíáÕ Ñ³ïÏ³óáõÙÝ»ñ</t>
  </si>
  <si>
    <t>³Û¹ ÃíáõÙª</t>
  </si>
  <si>
    <t>&lt;&lt;ÐÇÙÝ³Ï³Ý ÙÇçáóÝ»ñÇ Çñ³óáõÙÇó Ùáõïù»ñ&gt;&gt;(ïáÕ6100), &lt;&lt;ä³ß³ñÝ»ñÇ Çñ³óáõÙÇó Ùáõïù»ñ&gt;&gt; (ïáÕ6200), &lt;&lt;´³ñÓñ³ñÅ»ù ³ÏïÇíÝ»ñÇ Çñ³óáõÙÇó Ùáõïù»ñ&gt;&gt; (ïáÕ6300),</t>
  </si>
  <si>
    <t>â³ñï³¹ñí³Í ³ÏïÇíÝ»ñÇ Çñ³óáõÙÇó Ùáõïù»ñ (ïáÕ6410+ïáÕ6420+ïáÕ6430+ïáÕ6440)</t>
  </si>
  <si>
    <t xml:space="preserve">1.1 ²ßË³ï³ÝùÇ í³ñÓ³ïñáõÃÛáõÝ   (ïáÕ4110+ïáÕ4120+ïáÕ4130)          </t>
  </si>
  <si>
    <r>
      <t>1.2 Ì³é³ÛáõÃÛáõÝÝ»ñÇ ¨ ³åñ³ÝùÝ»ñÇ Ó»éùµ»ñáõÙ</t>
    </r>
    <r>
      <rPr>
        <sz val="9"/>
        <rFont val="Arial Armenian"/>
        <family val="2"/>
      </rPr>
      <t xml:space="preserve"> (ïáÕ4210+ïáÕ4220+ïáÕ4230+ïáÕ4240+ïáÕ4250+ïáÕ4260) </t>
    </r>
  </si>
  <si>
    <r>
      <t xml:space="preserve">1.3 îáÏáë³í×³ñÝ»ñ  </t>
    </r>
    <r>
      <rPr>
        <sz val="9"/>
        <rFont val="Arial Armenian"/>
        <family val="2"/>
      </rPr>
      <t xml:space="preserve">(ïáÕ4310+ïáÕ4320+ïáÕ4330) </t>
    </r>
  </si>
  <si>
    <r>
      <t xml:space="preserve">1.4 êáõµëÇ¹Ç³Ý»ñ  </t>
    </r>
    <r>
      <rPr>
        <sz val="9"/>
        <rFont val="Arial Armenian"/>
        <family val="2"/>
      </rPr>
      <t xml:space="preserve">(ïáÕ4410+ïáÕ4420) </t>
    </r>
  </si>
  <si>
    <r>
      <t xml:space="preserve">1.5¸ñ³Ù³ßÝáñÑÝ»ñ  </t>
    </r>
    <r>
      <rPr>
        <sz val="9"/>
        <rFont val="Arial Armenian"/>
        <family val="2"/>
      </rPr>
      <t xml:space="preserve">(ïáÕ4510+ïáÕ4520+ïáÕ4530+ïáÕ4540) </t>
    </r>
  </si>
  <si>
    <r>
      <t xml:space="preserve">1.6 êáóÇ³É³Ï³Ý Ýå³ëïÝ»ñ ¨ Ï»Ýë³Ãáß³ÏÝ»ñ </t>
    </r>
    <r>
      <rPr>
        <sz val="9"/>
        <rFont val="Arial Armenian"/>
        <family val="2"/>
      </rPr>
      <t xml:space="preserve"> (ïáÕ4610+ïáÕ4630+ïáÕ4640) </t>
    </r>
  </si>
  <si>
    <t>²ÛÉ Í³Ëë»ñ* ³Û¹ ÃíáõÙª å³Ñáõëï³ÛÇÝ ÙÇçáóÝ»ñ</t>
  </si>
  <si>
    <r>
      <t xml:space="preserve"> </t>
    </r>
    <r>
      <rPr>
        <sz val="10"/>
        <rFont val="Arial Armenian"/>
        <family val="2"/>
      </rPr>
      <t xml:space="preserve"> </t>
    </r>
    <r>
      <rPr>
        <sz val="12"/>
        <rFont val="Arial Armenian"/>
        <family val="2"/>
      </rPr>
      <t>1.1ÐÇÙÝ³Ï³Ý ÙÇçáóÝ»ñ</t>
    </r>
    <r>
      <rPr>
        <sz val="10"/>
        <rFont val="Arial Armenian"/>
        <family val="2"/>
      </rPr>
      <t xml:space="preserve"> (ïáÕ5110++ïáÕ5120+ïáÕ5130)  </t>
    </r>
  </si>
  <si>
    <t>êáõµí»ÝóÇ³</t>
  </si>
  <si>
    <r>
      <t xml:space="preserve">1.2 ä³ß³ñÝ»ñ  </t>
    </r>
    <r>
      <rPr>
        <sz val="9"/>
        <rFont val="Arial Armenian"/>
        <family val="2"/>
      </rPr>
      <t xml:space="preserve">(ïáÕ5211++ïáÕ5221+ïáÕ5231+ïáÕ5241)  </t>
    </r>
  </si>
  <si>
    <t>1.3 &lt;&lt;´³ñÓñ³ñÅ»ù ³ÏïÇíÝ»ñ&gt;&gt;(5311)       1.4 â³ñï³¹ñí³Í ³ÏïÇíÝ»ñ (5400)</t>
  </si>
  <si>
    <t>&lt;&lt;¸ñ³Ùáí í×³ñíáÕ ³ßË³ï³í³ñÓÝ»ñ ¨ Ñ³í»É³í×³ñÝ»ñ&gt;&gt; (4110)   &lt;&lt;´Ý»Õ»Ý ³ßË³ï³í³ñÓÝ»ñ ¨ Ñ³í»É³í×³ñÝ»ñ&gt;&gt; (4120)</t>
  </si>
  <si>
    <t>êáóÇ³É³Ï³Ý ³å³ÑáíáõÃÛ³Ý í×³ñÝ»ñ (4130)</t>
  </si>
  <si>
    <t xml:space="preserve">ÐáÕÇ Çñ³óáõÙÇó Ùáõïù»ñ (ïáÕ6410) </t>
  </si>
  <si>
    <t xml:space="preserve">&lt;&lt;ú·ï³Ï³ñ Ñ³Ý³ÍáÝ»ñÇ Çñ³óáõÙÇó Ùáõïù»ñ&gt;&gt;(ïáÕ6420), &lt;&lt;²ÛÉ µ³ÝÏ³ÛÇÝ Í³·áõÙ áõÝ»óáÕ ÑÇÙÝ³Ï³Ý ÙÇçáóÝ»ñÇ Çñ³óáõÙÇó Ùáõïù»ñ&gt;&gt; (ïáÕ6430),                           &lt;&lt;àã ÝÛáõÃ³Ï³Ý ã³ñï³¹ñí³Í ³ÏïÇíÝ»ñÇ Çñ³óáõÙÇó Ùáõïù»ñ&gt;&gt; </t>
  </si>
  <si>
    <t>ï³ñ»Ï³Ý</t>
  </si>
  <si>
    <t xml:space="preserve">÷³ëï.  /Ñ³ßí»ïáõ Å³Ù³Ý³Ï³ßñç³Ý/ </t>
  </si>
  <si>
    <t>ù.Î³å³Ý</t>
  </si>
  <si>
    <t>ù.ø³ç³ñ³Ý</t>
  </si>
  <si>
    <t>²Õí³ÝÇ</t>
  </si>
  <si>
    <t>²Ýï³é³ß³ï</t>
  </si>
  <si>
    <t>²é³ç³Óáñ</t>
  </si>
  <si>
    <t>²ñÍí³ÝÇÏ</t>
  </si>
  <si>
    <t>¶»Õ³Ýáõß</t>
  </si>
  <si>
    <t>¶»ÕÇ</t>
  </si>
  <si>
    <t>¸³íÇÃ-´»Ï</t>
  </si>
  <si>
    <t>¸áíñáõë</t>
  </si>
  <si>
    <t>ºÕ»·</t>
  </si>
  <si>
    <t>ºÕí³ñ¹</t>
  </si>
  <si>
    <t>È»éÝ³Óáñ</t>
  </si>
  <si>
    <t>Ê³É³ç</t>
  </si>
  <si>
    <t>Ê¹ñ³Ýó</t>
  </si>
  <si>
    <t>Ì³í</t>
  </si>
  <si>
    <t>Î³ÕÝáõï</t>
  </si>
  <si>
    <t>Òáñ³ëï³Ý</t>
  </si>
  <si>
    <t>ì³Ý»ù</t>
  </si>
  <si>
    <t>Ö³Ï³ï»Ý</t>
  </si>
  <si>
    <t>Üáñ³ß»ÝÇÏ</t>
  </si>
  <si>
    <t>Ü Êáï³Ý³Ý</t>
  </si>
  <si>
    <t>Ü Ð³Ý¹</t>
  </si>
  <si>
    <t>ÞÇÏ³ÑáÕ</t>
  </si>
  <si>
    <t>Þñí»Ý³Ýó</t>
  </si>
  <si>
    <t>â³÷ÝÇ</t>
  </si>
  <si>
    <t>êÛáõÝÇù</t>
  </si>
  <si>
    <t>êñ³ß»Ý</t>
  </si>
  <si>
    <t>ê¨³ù³ñ</t>
  </si>
  <si>
    <t>ì ¶Ûá¹³ùÉáõ</t>
  </si>
  <si>
    <t>ì Êáï³Ý³Ý</t>
  </si>
  <si>
    <t>î³ÝÓ³í»ñ</t>
  </si>
  <si>
    <t>àõÅ³ÝÇë</t>
  </si>
  <si>
    <t>ø³ç³ñ³Ý</t>
  </si>
  <si>
    <t>úËï³ñ</t>
  </si>
  <si>
    <t>ö³Û³Ñ³Ý</t>
  </si>
  <si>
    <t>ù.¶áñÇë</t>
  </si>
  <si>
    <t>²ÏÝ»ñ</t>
  </si>
  <si>
    <t>²ñ³íáõë</t>
  </si>
  <si>
    <t>´³ñÓñ³í³Ý</t>
  </si>
  <si>
    <t>ÊÝ³Í³Ë</t>
  </si>
  <si>
    <t>ÊÝÓáñ»ëÏ</t>
  </si>
  <si>
    <t>Êá½Ý³í³ñ</t>
  </si>
  <si>
    <t>Êáï</t>
  </si>
  <si>
    <t>ÎáéÝÇÓáñ</t>
  </si>
  <si>
    <t>Ð³ÉÇÓáñ</t>
  </si>
  <si>
    <t>Ð³ñÅÇë</t>
  </si>
  <si>
    <t>Ü. ÊÝÓáñ»ëÏ</t>
  </si>
  <si>
    <t>ÞÇÝáõÑ³Ûñ</t>
  </si>
  <si>
    <t>ÞáõéÝáõË</t>
  </si>
  <si>
    <t xml:space="preserve">àñáï³Ý </t>
  </si>
  <si>
    <t>êí³ñ³Ýó</t>
  </si>
  <si>
    <t>ì³Õ³ïáõñ</t>
  </si>
  <si>
    <t>ì»ñÇß»Ý</t>
  </si>
  <si>
    <t>î³Ã¨</t>
  </si>
  <si>
    <t>î³ÝÓ³ï³÷</t>
  </si>
  <si>
    <t>î»Õ</t>
  </si>
  <si>
    <t>ø³ßáõÝÇ</t>
  </si>
  <si>
    <t>ø³ñ³ÑáõÝç</t>
  </si>
  <si>
    <t>ø³ñ³ß»Ý</t>
  </si>
  <si>
    <t>ù. êÇëÇ³Ý</t>
  </si>
  <si>
    <t>ù.¸³ëï³Ï»ñï</t>
  </si>
  <si>
    <t>²ËÉ³ÃÛ³Ý</t>
  </si>
  <si>
    <t>²ÕÇïáõ</t>
  </si>
  <si>
    <t>²Ý·»Õ³ÏáÃ</t>
  </si>
  <si>
    <t>²ßáï³í³Ý</t>
  </si>
  <si>
    <t>²ñ¨Çë</t>
  </si>
  <si>
    <t>´³É³ù</t>
  </si>
  <si>
    <t>´ÝáõÝÇë</t>
  </si>
  <si>
    <t>´éÝ³ÏáÃ</t>
  </si>
  <si>
    <t>¶»ï³Ã³Õ</t>
  </si>
  <si>
    <t>¶áñ³Ûù</t>
  </si>
  <si>
    <t>¸³ñµ³ë</t>
  </si>
  <si>
    <t>Â³Ý³Ñ³ï</t>
  </si>
  <si>
    <t>Â³ëÇÏ</t>
  </si>
  <si>
    <t>ÈÍ»Ý</t>
  </si>
  <si>
    <t>Èáñ</t>
  </si>
  <si>
    <t>ÌÕáõÏ</t>
  </si>
  <si>
    <t>Ð³ó³í³Ý</t>
  </si>
  <si>
    <t>Ô½ÉçáõÕ</t>
  </si>
  <si>
    <t>ØáõÍù</t>
  </si>
  <si>
    <t>Üáñ³í³Ý</t>
  </si>
  <si>
    <t>Þ³Õ³Ã</t>
  </si>
  <si>
    <t>Þ³ùÇ</t>
  </si>
  <si>
    <t>Þ»Ý³Ã³Õ</t>
  </si>
  <si>
    <t>ê³Éí³ñ¹</t>
  </si>
  <si>
    <t>ê³éÝ³ÏáõÝù</t>
  </si>
  <si>
    <t>êáýÉáõ</t>
  </si>
  <si>
    <t>ì³Õ³ïÇÝ</t>
  </si>
  <si>
    <t>îáÉáñë</t>
  </si>
  <si>
    <t>îáñáõÝÇù</t>
  </si>
  <si>
    <t>àôÛÍ</t>
  </si>
  <si>
    <t>ù.Ø»ÕñÇ</t>
  </si>
  <si>
    <t xml:space="preserve">ù.²·³ñ³Ï </t>
  </si>
  <si>
    <t>²É¹³ñ³</t>
  </si>
  <si>
    <t>¶áõ¹»ÙÝÇë</t>
  </si>
  <si>
    <t>È»Ñí³½</t>
  </si>
  <si>
    <t>Î³ñ×¨³Ý</t>
  </si>
  <si>
    <t>ÎáõñÇë</t>
  </si>
  <si>
    <t>ÜÛáõí³¹Ç</t>
  </si>
  <si>
    <t>Þí³ÝÇÓáñ</t>
  </si>
  <si>
    <t>ì³Ññ³í³ñ</t>
  </si>
  <si>
    <t>ì³ñ¹³ÝÇÓáñ</t>
  </si>
  <si>
    <t>î³ßïáõÝ</t>
  </si>
  <si>
    <t>ÀÝ¹³Ù»ÝÁ</t>
  </si>
  <si>
    <t>ԸՆԴԱՄԵՆԸ ԲՅՈՒՋԵՏԱՅԻՆ ԾԱԽՍԵՐ  ( բյուջ.տող 4100 +տող 4200+տող4300+
տող 4400+տող 4500+տող4600+տող 4700)</t>
  </si>
  <si>
    <t xml:space="preserve">                               Ա.  Ը ն թ ա ց ի կ   ծ ա խ ս ե ր  (բյուջ. տող 4050+տող5000+տող6000)</t>
  </si>
  <si>
    <t xml:space="preserve">Այլ ծախսեր*
այդ թվում` համայնքի բյուջեի վարչական մասի պահուստային ֆոնդից ֆոնդային մաս կատարվող հատկացումներ
</t>
  </si>
  <si>
    <t xml:space="preserve"> այդ թվում` </t>
  </si>
  <si>
    <t>այդ թվում</t>
  </si>
  <si>
    <t xml:space="preserve">§Հիմնական միջոցների իրացումից մուտքեր¦
(տող 6100),
§Պաշարների իրացումից մուտքեր¦ (տող 6200),
§Բարձրարժեք ակտիվների իրացումից մուտքեր¦ (6300)
</t>
  </si>
  <si>
    <t>1.4 Սուբսիդաներ 
(տող 4410+տող 4420)</t>
  </si>
  <si>
    <t>1.2 Պաշարներ 
(տող5211+տող5221+
տող5231+տող5241)</t>
  </si>
  <si>
    <t>1.3 §Բարձրարժեք ակտիվներ¦  (տող 5311)
1.4 §Չարտադրված ակտիվներ¦ (տող 5400)</t>
  </si>
  <si>
    <t>Դրամով վճարվող աշխատավարձեր և հավելավճարներ¦ (4110),
Բնեղեն աշխատավարձեր և հավելավճարներ¦(4120)</t>
  </si>
  <si>
    <t>Հողի իրացումից մուտքեր 
(տող 6410)</t>
  </si>
  <si>
    <t>§Օգտակար հանածոների իրացումից մուտքեր¦, (տող 6420),  §Այլ բնական ծագում ունեցող հիմնական միջոցների իրացումից մուտքեր¦ (տող 6430), §Ոչ նյութական չարտադրված ակտիվների իրացումից մուտքեր¦ (տող 6440)</t>
  </si>
  <si>
    <t>տարեկան</t>
  </si>
  <si>
    <t>փաստ. /հաշվետու ժամանակաշրջան/</t>
  </si>
  <si>
    <t>ë»÷.</t>
  </si>
  <si>
    <t>որից սուբվենցիա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</si>
  <si>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</si>
  <si>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</si>
  <si>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</si>
  <si>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</si>
  <si>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</si>
  <si>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</si>
  <si>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</si>
  <si>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</si>
  <si>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</si>
  <si>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</si>
  <si>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</si>
  <si>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</si>
  <si>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</si>
  <si>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</si>
  <si>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</si>
  <si>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</si>
  <si>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</si>
  <si>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</si>
  <si>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</si>
  <si>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</si>
  <si>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</si>
  <si>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</si>
  <si>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</si>
  <si>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</si>
  <si>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</si>
  <si>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</si>
  <si>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</si>
  <si>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</si>
  <si>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</si>
  <si>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</si>
  <si>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</si>
  <si>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</si>
  <si>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</si>
  <si>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</si>
  <si>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</si>
  <si>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</si>
  <si>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</si>
  <si>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</si>
  <si>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</si>
  <si>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</si>
  <si>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</si>
  <si>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</si>
  <si>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</si>
  <si>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</si>
  <si>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*Ագարակաձոր և Արին համայնքների բյուջեները ավագանիների կողմից հաստատված չեն:</t>
  </si>
  <si>
    <t>հազար դրամ</t>
  </si>
  <si>
    <t>Հ/Հ</t>
  </si>
  <si>
    <t xml:space="preserve">ԸՆԴԱՄԵՆԸ ԲՅՈՒՋԵՏԱՅԻՆ ԾԱԽՍԵՐ  (բյուջ.տող 4050+ տող 5000+տող 6000)                                                                                                                                                                                                    </t>
  </si>
  <si>
    <t>վ ա ր չ ա կ ա ն     բ յ ու ջ ե</t>
  </si>
  <si>
    <t xml:space="preserve">                                    Ա.  Ը ն թ ա ց ի կ   ծ ա խ ս ե ր  ( բյուջ.տող 4100 +տող 4200+տող4300+տող 4400+տող4500+տող4600+տող 4700)</t>
  </si>
  <si>
    <t>Բ. Ոչ ֆինանսական ակտիվների գծով ծախսեր  (տող5100+տող5200+տող5300+տող5400)</t>
  </si>
  <si>
    <t>Պահուստային ֆոնդի ֆոնդային մաս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</si>
  <si>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</t>
  </si>
  <si>
    <t xml:space="preserve">1.7 Այլ ծախսեր*
այդ թվում` 
պահուստային միջոցներ </t>
  </si>
  <si>
    <t>1.1. Հիմնական միջոցներ
(տող 5110+տող5120+տող5130)</t>
  </si>
  <si>
    <t>1.2 Պաշարներ 
(տող5211+տող5221+
տող5231+տող5241)</t>
  </si>
  <si>
    <t>Դրամով վճարվող աշխատավարձեր և հավելավճարներ՚ (4111), ՙԲնեղեն աշխատավարձեր և ավելավճարներ՚(4121)</t>
  </si>
  <si>
    <t>Սոցիալական ապահովության վճարներ
(տող 4131)</t>
  </si>
  <si>
    <t>փաստ.</t>
  </si>
  <si>
    <t>որից այլ տրանսֆերտների հաշվին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</si>
  <si>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</si>
  <si>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</si>
  <si>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</si>
  <si>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</si>
  <si>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</si>
  <si>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</si>
  <si>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</si>
  <si>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</si>
  <si>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</si>
  <si>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</si>
  <si>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</si>
  <si>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</si>
  <si>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</si>
  <si>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</si>
  <si>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</si>
  <si>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</si>
  <si>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</si>
  <si>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</si>
  <si>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</si>
  <si>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</si>
  <si>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Ընդ.  Իջևան</t>
  </si>
  <si>
    <t>Դիլիջան</t>
  </si>
  <si>
    <t>Աղավնավանք</t>
  </si>
  <si>
    <t>Գոշ</t>
  </si>
  <si>
    <t>Թեղուտ</t>
  </si>
  <si>
    <t>Խաչարձան</t>
  </si>
  <si>
    <t>Հաղարծին</t>
  </si>
  <si>
    <t>Ընդ.  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</si>
  <si>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</si>
  <si>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</si>
  <si>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</si>
  <si>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</si>
  <si>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</si>
  <si>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</si>
  <si>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</si>
  <si>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</si>
  <si>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</si>
  <si>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 Կ. Աղբյուր</t>
  </si>
  <si>
    <t>Չինարի</t>
  </si>
  <si>
    <t>Չինչին</t>
  </si>
  <si>
    <t>Չորաթան</t>
  </si>
  <si>
    <t>Պառավաքար</t>
  </si>
  <si>
    <t>Վարագավան</t>
  </si>
  <si>
    <t>Վ. Ծաղկավան</t>
  </si>
  <si>
    <t>Վ. Կ. Աղբյուր</t>
  </si>
  <si>
    <t>Ընդ.  Բերդ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</si>
  <si>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</si>
  <si>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</si>
  <si>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</si>
  <si>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</si>
  <si>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</si>
  <si>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</si>
  <si>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</si>
  <si>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</si>
  <si>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</si>
  <si>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</si>
  <si>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</si>
  <si>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</si>
  <si>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</si>
  <si>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</si>
  <si>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</si>
  <si>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</si>
  <si>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</si>
  <si>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</si>
  <si>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</si>
  <si>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Ընդ.  Նոյեմբերյան</t>
  </si>
  <si>
    <t>ԸՆԴԱՄ. ՄԱՐԶ</t>
  </si>
  <si>
    <t>ՀՀ Տավուշի մարզպետարանի աշխատակազմի ֆինանսական և սոցիալ-տնտեսական զարգացման վարչության պետ</t>
  </si>
  <si>
    <t>Ռ. Ներսեսյան</t>
  </si>
  <si>
    <t xml:space="preserve"> </t>
  </si>
  <si>
    <t>ՀՀ Տավուշի մարզպետարանի աշխատակազմի ֆինանսատնտեսագիտական բաժնի վարիչ</t>
  </si>
  <si>
    <t>Ա. Բաբլումյան</t>
  </si>
  <si>
    <t>ՀԱՇՎԵՏՎՈՒԹՅՈՒՆ</t>
  </si>
  <si>
    <t>ՀՀ   ԿՈՏԱՅՔԻ 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2010թ. տարեկան</t>
  </si>
  <si>
    <t xml:space="preserve">Հ/հ   </t>
  </si>
  <si>
    <t xml:space="preserve">ԸՆԴԱՄԵՆԸ ԲՅՈՒՋԵՏԱՅԻՆ ԾԱԽՍԵՐ        </t>
  </si>
  <si>
    <t xml:space="preserve">                                                                              Վ ա ր չ ա կ ա ն    բ յ ու ջ ե 
     </t>
  </si>
  <si>
    <t xml:space="preserve">                                    Ա.  Ը ն թ ա ց ի կ   ծ ա խ ս ե ր  (բյուջ. տող 4050+տող5000+տող6000)  </t>
  </si>
  <si>
    <t xml:space="preserve">                                                                            այդ թվում`   </t>
  </si>
  <si>
    <t xml:space="preserve">   այդ թվում`      </t>
  </si>
  <si>
    <t xml:space="preserve">1.1 Աշխատանքի վարձատրություն </t>
  </si>
  <si>
    <t>Դրամով վճարվող աշխատավարձեր և հավելավճարներ՚ (4110),
ՙԲնեղեն աշխատավարձեր և հավելավճարներ՚(4120)</t>
  </si>
  <si>
    <t>ք.Հրազդան</t>
  </si>
  <si>
    <t>ք.Ծաղկաձոր</t>
  </si>
  <si>
    <t>Արտավազ</t>
  </si>
  <si>
    <t>Հանքավան</t>
  </si>
  <si>
    <t>Լեռնանիստ</t>
  </si>
  <si>
    <t>Մարմարիկ</t>
  </si>
  <si>
    <t>Մեղրաձոր</t>
  </si>
  <si>
    <t>Քաղսի</t>
  </si>
  <si>
    <t>Սոլակ</t>
  </si>
  <si>
    <t>ք.Չարենցավան</t>
  </si>
  <si>
    <t>Արզական</t>
  </si>
  <si>
    <t>Կարենիս</t>
  </si>
  <si>
    <t>Բջնի</t>
  </si>
  <si>
    <t>Ալափարս</t>
  </si>
  <si>
    <t>Ֆանտան</t>
  </si>
  <si>
    <t>ք.Աբովյան</t>
  </si>
  <si>
    <t>Ակունք</t>
  </si>
  <si>
    <t>Առինջ</t>
  </si>
  <si>
    <t>Արամուս</t>
  </si>
  <si>
    <t>Արզնի</t>
  </si>
  <si>
    <t>Բալահովիտ</t>
  </si>
  <si>
    <t>ք.Բյուրեղավան</t>
  </si>
  <si>
    <t>Գառնի</t>
  </si>
  <si>
    <t>Գեղարդ</t>
  </si>
  <si>
    <t>Գեղաշեն</t>
  </si>
  <si>
    <t>Գեղադիր</t>
  </si>
  <si>
    <t>Գողթ</t>
  </si>
  <si>
    <t>Զառ</t>
  </si>
  <si>
    <t>Զովաշեն</t>
  </si>
  <si>
    <t>Զովք</t>
  </si>
  <si>
    <t>Կամարիս</t>
  </si>
  <si>
    <t>Կապուտան</t>
  </si>
  <si>
    <t>Կաթնաղբյուր</t>
  </si>
  <si>
    <t>Կոտայք</t>
  </si>
  <si>
    <t>Հացավան</t>
  </si>
  <si>
    <t>Հատիս</t>
  </si>
  <si>
    <t>Ձորաղբյուր</t>
  </si>
  <si>
    <t>Մայակովսկի</t>
  </si>
  <si>
    <t>Նոր Գյուղ</t>
  </si>
  <si>
    <t>Նուռնուս</t>
  </si>
  <si>
    <t>Ողջաբերդ</t>
  </si>
  <si>
    <t>Պտղնի</t>
  </si>
  <si>
    <t>Ջրաբեր</t>
  </si>
  <si>
    <t>Ջրվեժ</t>
  </si>
  <si>
    <t>Գետարգել</t>
  </si>
  <si>
    <t>Սևաբերդ</t>
  </si>
  <si>
    <t>Վերին Պտղնի</t>
  </si>
  <si>
    <t>ք.Եղվարդ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</si>
  <si>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</si>
  <si>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</si>
  <si>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</si>
  <si>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</si>
  <si>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</si>
  <si>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</si>
  <si>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</si>
  <si>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</si>
  <si>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</si>
  <si>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</si>
  <si>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Նոր Երզնկա</t>
  </si>
  <si>
    <t>ք.Նոր Հաճըն</t>
  </si>
  <si>
    <t>Պռոշյան</t>
  </si>
  <si>
    <t>Սարալանջ</t>
  </si>
  <si>
    <t>Քանաքեռավան</t>
  </si>
  <si>
    <t>Քասախ</t>
  </si>
  <si>
    <t>Քարաշամբ</t>
  </si>
  <si>
    <t>Ընդամենը</t>
  </si>
  <si>
    <t xml:space="preserve">                   </t>
  </si>
  <si>
    <t xml:space="preserve">  ՀՀ   ՎԱՅՈՑ ՁՈՐԻ    ՄԱՐԶԻ   ՀԱՄԱՅՆՔՆԵՐԻ   ԲՅՈՒՋԵՏԱՅԻՆ   ԾԱԽՍԵՐԻ   ՎԵՐԱԲԵՐՅԱԼ (Բյուջետային  ծախսերը ըստ տնտեսագիտական դասակարգման)
2010թ. տարեկան</t>
  </si>
  <si>
    <r>
      <t xml:space="preserve">1.1 Աշխատանքի վարձատրություն (տող4110+տող4120+տող4130)       </t>
    </r>
    <r>
      <rPr>
        <sz val="9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</si>
  <si>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r>
      <t xml:space="preserve">ՀՀ  ՏԱՎՈՒՇԻ  ՄԱՐԶԻ  ՀԱՄԱՅՆՔՆԵՐԻ  ԲՅՈՒՋԵՏԱՅԻՆ  ԾԱԽՍԵՐԻ  ՎԵՐԱԲԵՐՅԱԼ </t>
    </r>
    <r>
      <rPr>
        <sz val="9"/>
        <rFont val="GHEA Grapalat"/>
        <family val="3"/>
      </rPr>
      <t xml:space="preserve">(Բյուջետային  ծախսերը ըստ տնտեսագիտական դասակարգման)
</t>
    </r>
    <r>
      <rPr>
        <sz val="10"/>
        <rFont val="GHEA Grapalat"/>
        <family val="3"/>
      </rPr>
      <t xml:space="preserve">
2010թ. տարեկան</t>
    </r>
  </si>
  <si>
    <r>
      <t>1.2Ծառայությունների և ապրանքների ձեռք բերում</t>
    </r>
    <r>
      <rPr>
        <sz val="9"/>
        <rFont val="GHEA Grapalat"/>
        <family val="3"/>
      </rPr>
      <t>(տող4210+տող4220+տող4230+տող4240+տող4250+տող 4260)</t>
    </r>
  </si>
  <si>
    <r>
      <t xml:space="preserve">  1.5 Դրամաշնորհներ
</t>
    </r>
    <r>
      <rPr>
        <sz val="9"/>
        <rFont val="GHEA Grapalat"/>
        <family val="3"/>
      </rPr>
      <t>(տող4510+տող4520+տող4530+տող4540)</t>
    </r>
  </si>
  <si>
    <r>
      <t xml:space="preserve">1.6 Սոցիալական      նպաստներ և կենսաթոշակներ 
</t>
    </r>
    <r>
      <rPr>
        <sz val="9"/>
        <rFont val="GHEA Grapalat"/>
        <family val="3"/>
      </rPr>
      <t>(տող 4610+տող 4630+տող4640)</t>
    </r>
  </si>
  <si>
    <t xml:space="preserve">ԸՆԴԱՄԵՆԸ ԲՅՈՒՋԵՏԱՅԻՆ ԾԱԽՍԵՐ                                                                                                                                                                                                      </t>
  </si>
  <si>
    <t xml:space="preserve">               Ա.  Ը ն թ ա ց ի կ   ծ ա խ ս ե ր                </t>
  </si>
  <si>
    <t>Վանաձոր</t>
  </si>
  <si>
    <t>Գուգարք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</si>
  <si>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</si>
  <si>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</si>
  <si>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</si>
  <si>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</si>
  <si>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</si>
  <si>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</si>
  <si>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</si>
  <si>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</si>
  <si>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</si>
  <si>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</si>
  <si>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</si>
  <si>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</si>
  <si>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</si>
  <si>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</si>
  <si>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</si>
  <si>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</si>
  <si>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</si>
  <si>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</si>
  <si>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</si>
  <si>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</si>
  <si>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</si>
  <si>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</si>
  <si>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</si>
  <si>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</si>
  <si>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</si>
  <si>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</si>
  <si>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</si>
  <si>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</si>
  <si>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</si>
  <si>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</si>
  <si>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</si>
  <si>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</si>
  <si>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Գոգարան</t>
  </si>
  <si>
    <t>Լեռնավան</t>
  </si>
  <si>
    <t>Խնկոյան</t>
  </si>
  <si>
    <t>Ղուրսալի</t>
  </si>
  <si>
    <t>Տաշիր</t>
  </si>
  <si>
    <t>Մեծավան</t>
  </si>
  <si>
    <t>Սարչապետ</t>
  </si>
  <si>
    <t>Լեռնահովիտ</t>
  </si>
  <si>
    <t>Կաթնառատ</t>
  </si>
  <si>
    <t>Բլագոդարնոյե</t>
  </si>
  <si>
    <t>Միխայլովկա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</si>
  <si>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</si>
  <si>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</si>
  <si>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</si>
  <si>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</si>
  <si>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</si>
  <si>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</si>
  <si>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</si>
  <si>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</si>
  <si>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</si>
  <si>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</si>
  <si>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</si>
  <si>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</si>
  <si>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</si>
  <si>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</si>
  <si>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</si>
  <si>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</si>
  <si>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</si>
  <si>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</si>
  <si>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</si>
  <si>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</si>
  <si>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</si>
  <si>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</si>
  <si>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</si>
  <si>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</si>
  <si>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</si>
  <si>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</si>
  <si>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</si>
  <si>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</si>
  <si>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</si>
  <si>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</si>
  <si>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</si>
  <si>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</si>
  <si>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</si>
  <si>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</si>
  <si>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</si>
  <si>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</si>
  <si>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</si>
  <si>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</si>
  <si>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</si>
  <si>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</si>
  <si>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</si>
  <si>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</si>
  <si>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Ստեփանավան</t>
  </si>
  <si>
    <t>Կուրթան</t>
  </si>
  <si>
    <t>Վարդաբլուր</t>
  </si>
  <si>
    <t>Հոբարձի</t>
  </si>
  <si>
    <t>Գյուլագարակ</t>
  </si>
  <si>
    <t>Գար-գար</t>
  </si>
  <si>
    <t>Պուշկինո</t>
  </si>
  <si>
    <t>Ամրակից</t>
  </si>
  <si>
    <t>Ուրասար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</si>
  <si>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</si>
  <si>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</si>
  <si>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</si>
  <si>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</si>
  <si>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</si>
  <si>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</si>
  <si>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</si>
  <si>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</si>
  <si>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</si>
  <si>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 xml:space="preserve">  ՀՀ  ԼՈՌՈՒ   ՄԱՐԶԻ   ՀԱՄԱՅՆՔՆԵՐԻ   ԲՅՈՒՋԵՏԱՅԻՆ   ԾԱԽՍԵՐԻ   ՎԵՐԱԲԵՐՅԱԼ                                                                                                         
(Բյուջետային  ծախսերը ըստ տնտեսագիտական դասակարգման)
2010թ. տարեկան</t>
  </si>
  <si>
    <r>
      <t xml:space="preserve">ÀÜ¸²ØºÜÀ ´Úàôæºî²ÚÆÜ Ì²Êêºð                                                                                                                                                                                                      </t>
    </r>
    <r>
      <rPr>
        <sz val="9"/>
        <rFont val="Arial Armenian"/>
        <family val="2"/>
      </rPr>
      <t>( µÛáõç.ïáÕ 4100 +ïáÕ 4200+ïáÕ4300+
ïáÕ 4400+ïáÕ 4500+ïáÕ4600+ïáÕ 4700</t>
    </r>
    <r>
      <rPr>
        <b/>
        <sz val="9"/>
        <rFont val="Arial Armenian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</si>
</sst>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#,##0.000"/>
    <numFmt numFmtId="193" formatCode="#,##0.0000"/>
    <numFmt numFmtId="194" formatCode="#,##0.0000000000000000"/>
  </numFmts>
  <fonts count="70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0"/>
      <color indexed="8"/>
      <name val="Arial Armenian"/>
      <family val="2"/>
    </font>
    <font>
      <sz val="10"/>
      <name val="Times Armenian"/>
      <family val="1"/>
    </font>
    <font>
      <sz val="10"/>
      <name val="Sylfaen"/>
      <family val="1"/>
    </font>
    <font>
      <sz val="9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8"/>
      <color indexed="8"/>
      <name val="GHEA Grapalat"/>
      <family val="3"/>
    </font>
    <font>
      <sz val="10"/>
      <color indexed="10"/>
      <name val="GHEA Grapalat"/>
      <family val="3"/>
    </font>
    <font>
      <sz val="10"/>
      <color indexed="63"/>
      <name val="GHEA Grapalat"/>
      <family val="3"/>
    </font>
    <font>
      <sz val="8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0" fontId="8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8" fillId="34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Border="1" applyAlignment="1">
      <alignment horizontal="right" vertical="center" wrapText="1"/>
    </xf>
    <xf numFmtId="191" fontId="11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180" fontId="8" fillId="0" borderId="0" xfId="0" applyNumberFormat="1" applyFont="1" applyAlignment="1">
      <alignment horizontal="center"/>
    </xf>
    <xf numFmtId="3" fontId="5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3" fontId="2" fillId="0" borderId="10" xfId="35" applyNumberFormat="1" applyFont="1" applyFill="1" applyBorder="1" applyAlignment="1">
      <alignment horizontal="center" vertical="center"/>
      <protection/>
    </xf>
    <xf numFmtId="3" fontId="2" fillId="37" borderId="10" xfId="3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2" fillId="37" borderId="10" xfId="0" applyNumberFormat="1" applyFont="1" applyFill="1" applyBorder="1" applyAlignment="1">
      <alignment horizontal="right" vertical="center" wrapText="1"/>
    </xf>
    <xf numFmtId="3" fontId="2" fillId="36" borderId="10" xfId="35" applyNumberFormat="1" applyFont="1" applyFill="1" applyBorder="1" applyAlignment="1">
      <alignment horizontal="center" vertical="center"/>
      <protection/>
    </xf>
    <xf numFmtId="191" fontId="2" fillId="0" borderId="10" xfId="35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191" fontId="2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191" fontId="2" fillId="37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>
      <alignment vertical="center"/>
    </xf>
    <xf numFmtId="0" fontId="9" fillId="38" borderId="0" xfId="0" applyFont="1" applyFill="1" applyAlignment="1">
      <alignment/>
    </xf>
    <xf numFmtId="0" fontId="9" fillId="38" borderId="0" xfId="0" applyFont="1" applyFill="1" applyAlignment="1">
      <alignment vertical="center" wrapText="1"/>
    </xf>
    <xf numFmtId="0" fontId="8" fillId="38" borderId="0" xfId="0" applyFont="1" applyFill="1" applyBorder="1" applyAlignment="1">
      <alignment vertical="center"/>
    </xf>
    <xf numFmtId="0" fontId="8" fillId="38" borderId="0" xfId="0" applyFont="1" applyFill="1" applyAlignment="1">
      <alignment/>
    </xf>
    <xf numFmtId="3" fontId="2" fillId="7" borderId="10" xfId="35" applyNumberFormat="1" applyFont="1" applyFill="1" applyBorder="1" applyAlignment="1">
      <alignment horizontal="center" vertical="center"/>
      <protection/>
    </xf>
    <xf numFmtId="3" fontId="4" fillId="37" borderId="10" xfId="35" applyNumberFormat="1" applyFont="1" applyFill="1" applyBorder="1" applyAlignment="1">
      <alignment horizontal="center" vertical="center"/>
      <protection/>
    </xf>
    <xf numFmtId="3" fontId="2" fillId="13" borderId="10" xfId="35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Border="1" applyAlignment="1">
      <alignment vertical="center" wrapText="1"/>
    </xf>
    <xf numFmtId="191" fontId="13" fillId="38" borderId="10" xfId="0" applyNumberFormat="1" applyFont="1" applyFill="1" applyBorder="1" applyAlignment="1">
      <alignment horizontal="center" vertical="center" wrapText="1"/>
    </xf>
    <xf numFmtId="3" fontId="2" fillId="38" borderId="10" xfId="35" applyNumberFormat="1" applyFont="1" applyFill="1" applyBorder="1" applyAlignment="1">
      <alignment horizontal="center" vertical="center"/>
      <protection/>
    </xf>
    <xf numFmtId="3" fontId="13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191" fontId="4" fillId="0" borderId="10" xfId="0" applyNumberFormat="1" applyFont="1" applyBorder="1" applyAlignment="1">
      <alignment horizontal="right" vertical="center" wrapText="1"/>
    </xf>
    <xf numFmtId="3" fontId="4" fillId="37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3" fontId="6" fillId="0" borderId="0" xfId="0" applyNumberFormat="1" applyFont="1" applyAlignment="1">
      <alignment wrapText="1"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3" fillId="13" borderId="11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35" applyNumberFormat="1" applyFont="1" applyFill="1" applyBorder="1" applyAlignment="1">
      <alignment horizontal="left" vertical="center"/>
      <protection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37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1" fontId="4" fillId="0" borderId="10" xfId="0" applyNumberFormat="1" applyFont="1" applyBorder="1" applyAlignment="1">
      <alignment/>
    </xf>
    <xf numFmtId="191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1" fontId="2" fillId="0" borderId="10" xfId="0" applyNumberFormat="1" applyFont="1" applyBorder="1" applyAlignment="1">
      <alignment/>
    </xf>
    <xf numFmtId="191" fontId="2" fillId="37" borderId="10" xfId="0" applyNumberFormat="1" applyFont="1" applyFill="1" applyBorder="1" applyAlignment="1">
      <alignment horizontal="center" vertical="center" wrapText="1"/>
    </xf>
    <xf numFmtId="191" fontId="2" fillId="37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4" fontId="14" fillId="34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4" fillId="35" borderId="10" xfId="0" applyFont="1" applyFill="1" applyBorder="1" applyAlignment="1" applyProtection="1">
      <alignment horizontal="center" vertical="center" wrapText="1"/>
      <protection/>
    </xf>
    <xf numFmtId="0" fontId="14" fillId="36" borderId="16" xfId="0" applyFont="1" applyFill="1" applyBorder="1" applyAlignment="1" applyProtection="1">
      <alignment horizontal="center" vertical="center" wrapText="1"/>
      <protection/>
    </xf>
    <xf numFmtId="0" fontId="14" fillId="35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80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left" vertical="center" wrapText="1"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13" fillId="36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35" applyNumberFormat="1" applyFont="1" applyFill="1" applyBorder="1" applyAlignment="1">
      <alignment horizontal="left" vertical="center"/>
      <protection/>
    </xf>
    <xf numFmtId="191" fontId="19" fillId="0" borderId="10" xfId="0" applyNumberFormat="1" applyFont="1" applyBorder="1" applyAlignment="1">
      <alignment horizontal="center" vertical="center" wrapText="1"/>
    </xf>
    <xf numFmtId="191" fontId="19" fillId="0" borderId="10" xfId="0" applyNumberFormat="1" applyFont="1" applyBorder="1" applyAlignment="1">
      <alignment horizontal="center"/>
    </xf>
    <xf numFmtId="191" fontId="15" fillId="0" borderId="0" xfId="0" applyNumberFormat="1" applyFont="1" applyFill="1" applyBorder="1" applyAlignment="1">
      <alignment horizontal="center"/>
    </xf>
    <xf numFmtId="191" fontId="15" fillId="0" borderId="0" xfId="0" applyNumberFormat="1" applyFont="1" applyFill="1" applyBorder="1" applyAlignment="1">
      <alignment horizontal="center" vertical="center" wrapText="1"/>
    </xf>
    <xf numFmtId="19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191" fontId="19" fillId="0" borderId="10" xfId="0" applyNumberFormat="1" applyFont="1" applyBorder="1" applyAlignment="1">
      <alignment horizontal="center" vertical="center"/>
    </xf>
    <xf numFmtId="191" fontId="18" fillId="0" borderId="0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center" vertical="center" wrapText="1"/>
    </xf>
    <xf numFmtId="191" fontId="18" fillId="0" borderId="0" xfId="0" applyNumberFormat="1" applyFont="1" applyFill="1" applyBorder="1" applyAlignment="1">
      <alignment horizontal="center"/>
    </xf>
    <xf numFmtId="191" fontId="13" fillId="0" borderId="0" xfId="0" applyNumberFormat="1" applyFont="1" applyFill="1" applyBorder="1" applyAlignment="1">
      <alignment horizontal="center"/>
    </xf>
    <xf numFmtId="180" fontId="19" fillId="0" borderId="10" xfId="0" applyNumberFormat="1" applyFont="1" applyFill="1" applyBorder="1" applyAlignment="1">
      <alignment horizontal="center"/>
    </xf>
    <xf numFmtId="180" fontId="19" fillId="0" borderId="10" xfId="0" applyNumberFormat="1" applyFont="1" applyBorder="1" applyAlignment="1">
      <alignment horizontal="center"/>
    </xf>
    <xf numFmtId="0" fontId="19" fillId="0" borderId="10" xfId="35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35" applyNumberFormat="1" applyFont="1" applyFill="1" applyBorder="1" applyAlignment="1">
      <alignment horizontal="left" vertical="center"/>
      <protection/>
    </xf>
    <xf numFmtId="191" fontId="19" fillId="36" borderId="10" xfId="0" applyNumberFormat="1" applyFont="1" applyFill="1" applyBorder="1" applyAlignment="1">
      <alignment horizontal="center" vertical="center" wrapText="1"/>
    </xf>
    <xf numFmtId="191" fontId="19" fillId="36" borderId="10" xfId="0" applyNumberFormat="1" applyFont="1" applyFill="1" applyBorder="1" applyAlignment="1">
      <alignment horizontal="center"/>
    </xf>
    <xf numFmtId="0" fontId="18" fillId="36" borderId="0" xfId="0" applyFont="1" applyFill="1" applyAlignment="1">
      <alignment/>
    </xf>
    <xf numFmtId="191" fontId="19" fillId="37" borderId="1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 applyProtection="1">
      <alignment horizontal="center" vertical="center"/>
      <protection locked="0"/>
    </xf>
    <xf numFmtId="191" fontId="67" fillId="0" borderId="10" xfId="0" applyNumberFormat="1" applyFont="1" applyBorder="1" applyAlignment="1" applyProtection="1">
      <alignment horizontal="right" vertical="center"/>
      <protection locked="0"/>
    </xf>
    <xf numFmtId="191" fontId="67" fillId="0" borderId="10" xfId="0" applyNumberFormat="1" applyFont="1" applyBorder="1" applyAlignment="1">
      <alignment horizontal="right" vertical="center" wrapText="1"/>
    </xf>
    <xf numFmtId="191" fontId="67" fillId="0" borderId="10" xfId="0" applyNumberFormat="1" applyFont="1" applyBorder="1" applyAlignment="1">
      <alignment horizontal="right"/>
    </xf>
    <xf numFmtId="194" fontId="2" fillId="0" borderId="0" xfId="0" applyNumberFormat="1" applyFont="1" applyAlignment="1">
      <alignment/>
    </xf>
    <xf numFmtId="191" fontId="67" fillId="0" borderId="10" xfId="0" applyNumberFormat="1" applyFont="1" applyBorder="1" applyAlignment="1">
      <alignment horizontal="right" vertical="center"/>
    </xf>
    <xf numFmtId="0" fontId="2" fillId="3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67" fillId="19" borderId="10" xfId="0" applyNumberFormat="1" applyFont="1" applyFill="1" applyBorder="1" applyAlignment="1">
      <alignment horizontal="center" vertical="center" wrapText="1"/>
    </xf>
    <xf numFmtId="191" fontId="67" fillId="19" borderId="10" xfId="0" applyNumberFormat="1" applyFont="1" applyFill="1" applyBorder="1" applyAlignment="1">
      <alignment horizontal="center" vertical="center" wrapText="1"/>
    </xf>
    <xf numFmtId="191" fontId="67" fillId="19" borderId="10" xfId="0" applyNumberFormat="1" applyFont="1" applyFill="1" applyBorder="1" applyAlignment="1">
      <alignment horizontal="right" vertical="center" wrapText="1"/>
    </xf>
    <xf numFmtId="191" fontId="67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2" fillId="0" borderId="10" xfId="0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9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Alignment="1">
      <alignment horizontal="left" vertical="center"/>
    </xf>
    <xf numFmtId="180" fontId="2" fillId="0" borderId="17" xfId="0" applyNumberFormat="1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left" vertical="center"/>
    </xf>
    <xf numFmtId="191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80" fontId="2" fillId="0" borderId="16" xfId="0" applyNumberFormat="1" applyFont="1" applyFill="1" applyBorder="1" applyAlignment="1">
      <alignment horizontal="left" vertical="center"/>
    </xf>
    <xf numFmtId="191" fontId="2" fillId="37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38" borderId="20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left"/>
    </xf>
    <xf numFmtId="0" fontId="10" fillId="38" borderId="21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2" fillId="38" borderId="10" xfId="0" applyFont="1" applyFill="1" applyBorder="1" applyAlignment="1" applyProtection="1">
      <alignment/>
      <protection locked="0"/>
    </xf>
    <xf numFmtId="191" fontId="12" fillId="36" borderId="10" xfId="0" applyNumberFormat="1" applyFont="1" applyFill="1" applyBorder="1" applyAlignment="1" applyProtection="1">
      <alignment/>
      <protection locked="0"/>
    </xf>
    <xf numFmtId="191" fontId="2" fillId="36" borderId="10" xfId="0" applyNumberFormat="1" applyFont="1" applyFill="1" applyBorder="1" applyAlignment="1">
      <alignment/>
    </xf>
    <xf numFmtId="191" fontId="2" fillId="36" borderId="10" xfId="34" applyNumberFormat="1" applyFont="1" applyFill="1" applyBorder="1">
      <alignment/>
      <protection/>
    </xf>
    <xf numFmtId="191" fontId="2" fillId="36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Border="1" applyAlignment="1">
      <alignment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  <xf numFmtId="191" fontId="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 applyProtection="1" quotePrefix="1">
      <alignment horizontal="left"/>
      <protection locked="0"/>
    </xf>
    <xf numFmtId="191" fontId="2" fillId="0" borderId="10" xfId="34" applyNumberFormat="1" applyFont="1" applyBorder="1">
      <alignment/>
      <protection/>
    </xf>
    <xf numFmtId="191" fontId="2" fillId="0" borderId="10" xfId="34" applyNumberFormat="1" applyFont="1" applyFill="1" applyBorder="1">
      <alignment/>
      <protection/>
    </xf>
    <xf numFmtId="191" fontId="2" fillId="38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8" borderId="10" xfId="0" applyNumberFormat="1" applyFont="1" applyFill="1" applyBorder="1" applyAlignment="1" applyProtection="1">
      <alignment/>
      <protection locked="0"/>
    </xf>
    <xf numFmtId="0" fontId="8" fillId="36" borderId="0" xfId="0" applyFont="1" applyFill="1" applyAlignment="1">
      <alignment/>
    </xf>
    <xf numFmtId="191" fontId="12" fillId="37" borderId="10" xfId="0" applyNumberFormat="1" applyFont="1" applyFill="1" applyBorder="1" applyAlignment="1" applyProtection="1">
      <alignment/>
      <protection locked="0"/>
    </xf>
    <xf numFmtId="191" fontId="2" fillId="37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80" fontId="19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vertical="center" wrapText="1"/>
    </xf>
    <xf numFmtId="4" fontId="19" fillId="34" borderId="22" xfId="0" applyNumberFormat="1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191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180" fontId="13" fillId="0" borderId="10" xfId="0" applyNumberFormat="1" applyFont="1" applyBorder="1" applyAlignment="1">
      <alignment horizontal="right" vertical="center" wrapText="1"/>
    </xf>
    <xf numFmtId="191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191" fontId="13" fillId="0" borderId="10" xfId="0" applyNumberFormat="1" applyFont="1" applyBorder="1" applyAlignment="1">
      <alignment horizontal="right"/>
    </xf>
    <xf numFmtId="180" fontId="13" fillId="0" borderId="10" xfId="0" applyNumberFormat="1" applyFont="1" applyBorder="1" applyAlignment="1">
      <alignment horizontal="right"/>
    </xf>
    <xf numFmtId="0" fontId="13" fillId="36" borderId="10" xfId="0" applyFont="1" applyFill="1" applyBorder="1" applyAlignment="1">
      <alignment horizontal="left" vertical="center"/>
    </xf>
    <xf numFmtId="180" fontId="13" fillId="0" borderId="10" xfId="0" applyNumberFormat="1" applyFont="1" applyBorder="1" applyAlignment="1">
      <alignment horizontal="right" vertical="center"/>
    </xf>
    <xf numFmtId="0" fontId="13" fillId="0" borderId="10" xfId="33" applyFont="1" applyBorder="1" applyAlignment="1">
      <alignment horizontal="left" vertical="center" wrapText="1"/>
      <protection/>
    </xf>
    <xf numFmtId="2" fontId="13" fillId="0" borderId="10" xfId="0" applyNumberFormat="1" applyFont="1" applyBorder="1" applyAlignment="1">
      <alignment horizontal="right"/>
    </xf>
    <xf numFmtId="191" fontId="13" fillId="7" borderId="10" xfId="0" applyNumberFormat="1" applyFont="1" applyFill="1" applyBorder="1" applyAlignment="1">
      <alignment horizontal="right" vertical="center" wrapText="1"/>
    </xf>
    <xf numFmtId="191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80" fontId="22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91" fontId="15" fillId="36" borderId="10" xfId="0" applyNumberFormat="1" applyFont="1" applyFill="1" applyBorder="1" applyAlignment="1">
      <alignment horizontal="right" vertical="center" wrapText="1"/>
    </xf>
    <xf numFmtId="191" fontId="15" fillId="36" borderId="10" xfId="0" applyNumberFormat="1" applyFont="1" applyFill="1" applyBorder="1" applyAlignment="1" applyProtection="1">
      <alignment horizontal="right" vertical="center"/>
      <protection locked="0"/>
    </xf>
    <xf numFmtId="191" fontId="16" fillId="36" borderId="10" xfId="0" applyNumberFormat="1" applyFont="1" applyFill="1" applyBorder="1" applyAlignment="1" applyProtection="1">
      <alignment horizontal="right"/>
      <protection locked="0"/>
    </xf>
    <xf numFmtId="191" fontId="15" fillId="36" borderId="10" xfId="0" applyNumberFormat="1" applyFont="1" applyFill="1" applyBorder="1" applyAlignment="1" applyProtection="1">
      <alignment horizontal="right"/>
      <protection locked="0"/>
    </xf>
    <xf numFmtId="191" fontId="15" fillId="36" borderId="10" xfId="0" applyNumberFormat="1" applyFont="1" applyFill="1" applyBorder="1" applyAlignment="1">
      <alignment horizontal="right"/>
    </xf>
    <xf numFmtId="0" fontId="15" fillId="37" borderId="10" xfId="0" applyFont="1" applyFill="1" applyBorder="1" applyAlignment="1">
      <alignment horizontal="center" vertical="center" wrapText="1"/>
    </xf>
    <xf numFmtId="191" fontId="15" fillId="37" borderId="10" xfId="0" applyNumberFormat="1" applyFont="1" applyFill="1" applyBorder="1" applyAlignment="1">
      <alignment horizontal="right" vertical="center" wrapText="1"/>
    </xf>
    <xf numFmtId="191" fontId="16" fillId="37" borderId="10" xfId="0" applyNumberFormat="1" applyFont="1" applyFill="1" applyBorder="1" applyAlignment="1" applyProtection="1">
      <alignment horizontal="right"/>
      <protection locked="0"/>
    </xf>
    <xf numFmtId="191" fontId="15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180" fontId="15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19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/>
    </xf>
    <xf numFmtId="191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191" fontId="15" fillId="0" borderId="1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191" fontId="15" fillId="0" borderId="0" xfId="0" applyNumberFormat="1" applyFont="1" applyFill="1" applyAlignment="1">
      <alignment/>
    </xf>
    <xf numFmtId="0" fontId="15" fillId="0" borderId="22" xfId="0" applyFont="1" applyFill="1" applyBorder="1" applyAlignment="1">
      <alignment horizontal="left" vertical="center" wrapText="1"/>
    </xf>
    <xf numFmtId="191" fontId="15" fillId="37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6" fillId="0" borderId="0" xfId="0" applyFont="1" applyAlignment="1">
      <alignment/>
    </xf>
    <xf numFmtId="4" fontId="15" fillId="34" borderId="11" xfId="0" applyNumberFormat="1" applyFont="1" applyFill="1" applyBorder="1" applyAlignment="1">
      <alignment horizontal="left" vertical="center" wrapText="1"/>
    </xf>
    <xf numFmtId="0" fontId="26" fillId="35" borderId="10" xfId="0" applyFont="1" applyFill="1" applyBorder="1" applyAlignment="1" applyProtection="1">
      <alignment horizontal="center" vertical="center"/>
      <protection/>
    </xf>
    <xf numFmtId="0" fontId="26" fillId="36" borderId="16" xfId="0" applyFont="1" applyFill="1" applyBorder="1" applyAlignment="1" applyProtection="1">
      <alignment horizontal="center" vertical="center"/>
      <protection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35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191" fontId="26" fillId="0" borderId="10" xfId="0" applyNumberFormat="1" applyFont="1" applyBorder="1" applyAlignment="1">
      <alignment horizontal="center" vertical="center" wrapText="1"/>
    </xf>
    <xf numFmtId="191" fontId="15" fillId="0" borderId="10" xfId="0" applyNumberFormat="1" applyFont="1" applyBorder="1" applyAlignment="1">
      <alignment horizontal="center" vertical="center"/>
    </xf>
    <xf numFmtId="191" fontId="26" fillId="0" borderId="10" xfId="0" applyNumberFormat="1" applyFont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 vertical="center"/>
    </xf>
    <xf numFmtId="191" fontId="2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91" fontId="15" fillId="39" borderId="10" xfId="0" applyNumberFormat="1" applyFont="1" applyFill="1" applyBorder="1" applyAlignment="1">
      <alignment horizontal="center" vertical="center" wrapText="1"/>
    </xf>
    <xf numFmtId="191" fontId="26" fillId="39" borderId="10" xfId="0" applyNumberFormat="1" applyFont="1" applyFill="1" applyBorder="1" applyAlignment="1">
      <alignment horizontal="center" vertical="center" wrapText="1"/>
    </xf>
    <xf numFmtId="191" fontId="29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91" fontId="30" fillId="0" borderId="10" xfId="0" applyNumberFormat="1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 vertical="center" wrapText="1"/>
    </xf>
    <xf numFmtId="191" fontId="31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80" fontId="30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91" fontId="26" fillId="37" borderId="10" xfId="0" applyNumberFormat="1" applyFont="1" applyFill="1" applyBorder="1" applyAlignment="1">
      <alignment horizontal="center" vertical="center" wrapText="1"/>
    </xf>
    <xf numFmtId="191" fontId="15" fillId="0" borderId="0" xfId="0" applyNumberFormat="1" applyFont="1" applyAlignment="1">
      <alignment horizontal="center"/>
    </xf>
    <xf numFmtId="191" fontId="26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left"/>
    </xf>
    <xf numFmtId="191" fontId="15" fillId="0" borderId="0" xfId="0" applyNumberFormat="1" applyFont="1" applyBorder="1" applyAlignment="1">
      <alignment horizontal="left"/>
    </xf>
    <xf numFmtId="191" fontId="15" fillId="0" borderId="0" xfId="0" applyNumberFormat="1" applyFont="1" applyBorder="1" applyAlignment="1">
      <alignment/>
    </xf>
    <xf numFmtId="0" fontId="15" fillId="0" borderId="15" xfId="0" applyFont="1" applyBorder="1" applyAlignment="1">
      <alignment horizontal="left" vertical="center"/>
    </xf>
    <xf numFmtId="191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4" fontId="5" fillId="40" borderId="10" xfId="0" applyNumberFormat="1" applyFont="1" applyFill="1" applyBorder="1" applyAlignment="1">
      <alignment horizontal="center" vertical="center" wrapText="1"/>
    </xf>
    <xf numFmtId="4" fontId="5" fillId="41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7" borderId="14" xfId="0" applyFont="1" applyFill="1" applyBorder="1" applyAlignment="1" applyProtection="1">
      <alignment horizontal="center" vertical="center" wrapText="1"/>
      <protection/>
    </xf>
    <xf numFmtId="0" fontId="5" fillId="7" borderId="15" xfId="0" applyFont="1" applyFill="1" applyBorder="1" applyAlignment="1" applyProtection="1">
      <alignment horizontal="center" vertical="center" wrapText="1"/>
      <protection/>
    </xf>
    <xf numFmtId="4" fontId="4" fillId="40" borderId="14" xfId="0" applyNumberFormat="1" applyFont="1" applyFill="1" applyBorder="1" applyAlignment="1">
      <alignment horizontal="center" vertical="center" wrapText="1"/>
    </xf>
    <xf numFmtId="4" fontId="4" fillId="40" borderId="15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4" fontId="4" fillId="4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10" fillId="37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NumberFormat="1" applyFont="1" applyFill="1" applyBorder="1" applyAlignment="1" applyProtection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3" borderId="16" xfId="0" applyNumberFormat="1" applyFont="1" applyFill="1" applyBorder="1" applyAlignment="1" applyProtection="1">
      <alignment horizontal="center" vertical="center" wrapText="1"/>
      <protection/>
    </xf>
    <xf numFmtId="0" fontId="7" fillId="3" borderId="12" xfId="0" applyNumberFormat="1" applyFont="1" applyFill="1" applyBorder="1" applyAlignment="1" applyProtection="1">
      <alignment horizontal="center" vertical="center" wrapText="1"/>
      <protection/>
    </xf>
    <xf numFmtId="0" fontId="7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13" borderId="19" xfId="0" applyFont="1" applyFill="1" applyBorder="1" applyAlignment="1" applyProtection="1">
      <alignment horizontal="center" vertical="center" wrapText="1"/>
      <protection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1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7" fillId="4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textRotation="90" wrapText="1"/>
    </xf>
    <xf numFmtId="4" fontId="2" fillId="0" borderId="15" xfId="0" applyNumberFormat="1" applyFont="1" applyBorder="1" applyAlignment="1">
      <alignment horizontal="center" vertical="center" textRotation="90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 wrapText="1"/>
    </xf>
    <xf numFmtId="191" fontId="2" fillId="0" borderId="13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35" borderId="19" xfId="0" applyNumberFormat="1" applyFont="1" applyFill="1" applyBorder="1" applyAlignment="1">
      <alignment horizontal="left" vertical="center" wrapText="1"/>
    </xf>
    <xf numFmtId="4" fontId="2" fillId="35" borderId="11" xfId="0" applyNumberFormat="1" applyFont="1" applyFill="1" applyBorder="1" applyAlignment="1">
      <alignment horizontal="left" vertical="center" wrapText="1"/>
    </xf>
    <xf numFmtId="4" fontId="2" fillId="35" borderId="22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7" fillId="40" borderId="17" xfId="0" applyNumberFormat="1" applyFont="1" applyFill="1" applyBorder="1" applyAlignment="1" applyProtection="1">
      <alignment horizontal="center" vertical="center" wrapText="1"/>
      <protection/>
    </xf>
    <xf numFmtId="0" fontId="7" fillId="40" borderId="21" xfId="0" applyNumberFormat="1" applyFont="1" applyFill="1" applyBorder="1" applyAlignment="1" applyProtection="1">
      <alignment horizontal="center" vertical="center" wrapText="1"/>
      <protection/>
    </xf>
    <xf numFmtId="0" fontId="7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NumberFormat="1" applyFont="1" applyFill="1" applyBorder="1" applyAlignment="1" applyProtection="1">
      <alignment horizontal="center" vertical="center" wrapText="1"/>
      <protection/>
    </xf>
    <xf numFmtId="0" fontId="7" fillId="40" borderId="16" xfId="0" applyNumberFormat="1" applyFont="1" applyFill="1" applyBorder="1" applyAlignment="1" applyProtection="1">
      <alignment horizontal="center" vertical="center" wrapText="1"/>
      <protection/>
    </xf>
    <xf numFmtId="0" fontId="7" fillId="40" borderId="12" xfId="0" applyNumberFormat="1" applyFont="1" applyFill="1" applyBorder="1" applyAlignment="1" applyProtection="1">
      <alignment horizontal="center" vertical="center" wrapText="1"/>
      <protection/>
    </xf>
    <xf numFmtId="4" fontId="8" fillId="34" borderId="19" xfId="0" applyNumberFormat="1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left" vertical="center" wrapText="1"/>
    </xf>
    <xf numFmtId="4" fontId="14" fillId="0" borderId="22" xfId="0" applyNumberFormat="1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40" borderId="17" xfId="0" applyNumberFormat="1" applyFont="1" applyFill="1" applyBorder="1" applyAlignment="1" applyProtection="1">
      <alignment horizontal="center" vertical="center" wrapText="1"/>
      <protection/>
    </xf>
    <xf numFmtId="0" fontId="15" fillId="40" borderId="21" xfId="0" applyNumberFormat="1" applyFont="1" applyFill="1" applyBorder="1" applyAlignment="1" applyProtection="1">
      <alignment horizontal="center" vertical="center" wrapText="1"/>
      <protection/>
    </xf>
    <xf numFmtId="0" fontId="15" fillId="40" borderId="18" xfId="0" applyNumberFormat="1" applyFont="1" applyFill="1" applyBorder="1" applyAlignment="1" applyProtection="1">
      <alignment horizontal="center" vertical="center" wrapText="1"/>
      <protection/>
    </xf>
    <xf numFmtId="0" fontId="15" fillId="40" borderId="0" xfId="0" applyNumberFormat="1" applyFont="1" applyFill="1" applyBorder="1" applyAlignment="1" applyProtection="1">
      <alignment horizontal="center" vertical="center" wrapText="1"/>
      <protection/>
    </xf>
    <xf numFmtId="0" fontId="15" fillId="40" borderId="16" xfId="0" applyNumberFormat="1" applyFont="1" applyFill="1" applyBorder="1" applyAlignment="1" applyProtection="1">
      <alignment horizontal="center" vertical="center" wrapText="1"/>
      <protection/>
    </xf>
    <xf numFmtId="0" fontId="15" fillId="40" borderId="12" xfId="0" applyNumberFormat="1" applyFont="1" applyFill="1" applyBorder="1" applyAlignment="1" applyProtection="1">
      <alignment horizontal="center" vertical="center" wrapText="1"/>
      <protection/>
    </xf>
    <xf numFmtId="4" fontId="14" fillId="34" borderId="19" xfId="0" applyNumberFormat="1" applyFont="1" applyFill="1" applyBorder="1" applyAlignment="1">
      <alignment horizontal="left" vertical="center" wrapText="1"/>
    </xf>
    <xf numFmtId="4" fontId="14" fillId="34" borderId="11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4" fontId="14" fillId="34" borderId="10" xfId="0" applyNumberFormat="1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191" fontId="15" fillId="0" borderId="17" xfId="0" applyNumberFormat="1" applyFont="1" applyBorder="1" applyAlignment="1">
      <alignment horizontal="center" vertical="center" wrapText="1"/>
    </xf>
    <xf numFmtId="191" fontId="15" fillId="0" borderId="13" xfId="0" applyNumberFormat="1" applyFont="1" applyBorder="1" applyAlignment="1">
      <alignment horizontal="center" vertical="center" wrapText="1"/>
    </xf>
    <xf numFmtId="191" fontId="15" fillId="0" borderId="16" xfId="0" applyNumberFormat="1" applyFont="1" applyBorder="1" applyAlignment="1">
      <alignment horizontal="center" vertical="center" wrapText="1"/>
    </xf>
    <xf numFmtId="191" fontId="15" fillId="0" borderId="20" xfId="0" applyNumberFormat="1" applyFont="1" applyBorder="1" applyAlignment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40" borderId="17" xfId="0" applyFont="1" applyFill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left" vertical="center" wrapText="1"/>
    </xf>
    <xf numFmtId="4" fontId="13" fillId="0" borderId="22" xfId="0" applyNumberFormat="1" applyFont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191" fontId="13" fillId="0" borderId="17" xfId="0" applyNumberFormat="1" applyFont="1" applyBorder="1" applyAlignment="1">
      <alignment horizontal="center" vertical="center" wrapText="1"/>
    </xf>
    <xf numFmtId="191" fontId="13" fillId="0" borderId="13" xfId="0" applyNumberFormat="1" applyFont="1" applyBorder="1" applyAlignment="1">
      <alignment horizontal="center" vertical="center" wrapText="1"/>
    </xf>
    <xf numFmtId="191" fontId="13" fillId="0" borderId="16" xfId="0" applyNumberFormat="1" applyFont="1" applyBorder="1" applyAlignment="1">
      <alignment horizontal="center" vertical="center" wrapText="1"/>
    </xf>
    <xf numFmtId="191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12" xfId="0" applyFont="1" applyBorder="1" applyAlignment="1">
      <alignment horizontal="right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40" borderId="17" xfId="0" applyNumberFormat="1" applyFont="1" applyFill="1" applyBorder="1" applyAlignment="1" applyProtection="1">
      <alignment horizontal="center" vertical="center" wrapText="1"/>
      <protection/>
    </xf>
    <xf numFmtId="0" fontId="13" fillId="40" borderId="13" xfId="0" applyNumberFormat="1" applyFont="1" applyFill="1" applyBorder="1" applyAlignment="1" applyProtection="1">
      <alignment horizontal="center" vertical="center" wrapText="1"/>
      <protection/>
    </xf>
    <xf numFmtId="0" fontId="13" fillId="40" borderId="18" xfId="0" applyNumberFormat="1" applyFont="1" applyFill="1" applyBorder="1" applyAlignment="1" applyProtection="1">
      <alignment horizontal="center" vertical="center" wrapText="1"/>
      <protection/>
    </xf>
    <xf numFmtId="0" fontId="13" fillId="40" borderId="25" xfId="0" applyNumberFormat="1" applyFont="1" applyFill="1" applyBorder="1" applyAlignment="1" applyProtection="1">
      <alignment horizontal="center" vertical="center" wrapText="1"/>
      <protection/>
    </xf>
    <xf numFmtId="0" fontId="13" fillId="40" borderId="16" xfId="0" applyNumberFormat="1" applyFont="1" applyFill="1" applyBorder="1" applyAlignment="1" applyProtection="1">
      <alignment horizontal="center" vertical="center" wrapText="1"/>
      <protection/>
    </xf>
    <xf numFmtId="0" fontId="13" fillId="4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4" fontId="13" fillId="34" borderId="19" xfId="0" applyNumberFormat="1" applyFont="1" applyFill="1" applyBorder="1" applyAlignment="1">
      <alignment horizontal="left" vertical="center" wrapText="1"/>
    </xf>
    <xf numFmtId="4" fontId="13" fillId="34" borderId="11" xfId="0" applyNumberFormat="1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left" vertical="center" wrapText="1"/>
    </xf>
    <xf numFmtId="4" fontId="17" fillId="0" borderId="22" xfId="0" applyNumberFormat="1" applyFont="1" applyBorder="1" applyAlignment="1">
      <alignment horizontal="left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67" fillId="19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191" fontId="14" fillId="0" borderId="17" xfId="0" applyNumberFormat="1" applyFont="1" applyBorder="1" applyAlignment="1">
      <alignment horizontal="center" vertical="center" wrapText="1"/>
    </xf>
    <xf numFmtId="191" fontId="14" fillId="0" borderId="13" xfId="0" applyNumberFormat="1" applyFont="1" applyBorder="1" applyAlignment="1">
      <alignment horizontal="center" vertical="center" wrapText="1"/>
    </xf>
    <xf numFmtId="191" fontId="14" fillId="0" borderId="16" xfId="0" applyNumberFormat="1" applyFont="1" applyBorder="1" applyAlignment="1">
      <alignment horizontal="center" vertical="center" wrapText="1"/>
    </xf>
    <xf numFmtId="191" fontId="14" fillId="0" borderId="20" xfId="0" applyNumberFormat="1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4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40" borderId="17" xfId="0" applyNumberFormat="1" applyFont="1" applyFill="1" applyBorder="1" applyAlignment="1" applyProtection="1">
      <alignment horizontal="center" vertical="center" wrapText="1"/>
      <protection/>
    </xf>
    <xf numFmtId="0" fontId="14" fillId="40" borderId="21" xfId="0" applyNumberFormat="1" applyFont="1" applyFill="1" applyBorder="1" applyAlignment="1" applyProtection="1">
      <alignment horizontal="center" vertical="center" wrapText="1"/>
      <protection/>
    </xf>
    <xf numFmtId="0" fontId="14" fillId="40" borderId="18" xfId="0" applyNumberFormat="1" applyFont="1" applyFill="1" applyBorder="1" applyAlignment="1" applyProtection="1">
      <alignment horizontal="center" vertical="center" wrapText="1"/>
      <protection/>
    </xf>
    <xf numFmtId="0" fontId="14" fillId="40" borderId="0" xfId="0" applyNumberFormat="1" applyFont="1" applyFill="1" applyBorder="1" applyAlignment="1" applyProtection="1">
      <alignment horizontal="center" vertical="center" wrapText="1"/>
      <protection/>
    </xf>
    <xf numFmtId="0" fontId="14" fillId="40" borderId="16" xfId="0" applyNumberFormat="1" applyFont="1" applyFill="1" applyBorder="1" applyAlignment="1" applyProtection="1">
      <alignment horizontal="center" vertical="center" wrapText="1"/>
      <protection/>
    </xf>
    <xf numFmtId="0" fontId="14" fillId="40" borderId="12" xfId="0" applyNumberFormat="1" applyFont="1" applyFill="1" applyBorder="1" applyAlignment="1" applyProtection="1">
      <alignment horizontal="center" vertical="center" wrapText="1"/>
      <protection/>
    </xf>
    <xf numFmtId="0" fontId="19" fillId="40" borderId="10" xfId="0" applyNumberFormat="1" applyFont="1" applyFill="1" applyBorder="1" applyAlignment="1" applyProtection="1">
      <alignment horizontal="center" vertical="center" wrapText="1"/>
      <protection/>
    </xf>
    <xf numFmtId="4" fontId="19" fillId="34" borderId="19" xfId="0" applyNumberFormat="1" applyFont="1" applyFill="1" applyBorder="1" applyAlignment="1">
      <alignment horizontal="left" vertical="center" wrapText="1"/>
    </xf>
    <xf numFmtId="4" fontId="19" fillId="34" borderId="11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4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3" fillId="13" borderId="19" xfId="55" applyFont="1" applyFill="1" applyBorder="1" applyAlignment="1">
      <alignment horizontal="center" vertical="center"/>
      <protection/>
    </xf>
    <xf numFmtId="0" fontId="13" fillId="13" borderId="22" xfId="55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2" fillId="40" borderId="17" xfId="0" applyNumberFormat="1" applyFont="1" applyFill="1" applyBorder="1" applyAlignment="1" applyProtection="1">
      <alignment horizontal="center" vertical="center" wrapText="1"/>
      <protection/>
    </xf>
    <xf numFmtId="0" fontId="2" fillId="40" borderId="21" xfId="0" applyNumberFormat="1" applyFont="1" applyFill="1" applyBorder="1" applyAlignment="1" applyProtection="1">
      <alignment horizontal="center" vertical="center" wrapText="1"/>
      <protection/>
    </xf>
    <xf numFmtId="0" fontId="2" fillId="40" borderId="18" xfId="0" applyNumberFormat="1" applyFont="1" applyFill="1" applyBorder="1" applyAlignment="1" applyProtection="1">
      <alignment horizontal="center" vertical="center" wrapText="1"/>
      <protection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2" fillId="40" borderId="16" xfId="0" applyNumberFormat="1" applyFont="1" applyFill="1" applyBorder="1" applyAlignment="1" applyProtection="1">
      <alignment horizontal="center" vertical="center" wrapText="1"/>
      <protection/>
    </xf>
    <xf numFmtId="0" fontId="2" fillId="4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20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left"/>
    </xf>
    <xf numFmtId="0" fontId="4" fillId="38" borderId="17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right"/>
    </xf>
    <xf numFmtId="0" fontId="25" fillId="40" borderId="17" xfId="0" applyNumberFormat="1" applyFont="1" applyFill="1" applyBorder="1" applyAlignment="1" applyProtection="1">
      <alignment horizontal="center" vertical="center" wrapText="1"/>
      <protection/>
    </xf>
    <xf numFmtId="0" fontId="25" fillId="40" borderId="21" xfId="0" applyNumberFormat="1" applyFont="1" applyFill="1" applyBorder="1" applyAlignment="1" applyProtection="1">
      <alignment horizontal="center" vertical="center" wrapText="1"/>
      <protection/>
    </xf>
    <xf numFmtId="0" fontId="25" fillId="40" borderId="18" xfId="0" applyNumberFormat="1" applyFont="1" applyFill="1" applyBorder="1" applyAlignment="1" applyProtection="1">
      <alignment horizontal="center" vertical="center" wrapText="1"/>
      <protection/>
    </xf>
    <xf numFmtId="0" fontId="25" fillId="40" borderId="0" xfId="0" applyNumberFormat="1" applyFont="1" applyFill="1" applyBorder="1" applyAlignment="1" applyProtection="1">
      <alignment horizontal="center" vertical="center" wrapText="1"/>
      <protection/>
    </xf>
    <xf numFmtId="0" fontId="25" fillId="40" borderId="16" xfId="0" applyNumberFormat="1" applyFont="1" applyFill="1" applyBorder="1" applyAlignment="1" applyProtection="1">
      <alignment horizontal="center" vertical="center" wrapText="1"/>
      <protection/>
    </xf>
    <xf numFmtId="0" fontId="25" fillId="4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left" vertical="center" wrapText="1"/>
    </xf>
    <xf numFmtId="4" fontId="25" fillId="0" borderId="22" xfId="0" applyNumberFormat="1" applyFont="1" applyBorder="1" applyAlignment="1">
      <alignment horizontal="left" vertical="center" wrapText="1"/>
    </xf>
    <xf numFmtId="0" fontId="25" fillId="40" borderId="10" xfId="0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4" fillId="37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6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24" fillId="40" borderId="17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4" fontId="15" fillId="34" borderId="19" xfId="0" applyNumberFormat="1" applyFont="1" applyFill="1" applyBorder="1" applyAlignment="1">
      <alignment horizontal="center" vertical="center" wrapText="1"/>
    </xf>
    <xf numFmtId="4" fontId="15" fillId="34" borderId="11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0" fontId="25" fillId="40" borderId="18" xfId="0" applyFont="1" applyFill="1" applyBorder="1" applyAlignment="1">
      <alignment horizontal="center" vertical="center" wrapText="1"/>
    </xf>
    <xf numFmtId="0" fontId="25" fillId="40" borderId="25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2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69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ook1" xfId="33"/>
    <cellStyle name="Normal_Sheet1_1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23</xdr:row>
      <xdr:rowOff>0</xdr:rowOff>
    </xdr:from>
    <xdr:ext cx="95250" cy="238125"/>
    <xdr:sp>
      <xdr:nvSpPr>
        <xdr:cNvPr id="1" name="Text Box 1"/>
        <xdr:cNvSpPr txBox="1">
          <a:spLocks noChangeArrowheads="1"/>
        </xdr:cNvSpPr>
      </xdr:nvSpPr>
      <xdr:spPr>
        <a:xfrm>
          <a:off x="14468475" y="7534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190500</xdr:rowOff>
    </xdr:from>
    <xdr:ext cx="95250" cy="238125"/>
    <xdr:sp>
      <xdr:nvSpPr>
        <xdr:cNvPr id="2" name="Text Box 2"/>
        <xdr:cNvSpPr txBox="1">
          <a:spLocks noChangeArrowheads="1"/>
        </xdr:cNvSpPr>
      </xdr:nvSpPr>
      <xdr:spPr>
        <a:xfrm>
          <a:off x="14468475" y="48101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190500</xdr:rowOff>
    </xdr:from>
    <xdr:ext cx="95250" cy="238125"/>
    <xdr:sp>
      <xdr:nvSpPr>
        <xdr:cNvPr id="3" name="Text Box 5"/>
        <xdr:cNvSpPr txBox="1">
          <a:spLocks noChangeArrowheads="1"/>
        </xdr:cNvSpPr>
      </xdr:nvSpPr>
      <xdr:spPr>
        <a:xfrm>
          <a:off x="14468475" y="4495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190500</xdr:rowOff>
    </xdr:from>
    <xdr:ext cx="95250" cy="238125"/>
    <xdr:sp>
      <xdr:nvSpPr>
        <xdr:cNvPr id="4" name="Text Box 6"/>
        <xdr:cNvSpPr txBox="1">
          <a:spLocks noChangeArrowheads="1"/>
        </xdr:cNvSpPr>
      </xdr:nvSpPr>
      <xdr:spPr>
        <a:xfrm>
          <a:off x="14468475" y="41814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95250" cy="238125"/>
    <xdr:sp>
      <xdr:nvSpPr>
        <xdr:cNvPr id="5" name="Text Box 7"/>
        <xdr:cNvSpPr txBox="1">
          <a:spLocks noChangeArrowheads="1"/>
        </xdr:cNvSpPr>
      </xdr:nvSpPr>
      <xdr:spPr>
        <a:xfrm>
          <a:off x="14468475" y="46196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95250" cy="238125"/>
    <xdr:sp>
      <xdr:nvSpPr>
        <xdr:cNvPr id="6" name="Text Box 6"/>
        <xdr:cNvSpPr txBox="1">
          <a:spLocks noChangeArrowheads="1"/>
        </xdr:cNvSpPr>
      </xdr:nvSpPr>
      <xdr:spPr>
        <a:xfrm>
          <a:off x="14468475" y="3990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190500</xdr:rowOff>
    </xdr:from>
    <xdr:ext cx="95250" cy="238125"/>
    <xdr:sp>
      <xdr:nvSpPr>
        <xdr:cNvPr id="7" name="Text Box 6"/>
        <xdr:cNvSpPr txBox="1">
          <a:spLocks noChangeArrowheads="1"/>
        </xdr:cNvSpPr>
      </xdr:nvSpPr>
      <xdr:spPr>
        <a:xfrm>
          <a:off x="14468475" y="3867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190500</xdr:rowOff>
    </xdr:from>
    <xdr:ext cx="95250" cy="238125"/>
    <xdr:sp>
      <xdr:nvSpPr>
        <xdr:cNvPr id="8" name="Text Box 5"/>
        <xdr:cNvSpPr txBox="1">
          <a:spLocks noChangeArrowheads="1"/>
        </xdr:cNvSpPr>
      </xdr:nvSpPr>
      <xdr:spPr>
        <a:xfrm>
          <a:off x="14468475" y="41814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190500</xdr:rowOff>
    </xdr:from>
    <xdr:ext cx="95250" cy="238125"/>
    <xdr:sp>
      <xdr:nvSpPr>
        <xdr:cNvPr id="9" name="Text Box 2"/>
        <xdr:cNvSpPr txBox="1">
          <a:spLocks noChangeArrowheads="1"/>
        </xdr:cNvSpPr>
      </xdr:nvSpPr>
      <xdr:spPr>
        <a:xfrm>
          <a:off x="14468475" y="4495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Armenian"/>
              <a:ea typeface="Times Armenian"/>
              <a:cs typeface="Times Armeni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agacotn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xarquniq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nt das,"/>
      <sheetName val="Sheet5"/>
      <sheetName val="gorc."/>
      <sheetName val="Sheet4"/>
      <sheetName val="Sheet6"/>
    </sheetNames>
    <sheetDataSet>
      <sheetData sheetId="0">
        <row r="5">
          <cell r="F5">
            <v>89467.677</v>
          </cell>
          <cell r="G5">
            <v>78165.472</v>
          </cell>
          <cell r="H5">
            <v>27993.827</v>
          </cell>
          <cell r="I5">
            <v>19640.383</v>
          </cell>
          <cell r="J5">
            <v>189827.441</v>
          </cell>
          <cell r="K5">
            <v>156178.2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2485.03</v>
          </cell>
          <cell r="Q5">
            <v>1195</v>
          </cell>
          <cell r="R5">
            <v>11015.02</v>
          </cell>
          <cell r="S5">
            <v>9415</v>
          </cell>
          <cell r="T5">
            <v>400.0001</v>
          </cell>
          <cell r="U5">
            <v>120</v>
          </cell>
          <cell r="X5">
            <v>117600.02</v>
          </cell>
          <cell r="Y5">
            <v>58808.709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-108913.7</v>
          </cell>
          <cell r="AG5">
            <v>-37655.926</v>
          </cell>
          <cell r="AH5">
            <v>0</v>
          </cell>
          <cell r="AI5">
            <v>0</v>
          </cell>
          <cell r="AK5">
            <v>0.0001</v>
          </cell>
        </row>
        <row r="6">
          <cell r="F6">
            <v>63729.8</v>
          </cell>
          <cell r="G6">
            <v>62716.986</v>
          </cell>
          <cell r="H6">
            <v>16578.9</v>
          </cell>
          <cell r="I6">
            <v>16451.281</v>
          </cell>
          <cell r="J6">
            <v>36938.4</v>
          </cell>
          <cell r="K6">
            <v>34487.116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3300</v>
          </cell>
          <cell r="S6">
            <v>3284.7</v>
          </cell>
          <cell r="T6">
            <v>1211</v>
          </cell>
          <cell r="U6">
            <v>1193.586</v>
          </cell>
          <cell r="X6">
            <v>18160.2</v>
          </cell>
          <cell r="Y6">
            <v>13962.791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-12000</v>
          </cell>
          <cell r="AG6">
            <v>-10764.816</v>
          </cell>
          <cell r="AH6">
            <v>0</v>
          </cell>
          <cell r="AI6">
            <v>0</v>
          </cell>
          <cell r="AK6">
            <v>1165.7</v>
          </cell>
        </row>
        <row r="7">
          <cell r="F7">
            <v>60460</v>
          </cell>
          <cell r="G7">
            <v>57587.868</v>
          </cell>
          <cell r="H7">
            <v>14952</v>
          </cell>
          <cell r="I7">
            <v>13822.095</v>
          </cell>
          <cell r="J7">
            <v>29199</v>
          </cell>
          <cell r="K7">
            <v>22188.344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2000</v>
          </cell>
          <cell r="Q7">
            <v>2000</v>
          </cell>
          <cell r="R7">
            <v>1100</v>
          </cell>
          <cell r="S7">
            <v>1100</v>
          </cell>
          <cell r="T7">
            <v>700</v>
          </cell>
          <cell r="U7">
            <v>557.21</v>
          </cell>
          <cell r="X7">
            <v>13647.9</v>
          </cell>
          <cell r="Y7">
            <v>10695.271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-6000</v>
          </cell>
          <cell r="AE7">
            <v>-298</v>
          </cell>
          <cell r="AF7">
            <v>0</v>
          </cell>
          <cell r="AG7">
            <v>-4496.108</v>
          </cell>
          <cell r="AH7">
            <v>0</v>
          </cell>
          <cell r="AI7">
            <v>0</v>
          </cell>
          <cell r="AK7">
            <v>5400</v>
          </cell>
        </row>
        <row r="8">
          <cell r="F8">
            <v>14468.91</v>
          </cell>
          <cell r="G8">
            <v>14442.956</v>
          </cell>
          <cell r="H8">
            <v>3450.01</v>
          </cell>
          <cell r="I8">
            <v>3445.503</v>
          </cell>
          <cell r="J8">
            <v>2686.02</v>
          </cell>
          <cell r="K8">
            <v>1910.71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4403.22</v>
          </cell>
          <cell r="Q8">
            <v>2344</v>
          </cell>
          <cell r="R8">
            <v>2060</v>
          </cell>
          <cell r="S8">
            <v>2060</v>
          </cell>
          <cell r="T8">
            <v>17.01</v>
          </cell>
          <cell r="U8">
            <v>2</v>
          </cell>
          <cell r="X8">
            <v>27126.72</v>
          </cell>
          <cell r="Y8">
            <v>4941.406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-21900</v>
          </cell>
          <cell r="AG8">
            <v>-10346.46</v>
          </cell>
          <cell r="AH8">
            <v>0</v>
          </cell>
          <cell r="AI8">
            <v>0</v>
          </cell>
          <cell r="AK8">
            <v>1433.9</v>
          </cell>
        </row>
        <row r="9">
          <cell r="F9">
            <v>8540</v>
          </cell>
          <cell r="G9">
            <v>8539.64</v>
          </cell>
          <cell r="H9">
            <v>1959.8</v>
          </cell>
          <cell r="I9">
            <v>1952.35</v>
          </cell>
          <cell r="J9">
            <v>955.5</v>
          </cell>
          <cell r="K9">
            <v>604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2655.6</v>
          </cell>
          <cell r="Q9">
            <v>1955.6</v>
          </cell>
          <cell r="R9">
            <v>0</v>
          </cell>
          <cell r="S9">
            <v>0</v>
          </cell>
          <cell r="T9">
            <v>120</v>
          </cell>
          <cell r="U9">
            <v>113.2</v>
          </cell>
          <cell r="X9">
            <v>3031.9</v>
          </cell>
          <cell r="Y9">
            <v>1583.2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-1.831</v>
          </cell>
          <cell r="AF9">
            <v>0</v>
          </cell>
          <cell r="AG9">
            <v>-311.756</v>
          </cell>
          <cell r="AH9">
            <v>0</v>
          </cell>
          <cell r="AI9">
            <v>0</v>
          </cell>
          <cell r="AK9">
            <v>1100</v>
          </cell>
        </row>
        <row r="10">
          <cell r="F10">
            <v>6743</v>
          </cell>
          <cell r="G10">
            <v>6621.539</v>
          </cell>
          <cell r="H10">
            <v>1385</v>
          </cell>
          <cell r="I10">
            <v>1368.2</v>
          </cell>
          <cell r="J10">
            <v>808.9</v>
          </cell>
          <cell r="K10">
            <v>807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25</v>
          </cell>
          <cell r="U10">
            <v>25</v>
          </cell>
          <cell r="X10">
            <v>500</v>
          </cell>
          <cell r="Y10">
            <v>472.48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-370.48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K10">
            <v>500</v>
          </cell>
        </row>
        <row r="11">
          <cell r="F11">
            <v>5345</v>
          </cell>
          <cell r="G11">
            <v>5345</v>
          </cell>
          <cell r="H11">
            <v>1141.4</v>
          </cell>
          <cell r="I11">
            <v>1141.3</v>
          </cell>
          <cell r="J11">
            <v>1668.1</v>
          </cell>
          <cell r="K11">
            <v>1618.1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700</v>
          </cell>
          <cell r="S11">
            <v>700</v>
          </cell>
          <cell r="T11">
            <v>144</v>
          </cell>
          <cell r="U11">
            <v>144</v>
          </cell>
          <cell r="X11">
            <v>3620.376</v>
          </cell>
          <cell r="Y11">
            <v>2620.2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K11">
            <v>1700</v>
          </cell>
        </row>
        <row r="12">
          <cell r="F12">
            <v>12542.6</v>
          </cell>
          <cell r="G12">
            <v>12542.598</v>
          </cell>
          <cell r="H12">
            <v>2498.3</v>
          </cell>
          <cell r="I12">
            <v>2285.411</v>
          </cell>
          <cell r="J12">
            <v>7503.33</v>
          </cell>
          <cell r="K12">
            <v>6890.28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1400</v>
          </cell>
          <cell r="S12">
            <v>1350</v>
          </cell>
          <cell r="T12">
            <v>125</v>
          </cell>
          <cell r="U12">
            <v>4.5</v>
          </cell>
          <cell r="X12">
            <v>12577.02</v>
          </cell>
          <cell r="Y12">
            <v>12160.957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-3302.6</v>
          </cell>
          <cell r="AG12">
            <v>-2887.568</v>
          </cell>
          <cell r="AH12">
            <v>0</v>
          </cell>
          <cell r="AI12">
            <v>0</v>
          </cell>
          <cell r="AJ12">
            <v>6014.957</v>
          </cell>
          <cell r="AK12">
            <v>6015</v>
          </cell>
        </row>
        <row r="13">
          <cell r="F13">
            <v>3564</v>
          </cell>
          <cell r="G13">
            <v>3516.697</v>
          </cell>
          <cell r="H13">
            <v>874.8</v>
          </cell>
          <cell r="I13">
            <v>874.8</v>
          </cell>
          <cell r="J13">
            <v>952</v>
          </cell>
          <cell r="K13">
            <v>80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150</v>
          </cell>
          <cell r="S13">
            <v>20</v>
          </cell>
          <cell r="T13">
            <v>0</v>
          </cell>
          <cell r="U13">
            <v>0</v>
          </cell>
          <cell r="X13">
            <v>1827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>
            <v>1385</v>
          </cell>
        </row>
        <row r="14">
          <cell r="F14">
            <v>3095</v>
          </cell>
          <cell r="G14">
            <v>3029.679</v>
          </cell>
          <cell r="H14">
            <v>690</v>
          </cell>
          <cell r="I14">
            <v>676.049</v>
          </cell>
          <cell r="J14">
            <v>695.11</v>
          </cell>
          <cell r="K14">
            <v>485.44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100</v>
          </cell>
          <cell r="S14">
            <v>50</v>
          </cell>
          <cell r="T14">
            <v>63</v>
          </cell>
          <cell r="U14">
            <v>0</v>
          </cell>
          <cell r="X14">
            <v>11044.5</v>
          </cell>
          <cell r="Y14">
            <v>1462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-336.6</v>
          </cell>
          <cell r="AF14">
            <v>-10000</v>
          </cell>
          <cell r="AG14">
            <v>-81.345</v>
          </cell>
          <cell r="AH14">
            <v>0</v>
          </cell>
          <cell r="AI14">
            <v>0</v>
          </cell>
          <cell r="AJ14">
            <v>750</v>
          </cell>
          <cell r="AK14">
            <v>750</v>
          </cell>
        </row>
        <row r="15">
          <cell r="F15">
            <v>10978.5</v>
          </cell>
          <cell r="G15">
            <v>10850.248</v>
          </cell>
          <cell r="H15">
            <v>2718</v>
          </cell>
          <cell r="I15">
            <v>2622.935</v>
          </cell>
          <cell r="J15">
            <v>3272</v>
          </cell>
          <cell r="K15">
            <v>3031.812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408.2</v>
          </cell>
          <cell r="Q15">
            <v>408.2</v>
          </cell>
          <cell r="R15">
            <v>380</v>
          </cell>
          <cell r="S15">
            <v>345</v>
          </cell>
          <cell r="T15">
            <v>280</v>
          </cell>
          <cell r="U15">
            <v>256</v>
          </cell>
          <cell r="X15">
            <v>4556.2</v>
          </cell>
          <cell r="Y15">
            <v>355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-1200</v>
          </cell>
          <cell r="AE15">
            <v>0</v>
          </cell>
          <cell r="AF15">
            <v>0</v>
          </cell>
          <cell r="AG15">
            <v>-237</v>
          </cell>
          <cell r="AH15">
            <v>0</v>
          </cell>
          <cell r="AI15">
            <v>0</v>
          </cell>
          <cell r="AK15">
            <v>1433.9</v>
          </cell>
        </row>
        <row r="16">
          <cell r="F16">
            <v>7922</v>
          </cell>
          <cell r="G16">
            <v>7751.478</v>
          </cell>
          <cell r="H16">
            <v>2972.3</v>
          </cell>
          <cell r="I16">
            <v>2919.3</v>
          </cell>
          <cell r="J16">
            <v>2770.93</v>
          </cell>
          <cell r="K16">
            <v>2264.36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2200</v>
          </cell>
          <cell r="S16">
            <v>2200</v>
          </cell>
          <cell r="T16">
            <v>0</v>
          </cell>
          <cell r="U16">
            <v>0</v>
          </cell>
          <cell r="X16">
            <v>3142.8</v>
          </cell>
          <cell r="Y16">
            <v>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-1000</v>
          </cell>
          <cell r="AE16">
            <v>-200</v>
          </cell>
          <cell r="AF16">
            <v>-700</v>
          </cell>
          <cell r="AG16">
            <v>0</v>
          </cell>
          <cell r="AH16">
            <v>0</v>
          </cell>
          <cell r="AI16">
            <v>0</v>
          </cell>
          <cell r="AK16">
            <v>800</v>
          </cell>
        </row>
        <row r="17">
          <cell r="F17">
            <v>2162.4</v>
          </cell>
          <cell r="G17">
            <v>2102.541</v>
          </cell>
          <cell r="H17">
            <v>516.4</v>
          </cell>
          <cell r="I17">
            <v>516.4</v>
          </cell>
          <cell r="J17">
            <v>821.2</v>
          </cell>
          <cell r="K17">
            <v>21.2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X17">
            <v>938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-100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K17">
            <v>810</v>
          </cell>
        </row>
        <row r="18">
          <cell r="F18">
            <v>3496.8</v>
          </cell>
          <cell r="G18">
            <v>3297.539</v>
          </cell>
          <cell r="H18">
            <v>826.8</v>
          </cell>
          <cell r="I18">
            <v>807.389</v>
          </cell>
          <cell r="J18">
            <v>1106</v>
          </cell>
          <cell r="K18">
            <v>867.641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600</v>
          </cell>
          <cell r="S18">
            <v>595</v>
          </cell>
          <cell r="T18">
            <v>80</v>
          </cell>
          <cell r="U18">
            <v>31</v>
          </cell>
          <cell r="X18">
            <v>640.7</v>
          </cell>
          <cell r="Y18">
            <v>220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K18">
            <v>350</v>
          </cell>
        </row>
        <row r="19">
          <cell r="F19">
            <v>25554.3</v>
          </cell>
          <cell r="G19">
            <v>25153.455</v>
          </cell>
          <cell r="H19">
            <v>6046.1</v>
          </cell>
          <cell r="I19">
            <v>6032.597</v>
          </cell>
          <cell r="J19">
            <v>19102</v>
          </cell>
          <cell r="K19">
            <v>17727.295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1500</v>
          </cell>
          <cell r="S19">
            <v>1167</v>
          </cell>
          <cell r="T19">
            <v>410</v>
          </cell>
          <cell r="U19">
            <v>331.25</v>
          </cell>
          <cell r="X19">
            <v>4500</v>
          </cell>
          <cell r="Y19">
            <v>2650.3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K19">
            <v>4500</v>
          </cell>
        </row>
        <row r="20">
          <cell r="F20">
            <v>32152.7</v>
          </cell>
          <cell r="G20">
            <v>26641.42</v>
          </cell>
          <cell r="H20">
            <v>8676</v>
          </cell>
          <cell r="I20">
            <v>6233.448</v>
          </cell>
          <cell r="J20">
            <v>30049.987</v>
          </cell>
          <cell r="K20">
            <v>17607.235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12440</v>
          </cell>
          <cell r="S20">
            <v>12426.2</v>
          </cell>
          <cell r="T20">
            <v>1400</v>
          </cell>
          <cell r="U20">
            <v>839.982</v>
          </cell>
          <cell r="X20">
            <v>38000</v>
          </cell>
          <cell r="Y20">
            <v>22910.5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-6526.1</v>
          </cell>
          <cell r="AE20">
            <v>0</v>
          </cell>
          <cell r="AF20">
            <v>0</v>
          </cell>
          <cell r="AG20">
            <v>-3069.901</v>
          </cell>
          <cell r="AH20">
            <v>0</v>
          </cell>
          <cell r="AI20">
            <v>0</v>
          </cell>
          <cell r="AK20">
            <v>5000</v>
          </cell>
        </row>
        <row r="21">
          <cell r="F21">
            <v>11850</v>
          </cell>
          <cell r="G21">
            <v>11182.446</v>
          </cell>
          <cell r="H21">
            <v>3000</v>
          </cell>
          <cell r="I21">
            <v>2900</v>
          </cell>
          <cell r="J21">
            <v>2450.0001</v>
          </cell>
          <cell r="K21">
            <v>1040.8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3440.01</v>
          </cell>
          <cell r="Q21">
            <v>2641</v>
          </cell>
          <cell r="R21">
            <v>1372.5</v>
          </cell>
          <cell r="S21">
            <v>1222.5</v>
          </cell>
          <cell r="T21">
            <v>0</v>
          </cell>
          <cell r="U21">
            <v>0</v>
          </cell>
          <cell r="X21">
            <v>3865.6</v>
          </cell>
          <cell r="Y21">
            <v>665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-2000</v>
          </cell>
          <cell r="AG21">
            <v>0</v>
          </cell>
          <cell r="AH21">
            <v>0</v>
          </cell>
          <cell r="AI21">
            <v>0</v>
          </cell>
          <cell r="AK21">
            <v>1200</v>
          </cell>
        </row>
        <row r="22">
          <cell r="F22">
            <v>4893</v>
          </cell>
          <cell r="G22">
            <v>4887.305</v>
          </cell>
          <cell r="H22">
            <v>2096.3</v>
          </cell>
          <cell r="I22">
            <v>1990.95</v>
          </cell>
          <cell r="J22">
            <v>1599</v>
          </cell>
          <cell r="K22">
            <v>1370.28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138.9</v>
          </cell>
          <cell r="S22">
            <v>75</v>
          </cell>
          <cell r="T22">
            <v>1</v>
          </cell>
          <cell r="U22">
            <v>1</v>
          </cell>
          <cell r="X22">
            <v>1758.065</v>
          </cell>
          <cell r="Y22">
            <v>1758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-11.099</v>
          </cell>
          <cell r="AH22">
            <v>0</v>
          </cell>
          <cell r="AI22">
            <v>0</v>
          </cell>
          <cell r="AK22">
            <v>1758</v>
          </cell>
        </row>
        <row r="23">
          <cell r="F23">
            <v>7032</v>
          </cell>
          <cell r="G23">
            <v>6552</v>
          </cell>
          <cell r="H23">
            <v>1774.8</v>
          </cell>
          <cell r="I23">
            <v>1673</v>
          </cell>
          <cell r="J23">
            <v>3408.1</v>
          </cell>
          <cell r="K23">
            <v>2235.76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300</v>
          </cell>
          <cell r="S23">
            <v>125</v>
          </cell>
          <cell r="T23">
            <v>3.1</v>
          </cell>
          <cell r="U23">
            <v>0</v>
          </cell>
          <cell r="X23">
            <v>6252.5</v>
          </cell>
          <cell r="Y23">
            <v>720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-1000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K23">
            <v>1400</v>
          </cell>
        </row>
        <row r="24">
          <cell r="F24">
            <v>6852</v>
          </cell>
          <cell r="G24">
            <v>6733.102</v>
          </cell>
          <cell r="H24">
            <v>1732.8</v>
          </cell>
          <cell r="I24">
            <v>1643.3</v>
          </cell>
          <cell r="J24">
            <v>1236.34</v>
          </cell>
          <cell r="K24">
            <v>831.858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860.02</v>
          </cell>
          <cell r="Q24">
            <v>600</v>
          </cell>
          <cell r="R24">
            <v>200</v>
          </cell>
          <cell r="S24">
            <v>200</v>
          </cell>
          <cell r="T24">
            <v>275.02</v>
          </cell>
          <cell r="U24">
            <v>143.8</v>
          </cell>
          <cell r="X24">
            <v>48863.4</v>
          </cell>
          <cell r="Y24">
            <v>12580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-46000</v>
          </cell>
          <cell r="AG24">
            <v>-10228.25</v>
          </cell>
          <cell r="AH24">
            <v>0</v>
          </cell>
          <cell r="AI24">
            <v>0</v>
          </cell>
          <cell r="AJ24">
            <v>1500</v>
          </cell>
          <cell r="AK24">
            <v>1500</v>
          </cell>
        </row>
        <row r="25">
          <cell r="F25">
            <v>16750</v>
          </cell>
          <cell r="G25">
            <v>16315.429</v>
          </cell>
          <cell r="H25">
            <v>3939.5</v>
          </cell>
          <cell r="I25">
            <v>3482.84</v>
          </cell>
          <cell r="J25">
            <v>22444.5</v>
          </cell>
          <cell r="K25">
            <v>20652.53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5910</v>
          </cell>
          <cell r="S25">
            <v>5775</v>
          </cell>
          <cell r="T25">
            <v>120</v>
          </cell>
          <cell r="U25">
            <v>67.71</v>
          </cell>
          <cell r="X25">
            <v>8016.6</v>
          </cell>
          <cell r="Y25">
            <v>5414.77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-2000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K25">
            <v>3000</v>
          </cell>
        </row>
        <row r="26">
          <cell r="F26">
            <v>12258</v>
          </cell>
          <cell r="G26">
            <v>12253.114</v>
          </cell>
          <cell r="H26">
            <v>2366</v>
          </cell>
          <cell r="I26">
            <v>2212.852</v>
          </cell>
          <cell r="J26">
            <v>3073.02</v>
          </cell>
          <cell r="K26">
            <v>2535.14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2592.5201</v>
          </cell>
          <cell r="Q26">
            <v>1945.5</v>
          </cell>
          <cell r="R26">
            <v>1700</v>
          </cell>
          <cell r="S26">
            <v>1600</v>
          </cell>
          <cell r="T26">
            <v>0</v>
          </cell>
          <cell r="U26">
            <v>0</v>
          </cell>
          <cell r="X26">
            <v>10500.01</v>
          </cell>
          <cell r="Y26">
            <v>3097.503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-6839.3</v>
          </cell>
          <cell r="AG26">
            <v>0</v>
          </cell>
          <cell r="AH26">
            <v>0</v>
          </cell>
          <cell r="AI26">
            <v>0</v>
          </cell>
          <cell r="AK26">
            <v>1000</v>
          </cell>
        </row>
        <row r="27">
          <cell r="F27">
            <v>6540</v>
          </cell>
          <cell r="G27">
            <v>6540</v>
          </cell>
          <cell r="H27">
            <v>1758.8</v>
          </cell>
          <cell r="I27">
            <v>1758.6</v>
          </cell>
          <cell r="J27">
            <v>1823.7</v>
          </cell>
          <cell r="K27">
            <v>1276.09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71</v>
          </cell>
          <cell r="U27">
            <v>70.4</v>
          </cell>
          <cell r="X27">
            <v>2008.9</v>
          </cell>
          <cell r="Y27">
            <v>1995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-106.088</v>
          </cell>
          <cell r="AH27">
            <v>0</v>
          </cell>
          <cell r="AI27">
            <v>0</v>
          </cell>
          <cell r="AK27">
            <v>2000</v>
          </cell>
        </row>
        <row r="28">
          <cell r="F28">
            <v>8506.8</v>
          </cell>
          <cell r="G28">
            <v>8052.927</v>
          </cell>
          <cell r="H28">
            <v>2310.2</v>
          </cell>
          <cell r="I28">
            <v>2310.042</v>
          </cell>
          <cell r="J28">
            <v>986.8</v>
          </cell>
          <cell r="K28">
            <v>458.471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526</v>
          </cell>
          <cell r="S28">
            <v>396</v>
          </cell>
          <cell r="T28">
            <v>11</v>
          </cell>
          <cell r="U28">
            <v>10.36</v>
          </cell>
          <cell r="X28">
            <v>4001.21</v>
          </cell>
          <cell r="Y28">
            <v>2980.718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-1000</v>
          </cell>
          <cell r="AG28">
            <v>-176.04</v>
          </cell>
          <cell r="AH28">
            <v>0</v>
          </cell>
          <cell r="AI28">
            <v>0</v>
          </cell>
          <cell r="AK28">
            <v>2507.2</v>
          </cell>
        </row>
        <row r="29">
          <cell r="F29">
            <v>2789.8</v>
          </cell>
          <cell r="G29">
            <v>2439.29</v>
          </cell>
          <cell r="H29">
            <v>1223</v>
          </cell>
          <cell r="I29">
            <v>1125.09</v>
          </cell>
          <cell r="J29">
            <v>75</v>
          </cell>
          <cell r="K29">
            <v>75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35</v>
          </cell>
          <cell r="U29">
            <v>35</v>
          </cell>
          <cell r="X29">
            <v>345.5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-100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230</v>
          </cell>
        </row>
        <row r="30">
          <cell r="F30">
            <v>3444</v>
          </cell>
          <cell r="G30">
            <v>3439</v>
          </cell>
          <cell r="H30">
            <v>919</v>
          </cell>
          <cell r="I30">
            <v>918.9</v>
          </cell>
          <cell r="J30">
            <v>207</v>
          </cell>
          <cell r="K30">
            <v>171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72</v>
          </cell>
          <cell r="U30">
            <v>0</v>
          </cell>
          <cell r="X30">
            <v>625.8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255.2</v>
          </cell>
        </row>
        <row r="31">
          <cell r="F31">
            <v>6786.8</v>
          </cell>
          <cell r="G31">
            <v>6668</v>
          </cell>
          <cell r="H31">
            <v>1667.6</v>
          </cell>
          <cell r="I31">
            <v>1500.8</v>
          </cell>
          <cell r="J31">
            <v>4350.1</v>
          </cell>
          <cell r="K31">
            <v>2681.2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500</v>
          </cell>
          <cell r="S31">
            <v>500</v>
          </cell>
          <cell r="T31">
            <v>400</v>
          </cell>
          <cell r="U31">
            <v>0</v>
          </cell>
          <cell r="X31">
            <v>2422.3</v>
          </cell>
          <cell r="Y31">
            <v>1800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K31">
            <v>2422.3</v>
          </cell>
        </row>
        <row r="32">
          <cell r="F32">
            <v>20063</v>
          </cell>
          <cell r="G32">
            <v>17356.927</v>
          </cell>
          <cell r="H32">
            <v>4020.5</v>
          </cell>
          <cell r="I32">
            <v>3514.229</v>
          </cell>
          <cell r="J32">
            <v>24254.51</v>
          </cell>
          <cell r="K32">
            <v>14326.304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1167.01</v>
          </cell>
          <cell r="Q32">
            <v>1167</v>
          </cell>
          <cell r="R32">
            <v>5433</v>
          </cell>
          <cell r="S32">
            <v>4500</v>
          </cell>
          <cell r="T32">
            <v>1142.01</v>
          </cell>
          <cell r="U32">
            <v>850</v>
          </cell>
          <cell r="X32">
            <v>26462.33</v>
          </cell>
          <cell r="Y32">
            <v>26397.2684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-5726.48</v>
          </cell>
          <cell r="AG32">
            <v>-5924.969</v>
          </cell>
          <cell r="AH32">
            <v>0</v>
          </cell>
          <cell r="AI32">
            <v>0</v>
          </cell>
          <cell r="AK32">
            <v>14020</v>
          </cell>
        </row>
        <row r="33">
          <cell r="F33">
            <v>5004</v>
          </cell>
          <cell r="G33">
            <v>5003.052</v>
          </cell>
          <cell r="H33">
            <v>1360.1</v>
          </cell>
          <cell r="I33">
            <v>1320.7</v>
          </cell>
          <cell r="J33">
            <v>630</v>
          </cell>
          <cell r="K33">
            <v>580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X33">
            <v>400</v>
          </cell>
          <cell r="Y33">
            <v>241.2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K33">
            <v>400</v>
          </cell>
        </row>
        <row r="34">
          <cell r="F34">
            <v>8532.8</v>
          </cell>
          <cell r="G34">
            <v>8351.69</v>
          </cell>
          <cell r="H34">
            <v>1736.8</v>
          </cell>
          <cell r="I34">
            <v>1393.85</v>
          </cell>
          <cell r="J34">
            <v>1370.9</v>
          </cell>
          <cell r="K34">
            <v>728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300</v>
          </cell>
          <cell r="S34">
            <v>200.664</v>
          </cell>
          <cell r="T34">
            <v>0</v>
          </cell>
          <cell r="U34">
            <v>0</v>
          </cell>
          <cell r="X34">
            <v>267</v>
          </cell>
          <cell r="Y34">
            <v>27.84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-27.84</v>
          </cell>
          <cell r="AH34">
            <v>0</v>
          </cell>
          <cell r="AI34">
            <v>0</v>
          </cell>
          <cell r="AK34">
            <v>267</v>
          </cell>
        </row>
        <row r="35">
          <cell r="F35">
            <v>7926.8</v>
          </cell>
          <cell r="G35">
            <v>7810.856</v>
          </cell>
          <cell r="H35">
            <v>1719.6</v>
          </cell>
          <cell r="I35">
            <v>1684</v>
          </cell>
          <cell r="J35">
            <v>5994.4</v>
          </cell>
          <cell r="K35">
            <v>5013.41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1800</v>
          </cell>
          <cell r="Q35">
            <v>300</v>
          </cell>
          <cell r="R35">
            <v>900</v>
          </cell>
          <cell r="S35">
            <v>900</v>
          </cell>
          <cell r="T35">
            <v>20</v>
          </cell>
          <cell r="U35">
            <v>1</v>
          </cell>
          <cell r="X35">
            <v>7165.6</v>
          </cell>
          <cell r="Y35">
            <v>3253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-64</v>
          </cell>
          <cell r="AF35">
            <v>0</v>
          </cell>
          <cell r="AG35">
            <v>-928.743</v>
          </cell>
          <cell r="AH35">
            <v>0</v>
          </cell>
          <cell r="AI35">
            <v>0</v>
          </cell>
          <cell r="AK35">
            <v>4026.3</v>
          </cell>
        </row>
        <row r="36">
          <cell r="F36">
            <v>6249.6</v>
          </cell>
          <cell r="G36">
            <v>4847.907</v>
          </cell>
          <cell r="H36">
            <v>1997.8</v>
          </cell>
          <cell r="I36">
            <v>1801.915</v>
          </cell>
          <cell r="J36">
            <v>371.5</v>
          </cell>
          <cell r="K36">
            <v>240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543</v>
          </cell>
          <cell r="S36">
            <v>533</v>
          </cell>
          <cell r="T36">
            <v>0</v>
          </cell>
          <cell r="U36">
            <v>0</v>
          </cell>
          <cell r="X36">
            <v>482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K36">
            <v>482</v>
          </cell>
        </row>
        <row r="37">
          <cell r="F37">
            <v>2760</v>
          </cell>
          <cell r="G37">
            <v>2586</v>
          </cell>
          <cell r="H37">
            <v>711</v>
          </cell>
          <cell r="I37">
            <v>690.5</v>
          </cell>
          <cell r="J37">
            <v>1505</v>
          </cell>
          <cell r="K37">
            <v>1489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X37">
            <v>1392</v>
          </cell>
          <cell r="Y37">
            <v>275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K37">
            <v>1244</v>
          </cell>
        </row>
        <row r="38">
          <cell r="F38">
            <v>3461</v>
          </cell>
          <cell r="G38">
            <v>3432.536</v>
          </cell>
          <cell r="H38">
            <v>1423</v>
          </cell>
          <cell r="I38">
            <v>1409.25</v>
          </cell>
          <cell r="J38">
            <v>109.044</v>
          </cell>
          <cell r="K38">
            <v>59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X38">
            <v>812.7</v>
          </cell>
          <cell r="Y38">
            <v>559.224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-250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K38">
            <v>260</v>
          </cell>
        </row>
        <row r="39">
          <cell r="F39">
            <v>6588</v>
          </cell>
          <cell r="G39">
            <v>6470.076</v>
          </cell>
          <cell r="H39">
            <v>1644.2</v>
          </cell>
          <cell r="I39">
            <v>1623.276</v>
          </cell>
          <cell r="J39">
            <v>2692.6</v>
          </cell>
          <cell r="K39">
            <v>2347.6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14</v>
          </cell>
          <cell r="X39">
            <v>6000</v>
          </cell>
          <cell r="Y39">
            <v>2012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-1377.1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F40">
            <v>5302.5</v>
          </cell>
          <cell r="G40">
            <v>5219.3</v>
          </cell>
          <cell r="H40">
            <v>1250.5</v>
          </cell>
          <cell r="I40">
            <v>1241.5</v>
          </cell>
          <cell r="J40">
            <v>2733.9</v>
          </cell>
          <cell r="K40">
            <v>1750.5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638.5</v>
          </cell>
          <cell r="Q40">
            <v>0</v>
          </cell>
          <cell r="R40">
            <v>200</v>
          </cell>
          <cell r="S40">
            <v>200</v>
          </cell>
          <cell r="T40">
            <v>150</v>
          </cell>
          <cell r="U40">
            <v>0</v>
          </cell>
          <cell r="X40">
            <v>4997.9</v>
          </cell>
          <cell r="Y40">
            <v>150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-2400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1100</v>
          </cell>
        </row>
        <row r="41">
          <cell r="F41">
            <v>5512.8</v>
          </cell>
          <cell r="G41">
            <v>5200.26</v>
          </cell>
          <cell r="H41">
            <v>1498.7</v>
          </cell>
          <cell r="I41">
            <v>1451.9</v>
          </cell>
          <cell r="J41">
            <v>1227.7</v>
          </cell>
          <cell r="K41">
            <v>812.238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829.7</v>
          </cell>
          <cell r="S41">
            <v>300</v>
          </cell>
          <cell r="T41">
            <v>50</v>
          </cell>
          <cell r="U41">
            <v>0</v>
          </cell>
          <cell r="X41">
            <v>2250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2250</v>
          </cell>
        </row>
        <row r="42">
          <cell r="F42">
            <v>3892</v>
          </cell>
          <cell r="G42">
            <v>3749.7</v>
          </cell>
          <cell r="H42">
            <v>969.2</v>
          </cell>
          <cell r="I42">
            <v>969.1</v>
          </cell>
          <cell r="J42">
            <v>182</v>
          </cell>
          <cell r="K42">
            <v>162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40</v>
          </cell>
          <cell r="U42">
            <v>40</v>
          </cell>
          <cell r="X42">
            <v>766.2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-300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K42">
            <v>240</v>
          </cell>
        </row>
        <row r="43">
          <cell r="F43">
            <v>2519</v>
          </cell>
          <cell r="G43">
            <v>2519</v>
          </cell>
          <cell r="H43">
            <v>520.9</v>
          </cell>
          <cell r="I43">
            <v>512.5</v>
          </cell>
          <cell r="J43">
            <v>398.12</v>
          </cell>
          <cell r="K43">
            <v>365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850.1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-650</v>
          </cell>
          <cell r="AG43">
            <v>-544.59</v>
          </cell>
          <cell r="AH43">
            <v>0</v>
          </cell>
          <cell r="AI43">
            <v>0</v>
          </cell>
          <cell r="AK43">
            <v>200</v>
          </cell>
        </row>
        <row r="44">
          <cell r="F44">
            <v>5057</v>
          </cell>
          <cell r="G44">
            <v>4727</v>
          </cell>
          <cell r="H44">
            <v>1167.6</v>
          </cell>
          <cell r="I44">
            <v>1073.4</v>
          </cell>
          <cell r="J44">
            <v>3112.7</v>
          </cell>
          <cell r="K44">
            <v>3059.94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500</v>
          </cell>
          <cell r="S44">
            <v>400</v>
          </cell>
          <cell r="T44">
            <v>0</v>
          </cell>
          <cell r="U44">
            <v>0</v>
          </cell>
          <cell r="X44">
            <v>3102.4</v>
          </cell>
          <cell r="Y44">
            <v>2119.8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K44">
            <v>2500</v>
          </cell>
        </row>
        <row r="45">
          <cell r="F45">
            <v>5040</v>
          </cell>
          <cell r="G45">
            <v>5024.889</v>
          </cell>
          <cell r="H45">
            <v>1126.1</v>
          </cell>
          <cell r="I45">
            <v>1116.75</v>
          </cell>
          <cell r="J45">
            <v>1569</v>
          </cell>
          <cell r="K45">
            <v>1033.97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436</v>
          </cell>
          <cell r="S45">
            <v>436</v>
          </cell>
          <cell r="T45">
            <v>30</v>
          </cell>
          <cell r="U45">
            <v>10</v>
          </cell>
          <cell r="X45">
            <v>1454.4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-860</v>
          </cell>
          <cell r="AE45">
            <v>0</v>
          </cell>
          <cell r="AF45">
            <v>0</v>
          </cell>
          <cell r="AG45">
            <v>-491</v>
          </cell>
          <cell r="AH45">
            <v>0</v>
          </cell>
          <cell r="AI45">
            <v>0</v>
          </cell>
          <cell r="AK45">
            <v>484.1</v>
          </cell>
        </row>
        <row r="46">
          <cell r="F46">
            <v>6896</v>
          </cell>
          <cell r="G46">
            <v>6877.871</v>
          </cell>
          <cell r="H46">
            <v>1343</v>
          </cell>
          <cell r="I46">
            <v>1343</v>
          </cell>
          <cell r="J46">
            <v>1572.4</v>
          </cell>
          <cell r="K46">
            <v>1353.092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316</v>
          </cell>
          <cell r="Q46">
            <v>315.5</v>
          </cell>
          <cell r="R46">
            <v>652.4</v>
          </cell>
          <cell r="S46">
            <v>635</v>
          </cell>
          <cell r="T46">
            <v>0</v>
          </cell>
          <cell r="U46">
            <v>0</v>
          </cell>
          <cell r="X46">
            <v>9338.8</v>
          </cell>
          <cell r="Y46">
            <v>1664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-500</v>
          </cell>
          <cell r="AE46">
            <v>0</v>
          </cell>
          <cell r="AF46">
            <v>-2500</v>
          </cell>
          <cell r="AG46">
            <v>0</v>
          </cell>
          <cell r="AH46">
            <v>0</v>
          </cell>
          <cell r="AI46">
            <v>0</v>
          </cell>
          <cell r="AK46">
            <v>600</v>
          </cell>
        </row>
        <row r="47">
          <cell r="F47">
            <v>5280</v>
          </cell>
          <cell r="G47">
            <v>5255.947</v>
          </cell>
          <cell r="H47">
            <v>1272</v>
          </cell>
          <cell r="I47">
            <v>1268.391</v>
          </cell>
          <cell r="J47">
            <v>2266.9</v>
          </cell>
          <cell r="K47">
            <v>1182.017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166.7</v>
          </cell>
          <cell r="U47">
            <v>100</v>
          </cell>
          <cell r="X47">
            <v>2671.9</v>
          </cell>
          <cell r="Y47">
            <v>706.422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K47">
            <v>952.4</v>
          </cell>
        </row>
        <row r="48">
          <cell r="F48">
            <v>5160</v>
          </cell>
          <cell r="G48">
            <v>4841.655</v>
          </cell>
          <cell r="H48">
            <v>1223.5</v>
          </cell>
          <cell r="I48">
            <v>1157.489</v>
          </cell>
          <cell r="J48">
            <v>1270</v>
          </cell>
          <cell r="K48">
            <v>1119.97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65</v>
          </cell>
          <cell r="U48">
            <v>65</v>
          </cell>
          <cell r="X48">
            <v>2540.2</v>
          </cell>
          <cell r="Y48">
            <v>700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450</v>
          </cell>
        </row>
        <row r="49">
          <cell r="F49">
            <v>4820</v>
          </cell>
          <cell r="G49">
            <v>4733.273</v>
          </cell>
          <cell r="H49">
            <v>1648</v>
          </cell>
          <cell r="I49">
            <v>1408.804</v>
          </cell>
          <cell r="J49">
            <v>1274</v>
          </cell>
          <cell r="K49">
            <v>971.24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60</v>
          </cell>
          <cell r="U49">
            <v>59.6</v>
          </cell>
          <cell r="X49">
            <v>600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K49">
            <v>600</v>
          </cell>
        </row>
        <row r="50">
          <cell r="F50">
            <v>2280</v>
          </cell>
          <cell r="G50">
            <v>2139.267</v>
          </cell>
          <cell r="H50">
            <v>534</v>
          </cell>
          <cell r="I50">
            <v>500.89</v>
          </cell>
          <cell r="J50">
            <v>1506</v>
          </cell>
          <cell r="K50">
            <v>258.6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1302.5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K50">
            <v>645</v>
          </cell>
        </row>
        <row r="51">
          <cell r="F51">
            <v>8580</v>
          </cell>
          <cell r="G51">
            <v>8222.873</v>
          </cell>
          <cell r="H51">
            <v>1803</v>
          </cell>
          <cell r="I51">
            <v>1724.784</v>
          </cell>
          <cell r="J51">
            <v>2481.2</v>
          </cell>
          <cell r="K51">
            <v>1209.6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300</v>
          </cell>
          <cell r="Q51">
            <v>300</v>
          </cell>
          <cell r="R51">
            <v>200</v>
          </cell>
          <cell r="S51">
            <v>200</v>
          </cell>
          <cell r="T51">
            <v>110</v>
          </cell>
          <cell r="U51">
            <v>72.4</v>
          </cell>
          <cell r="X51">
            <v>4733.8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-2200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K51">
            <v>1020</v>
          </cell>
        </row>
        <row r="52">
          <cell r="F52">
            <v>5791.2</v>
          </cell>
          <cell r="G52">
            <v>5635.032</v>
          </cell>
          <cell r="H52">
            <v>1252.6</v>
          </cell>
          <cell r="I52">
            <v>1235.773</v>
          </cell>
          <cell r="J52">
            <v>2507.5</v>
          </cell>
          <cell r="K52">
            <v>1233.4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690</v>
          </cell>
          <cell r="S52">
            <v>690</v>
          </cell>
          <cell r="T52">
            <v>0</v>
          </cell>
          <cell r="U52">
            <v>0</v>
          </cell>
          <cell r="X52">
            <v>2316.9</v>
          </cell>
          <cell r="Y52">
            <v>1933.435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-500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K52">
            <v>640</v>
          </cell>
        </row>
        <row r="53">
          <cell r="F53">
            <v>5117.6</v>
          </cell>
          <cell r="G53">
            <v>4768.71</v>
          </cell>
          <cell r="H53">
            <v>1384.81</v>
          </cell>
          <cell r="I53">
            <v>1199.85</v>
          </cell>
          <cell r="J53">
            <v>175.2</v>
          </cell>
          <cell r="K53">
            <v>95.25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X53">
            <v>350</v>
          </cell>
          <cell r="Y53">
            <v>178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-360.808</v>
          </cell>
          <cell r="AH53">
            <v>0</v>
          </cell>
          <cell r="AI53">
            <v>0</v>
          </cell>
          <cell r="AK53">
            <v>350</v>
          </cell>
        </row>
        <row r="54">
          <cell r="F54">
            <v>7886.1</v>
          </cell>
          <cell r="G54">
            <v>7598.344</v>
          </cell>
          <cell r="H54">
            <v>1495.2</v>
          </cell>
          <cell r="I54">
            <v>1400</v>
          </cell>
          <cell r="J54">
            <v>2588</v>
          </cell>
          <cell r="K54">
            <v>2326.8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773.3</v>
          </cell>
          <cell r="S54">
            <v>642</v>
          </cell>
          <cell r="T54">
            <v>0</v>
          </cell>
          <cell r="U54">
            <v>0</v>
          </cell>
          <cell r="X54">
            <v>2680</v>
          </cell>
          <cell r="Y54">
            <v>2626.39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2360.129</v>
          </cell>
        </row>
        <row r="55">
          <cell r="F55">
            <v>4620</v>
          </cell>
          <cell r="G55">
            <v>4331.663</v>
          </cell>
          <cell r="H55">
            <v>1172</v>
          </cell>
          <cell r="I55">
            <v>1171.353</v>
          </cell>
          <cell r="J55">
            <v>1988</v>
          </cell>
          <cell r="K55">
            <v>1813.1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400</v>
          </cell>
          <cell r="S55">
            <v>400</v>
          </cell>
          <cell r="T55">
            <v>40</v>
          </cell>
          <cell r="U55">
            <v>25</v>
          </cell>
          <cell r="X55">
            <v>1699.5</v>
          </cell>
          <cell r="Y55">
            <v>350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-500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840</v>
          </cell>
        </row>
        <row r="56">
          <cell r="F56">
            <v>22354.6</v>
          </cell>
          <cell r="G56">
            <v>22116.788</v>
          </cell>
          <cell r="H56">
            <v>5429.9</v>
          </cell>
          <cell r="I56">
            <v>5408.3</v>
          </cell>
          <cell r="J56">
            <v>3275.6</v>
          </cell>
          <cell r="K56">
            <v>2761.024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2101.3</v>
          </cell>
          <cell r="S56">
            <v>2101.03</v>
          </cell>
          <cell r="T56">
            <v>220</v>
          </cell>
          <cell r="U56">
            <v>191</v>
          </cell>
          <cell r="X56">
            <v>2789.5</v>
          </cell>
          <cell r="Y56">
            <v>2709.5</v>
          </cell>
          <cell r="Z56">
            <v>1319.4</v>
          </cell>
          <cell r="AA56">
            <v>1319.4</v>
          </cell>
          <cell r="AB56">
            <v>0</v>
          </cell>
          <cell r="AC56">
            <v>0</v>
          </cell>
          <cell r="AD56">
            <v>-1000</v>
          </cell>
          <cell r="AE56">
            <v>-2740.112</v>
          </cell>
          <cell r="AF56">
            <v>-500</v>
          </cell>
          <cell r="AG56">
            <v>-851.54</v>
          </cell>
          <cell r="AH56">
            <v>0</v>
          </cell>
          <cell r="AI56">
            <v>0</v>
          </cell>
          <cell r="AK56">
            <v>2607.5</v>
          </cell>
        </row>
        <row r="57">
          <cell r="F57">
            <v>8170</v>
          </cell>
          <cell r="G57">
            <v>8169.996</v>
          </cell>
          <cell r="H57">
            <v>2042</v>
          </cell>
          <cell r="I57">
            <v>2042</v>
          </cell>
          <cell r="J57">
            <v>1441</v>
          </cell>
          <cell r="K57">
            <v>1441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2600</v>
          </cell>
          <cell r="Q57">
            <v>1300</v>
          </cell>
          <cell r="R57">
            <v>200</v>
          </cell>
          <cell r="S57">
            <v>200</v>
          </cell>
          <cell r="T57">
            <v>70</v>
          </cell>
          <cell r="U57">
            <v>70</v>
          </cell>
          <cell r="X57">
            <v>0.1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-27.3</v>
          </cell>
          <cell r="AF57">
            <v>0</v>
          </cell>
          <cell r="AG57">
            <v>-72</v>
          </cell>
          <cell r="AH57">
            <v>0</v>
          </cell>
          <cell r="AI57">
            <v>0</v>
          </cell>
          <cell r="AK57">
            <v>0</v>
          </cell>
        </row>
        <row r="58">
          <cell r="F58">
            <v>3114</v>
          </cell>
          <cell r="G58">
            <v>3107.798</v>
          </cell>
          <cell r="H58">
            <v>743.2</v>
          </cell>
          <cell r="I58">
            <v>579.054</v>
          </cell>
          <cell r="J58">
            <v>92.8</v>
          </cell>
          <cell r="K58">
            <v>44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X58">
            <v>1781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K58">
            <v>220</v>
          </cell>
        </row>
        <row r="59">
          <cell r="F59">
            <v>5980.8</v>
          </cell>
          <cell r="G59">
            <v>5587.2737</v>
          </cell>
          <cell r="H59">
            <v>1389.6</v>
          </cell>
          <cell r="I59">
            <v>1324.2</v>
          </cell>
          <cell r="J59">
            <v>2140</v>
          </cell>
          <cell r="K59">
            <v>1121.2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610.5</v>
          </cell>
          <cell r="S59">
            <v>583</v>
          </cell>
          <cell r="T59">
            <v>60</v>
          </cell>
          <cell r="U59">
            <v>33.1</v>
          </cell>
          <cell r="X59">
            <v>3964.7</v>
          </cell>
          <cell r="Y59">
            <v>1800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-2000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K59">
            <v>544</v>
          </cell>
        </row>
        <row r="60">
          <cell r="F60">
            <v>11076.1</v>
          </cell>
          <cell r="G60">
            <v>10351.055</v>
          </cell>
          <cell r="H60">
            <v>2629</v>
          </cell>
          <cell r="I60">
            <v>2380.953</v>
          </cell>
          <cell r="J60">
            <v>3737.8</v>
          </cell>
          <cell r="K60">
            <v>1947.04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1835.5</v>
          </cell>
          <cell r="Q60">
            <v>180</v>
          </cell>
          <cell r="R60">
            <v>0</v>
          </cell>
          <cell r="S60">
            <v>0</v>
          </cell>
          <cell r="T60">
            <v>170</v>
          </cell>
          <cell r="U60">
            <v>152.3</v>
          </cell>
          <cell r="X60">
            <v>6168.7</v>
          </cell>
          <cell r="Y60">
            <v>550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-100</v>
          </cell>
          <cell r="AE60">
            <v>-126</v>
          </cell>
          <cell r="AF60">
            <v>0</v>
          </cell>
          <cell r="AG60">
            <v>-77.76</v>
          </cell>
          <cell r="AH60">
            <v>0</v>
          </cell>
          <cell r="AI60">
            <v>0</v>
          </cell>
          <cell r="AK60">
            <v>1590</v>
          </cell>
        </row>
        <row r="61">
          <cell r="F61">
            <v>20180</v>
          </cell>
          <cell r="G61">
            <v>19428.987</v>
          </cell>
          <cell r="H61">
            <v>4851</v>
          </cell>
          <cell r="I61">
            <v>4623.3</v>
          </cell>
          <cell r="J61">
            <v>30950.02</v>
          </cell>
          <cell r="K61">
            <v>19911.361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2779.3</v>
          </cell>
          <cell r="S61">
            <v>735</v>
          </cell>
          <cell r="T61">
            <v>1800</v>
          </cell>
          <cell r="U61">
            <v>223</v>
          </cell>
          <cell r="X61">
            <v>27000</v>
          </cell>
          <cell r="Y61">
            <v>1462</v>
          </cell>
          <cell r="Z61">
            <v>0</v>
          </cell>
          <cell r="AA61">
            <v>0</v>
          </cell>
          <cell r="AB61">
            <v>3000</v>
          </cell>
          <cell r="AC61">
            <v>0</v>
          </cell>
          <cell r="AD61">
            <v>0</v>
          </cell>
          <cell r="AE61">
            <v>0</v>
          </cell>
          <cell r="AF61">
            <v>-26000</v>
          </cell>
          <cell r="AG61">
            <v>-1669.33</v>
          </cell>
          <cell r="AH61">
            <v>0</v>
          </cell>
          <cell r="AI61">
            <v>0</v>
          </cell>
          <cell r="AK61">
            <v>4000</v>
          </cell>
        </row>
        <row r="62">
          <cell r="F62">
            <v>4392</v>
          </cell>
          <cell r="G62">
            <v>4296</v>
          </cell>
          <cell r="H62">
            <v>1047.6</v>
          </cell>
          <cell r="I62">
            <v>1030.8</v>
          </cell>
          <cell r="J62">
            <v>1540</v>
          </cell>
          <cell r="K62">
            <v>1500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839.9</v>
          </cell>
          <cell r="S62">
            <v>839.9</v>
          </cell>
          <cell r="T62">
            <v>162</v>
          </cell>
          <cell r="U62">
            <v>162</v>
          </cell>
          <cell r="X62">
            <v>425</v>
          </cell>
          <cell r="Y62">
            <v>424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425</v>
          </cell>
        </row>
        <row r="63">
          <cell r="F63">
            <v>7620</v>
          </cell>
          <cell r="G63">
            <v>7620</v>
          </cell>
          <cell r="H63">
            <v>1722.6</v>
          </cell>
          <cell r="I63">
            <v>1722</v>
          </cell>
          <cell r="J63">
            <v>3758.92</v>
          </cell>
          <cell r="K63">
            <v>3155.022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500</v>
          </cell>
          <cell r="Q63">
            <v>0</v>
          </cell>
          <cell r="R63">
            <v>150</v>
          </cell>
          <cell r="S63">
            <v>150</v>
          </cell>
          <cell r="T63">
            <v>80</v>
          </cell>
          <cell r="U63">
            <v>51</v>
          </cell>
          <cell r="X63">
            <v>3916.1</v>
          </cell>
          <cell r="Y63">
            <v>3605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-1200</v>
          </cell>
          <cell r="AE63">
            <v>0</v>
          </cell>
          <cell r="AF63">
            <v>0</v>
          </cell>
          <cell r="AG63">
            <v>-1213.6</v>
          </cell>
          <cell r="AH63">
            <v>0</v>
          </cell>
          <cell r="AI63">
            <v>0</v>
          </cell>
          <cell r="AK63">
            <v>2082</v>
          </cell>
        </row>
        <row r="64">
          <cell r="F64">
            <v>18985</v>
          </cell>
          <cell r="G64">
            <v>17924.279</v>
          </cell>
          <cell r="H64">
            <v>3793.9</v>
          </cell>
          <cell r="I64">
            <v>3530.478</v>
          </cell>
          <cell r="J64">
            <v>10754.02</v>
          </cell>
          <cell r="K64">
            <v>3605.9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6731.02</v>
          </cell>
          <cell r="Q64">
            <v>6471.4</v>
          </cell>
          <cell r="R64">
            <v>2070</v>
          </cell>
          <cell r="S64">
            <v>770</v>
          </cell>
          <cell r="T64">
            <v>1290</v>
          </cell>
          <cell r="U64">
            <v>343</v>
          </cell>
          <cell r="X64">
            <v>23002.3</v>
          </cell>
          <cell r="Y64">
            <v>6296.3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-5734.2</v>
          </cell>
          <cell r="AG64">
            <v>-10529.47</v>
          </cell>
          <cell r="AH64">
            <v>0</v>
          </cell>
          <cell r="AI64">
            <v>0</v>
          </cell>
          <cell r="AK64">
            <v>3552.3</v>
          </cell>
        </row>
        <row r="65">
          <cell r="F65">
            <v>2484</v>
          </cell>
          <cell r="G65">
            <v>2226.234</v>
          </cell>
          <cell r="H65">
            <v>564.6</v>
          </cell>
          <cell r="I65">
            <v>517.753</v>
          </cell>
          <cell r="J65">
            <v>1467.3</v>
          </cell>
          <cell r="K65">
            <v>1099.964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50</v>
          </cell>
          <cell r="S65">
            <v>0</v>
          </cell>
          <cell r="T65">
            <v>10</v>
          </cell>
          <cell r="U65">
            <v>10</v>
          </cell>
          <cell r="X65">
            <v>3284.4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K65">
            <v>1100.1</v>
          </cell>
        </row>
        <row r="66">
          <cell r="F66">
            <v>9878</v>
          </cell>
          <cell r="G66">
            <v>9866.319</v>
          </cell>
          <cell r="H66">
            <v>2197.1</v>
          </cell>
          <cell r="I66">
            <v>2196.95</v>
          </cell>
          <cell r="J66">
            <v>3289.7</v>
          </cell>
          <cell r="K66">
            <v>3226.792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110</v>
          </cell>
          <cell r="U66">
            <v>110</v>
          </cell>
          <cell r="X66">
            <v>3062.3</v>
          </cell>
          <cell r="Y66">
            <v>480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-225.2</v>
          </cell>
          <cell r="AH66">
            <v>0</v>
          </cell>
          <cell r="AI66">
            <v>0</v>
          </cell>
          <cell r="AK66">
            <v>1000</v>
          </cell>
        </row>
        <row r="67">
          <cell r="F67">
            <v>4086</v>
          </cell>
          <cell r="G67">
            <v>4083.239</v>
          </cell>
          <cell r="H67">
            <v>1064</v>
          </cell>
          <cell r="I67">
            <v>1064</v>
          </cell>
          <cell r="J67">
            <v>650</v>
          </cell>
          <cell r="K67">
            <v>79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X67">
            <v>350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K67">
            <v>350</v>
          </cell>
        </row>
        <row r="68">
          <cell r="F68">
            <v>16085.6</v>
          </cell>
          <cell r="G68">
            <v>13090.222</v>
          </cell>
          <cell r="H68">
            <v>3291.8</v>
          </cell>
          <cell r="I68">
            <v>2555.776</v>
          </cell>
          <cell r="J68">
            <v>7676</v>
          </cell>
          <cell r="K68">
            <v>3659.375</v>
          </cell>
          <cell r="L68">
            <v>0</v>
          </cell>
          <cell r="M68">
            <v>0</v>
          </cell>
          <cell r="N68">
            <v>500</v>
          </cell>
          <cell r="O68">
            <v>200</v>
          </cell>
          <cell r="P68">
            <v>3149.5</v>
          </cell>
          <cell r="Q68">
            <v>0</v>
          </cell>
          <cell r="R68">
            <v>1589.4</v>
          </cell>
          <cell r="S68">
            <v>1589.4</v>
          </cell>
          <cell r="T68">
            <v>2582.3</v>
          </cell>
          <cell r="U68">
            <v>35</v>
          </cell>
          <cell r="X68">
            <v>11763.7</v>
          </cell>
          <cell r="Y68">
            <v>1000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-28.324</v>
          </cell>
          <cell r="AF68">
            <v>0</v>
          </cell>
          <cell r="AG68">
            <v>-5.184</v>
          </cell>
          <cell r="AH68">
            <v>0</v>
          </cell>
          <cell r="AI68">
            <v>0</v>
          </cell>
          <cell r="AK68">
            <v>0</v>
          </cell>
        </row>
        <row r="69">
          <cell r="F69">
            <v>4486</v>
          </cell>
          <cell r="G69">
            <v>4397.45</v>
          </cell>
          <cell r="H69">
            <v>1120.7</v>
          </cell>
          <cell r="I69">
            <v>1120.7</v>
          </cell>
          <cell r="J69">
            <v>600</v>
          </cell>
          <cell r="K69">
            <v>600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X69">
            <v>761.6</v>
          </cell>
          <cell r="Y69">
            <v>400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K69">
            <v>320</v>
          </cell>
        </row>
        <row r="70">
          <cell r="F70">
            <v>2904.9</v>
          </cell>
          <cell r="G70">
            <v>2904.9</v>
          </cell>
          <cell r="H70">
            <v>862.3</v>
          </cell>
          <cell r="I70">
            <v>862.278</v>
          </cell>
          <cell r="J70">
            <v>118.8</v>
          </cell>
          <cell r="K70">
            <v>118.8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X70">
            <v>220.05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K70">
            <v>220</v>
          </cell>
        </row>
        <row r="71">
          <cell r="F71">
            <v>6942</v>
          </cell>
          <cell r="G71">
            <v>5882.993</v>
          </cell>
          <cell r="H71">
            <v>1532.4</v>
          </cell>
          <cell r="I71">
            <v>1476.625</v>
          </cell>
          <cell r="J71">
            <v>1854.4</v>
          </cell>
          <cell r="K71">
            <v>908.04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150</v>
          </cell>
          <cell r="U71">
            <v>0</v>
          </cell>
          <cell r="X71">
            <v>9469</v>
          </cell>
          <cell r="Y71">
            <v>2439.62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-2000</v>
          </cell>
          <cell r="AG71">
            <v>0</v>
          </cell>
          <cell r="AH71">
            <v>0</v>
          </cell>
          <cell r="AI71">
            <v>0</v>
          </cell>
          <cell r="AK71">
            <v>600</v>
          </cell>
        </row>
        <row r="72">
          <cell r="F72">
            <v>11549.3</v>
          </cell>
          <cell r="G72">
            <v>10943.089</v>
          </cell>
          <cell r="H72">
            <v>2262.5</v>
          </cell>
          <cell r="I72">
            <v>2202</v>
          </cell>
          <cell r="J72">
            <v>9398.2</v>
          </cell>
          <cell r="K72">
            <v>3303.313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5028</v>
          </cell>
          <cell r="Q72">
            <v>5027.926</v>
          </cell>
          <cell r="R72">
            <v>0</v>
          </cell>
          <cell r="S72">
            <v>0</v>
          </cell>
          <cell r="T72">
            <v>950</v>
          </cell>
          <cell r="U72">
            <v>199.994</v>
          </cell>
          <cell r="X72">
            <v>46487</v>
          </cell>
          <cell r="Y72">
            <v>1134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-663.712</v>
          </cell>
          <cell r="AH72">
            <v>0</v>
          </cell>
          <cell r="AI72">
            <v>0</v>
          </cell>
          <cell r="AK72">
            <v>5500</v>
          </cell>
        </row>
        <row r="73">
          <cell r="F73">
            <v>12908.8</v>
          </cell>
          <cell r="G73">
            <v>12533.8</v>
          </cell>
          <cell r="H73">
            <v>2950.6</v>
          </cell>
          <cell r="I73">
            <v>2915.55</v>
          </cell>
          <cell r="J73">
            <v>1172</v>
          </cell>
          <cell r="K73">
            <v>1039.6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860</v>
          </cell>
          <cell r="S73">
            <v>860</v>
          </cell>
          <cell r="T73">
            <v>0</v>
          </cell>
          <cell r="U73">
            <v>0</v>
          </cell>
          <cell r="X73">
            <v>1500</v>
          </cell>
          <cell r="Y73">
            <v>1000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-1000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K73">
            <v>1500</v>
          </cell>
        </row>
        <row r="74">
          <cell r="F74">
            <v>4360</v>
          </cell>
          <cell r="G74">
            <v>4166.45</v>
          </cell>
          <cell r="H74">
            <v>990</v>
          </cell>
          <cell r="I74">
            <v>891.95</v>
          </cell>
          <cell r="J74">
            <v>285</v>
          </cell>
          <cell r="K74">
            <v>285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X74">
            <v>300.4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K74">
            <v>296</v>
          </cell>
        </row>
        <row r="75">
          <cell r="F75">
            <v>5635.45</v>
          </cell>
          <cell r="G75">
            <v>5635.004</v>
          </cell>
          <cell r="H75">
            <v>985</v>
          </cell>
          <cell r="I75">
            <v>985</v>
          </cell>
          <cell r="J75">
            <v>2390.05</v>
          </cell>
          <cell r="K75">
            <v>2384.89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200</v>
          </cell>
          <cell r="S75">
            <v>200</v>
          </cell>
          <cell r="T75">
            <v>15</v>
          </cell>
          <cell r="U75">
            <v>15</v>
          </cell>
          <cell r="X75">
            <v>3344.1</v>
          </cell>
          <cell r="Y75">
            <v>3343.8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-165</v>
          </cell>
          <cell r="AE75">
            <v>-165</v>
          </cell>
          <cell r="AF75">
            <v>-820.8</v>
          </cell>
          <cell r="AG75">
            <v>-820.8</v>
          </cell>
          <cell r="AH75">
            <v>0</v>
          </cell>
          <cell r="AI75">
            <v>0</v>
          </cell>
          <cell r="AK75">
            <v>1800</v>
          </cell>
        </row>
        <row r="76">
          <cell r="F76">
            <v>10572</v>
          </cell>
          <cell r="G76">
            <v>10571.94</v>
          </cell>
          <cell r="H76">
            <v>2161.8</v>
          </cell>
          <cell r="I76">
            <v>2161.8</v>
          </cell>
          <cell r="J76">
            <v>2010.3</v>
          </cell>
          <cell r="K76">
            <v>1273.4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2491.3</v>
          </cell>
          <cell r="Q76">
            <v>2491</v>
          </cell>
          <cell r="R76">
            <v>0</v>
          </cell>
          <cell r="S76">
            <v>0</v>
          </cell>
          <cell r="T76">
            <v>310</v>
          </cell>
          <cell r="U76">
            <v>180</v>
          </cell>
          <cell r="X76">
            <v>4097.4</v>
          </cell>
          <cell r="Y76">
            <v>2297.4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-300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K76">
            <v>2500</v>
          </cell>
        </row>
        <row r="77">
          <cell r="F77">
            <v>10398</v>
          </cell>
          <cell r="G77">
            <v>8138.925</v>
          </cell>
          <cell r="H77">
            <v>2460</v>
          </cell>
          <cell r="I77">
            <v>1796.702</v>
          </cell>
          <cell r="J77">
            <v>4245</v>
          </cell>
          <cell r="K77">
            <v>1104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400</v>
          </cell>
          <cell r="U77">
            <v>0</v>
          </cell>
          <cell r="X77">
            <v>10994</v>
          </cell>
          <cell r="Y77">
            <v>994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-4420.8</v>
          </cell>
          <cell r="AE77">
            <v>0</v>
          </cell>
          <cell r="AF77">
            <v>0</v>
          </cell>
          <cell r="AG77">
            <v>-101</v>
          </cell>
          <cell r="AH77">
            <v>0</v>
          </cell>
          <cell r="AI77">
            <v>0</v>
          </cell>
          <cell r="AK77">
            <v>1732</v>
          </cell>
        </row>
        <row r="78">
          <cell r="F78">
            <v>5352.1</v>
          </cell>
          <cell r="G78">
            <v>5113.686</v>
          </cell>
          <cell r="H78">
            <v>2051.7</v>
          </cell>
          <cell r="I78">
            <v>2004.97</v>
          </cell>
          <cell r="J78">
            <v>3185</v>
          </cell>
          <cell r="K78">
            <v>2533.78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500</v>
          </cell>
          <cell r="S78">
            <v>355</v>
          </cell>
          <cell r="T78">
            <v>25</v>
          </cell>
          <cell r="U78">
            <v>25</v>
          </cell>
          <cell r="X78">
            <v>850</v>
          </cell>
          <cell r="Y78">
            <v>525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K78">
            <v>850</v>
          </cell>
        </row>
        <row r="79">
          <cell r="F79">
            <v>8055.21</v>
          </cell>
          <cell r="G79">
            <v>7830</v>
          </cell>
          <cell r="H79">
            <v>3133.21</v>
          </cell>
          <cell r="I79">
            <v>3025</v>
          </cell>
          <cell r="J79">
            <v>2034.52</v>
          </cell>
          <cell r="K79">
            <v>1907.74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400</v>
          </cell>
          <cell r="S79">
            <v>400</v>
          </cell>
          <cell r="T79">
            <v>50</v>
          </cell>
          <cell r="U79">
            <v>30.5</v>
          </cell>
          <cell r="X79">
            <v>3100</v>
          </cell>
          <cell r="Y79">
            <v>3100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-400</v>
          </cell>
          <cell r="AG79">
            <v>-400</v>
          </cell>
          <cell r="AH79">
            <v>0</v>
          </cell>
          <cell r="AI79">
            <v>0</v>
          </cell>
          <cell r="AJ79">
            <v>2171.7</v>
          </cell>
          <cell r="AK79">
            <v>2171.7</v>
          </cell>
        </row>
        <row r="80">
          <cell r="F80">
            <v>4755</v>
          </cell>
          <cell r="G80">
            <v>4748.4</v>
          </cell>
          <cell r="H80">
            <v>1252</v>
          </cell>
          <cell r="I80">
            <v>1155</v>
          </cell>
          <cell r="J80">
            <v>1445</v>
          </cell>
          <cell r="K80">
            <v>958.9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75</v>
          </cell>
          <cell r="U80">
            <v>2</v>
          </cell>
          <cell r="X80">
            <v>581.9</v>
          </cell>
          <cell r="Y80">
            <v>581.9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K80">
            <v>542</v>
          </cell>
        </row>
        <row r="81">
          <cell r="F81">
            <v>7596.8</v>
          </cell>
          <cell r="G81">
            <v>7480.354</v>
          </cell>
          <cell r="H81">
            <v>2010.7</v>
          </cell>
          <cell r="I81">
            <v>1993.9</v>
          </cell>
          <cell r="J81">
            <v>3585.8</v>
          </cell>
          <cell r="K81">
            <v>3577.616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1200</v>
          </cell>
          <cell r="S81">
            <v>1200</v>
          </cell>
          <cell r="T81">
            <v>33</v>
          </cell>
          <cell r="U81">
            <v>28</v>
          </cell>
          <cell r="X81">
            <v>5923.3</v>
          </cell>
          <cell r="Y81">
            <v>4433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-240</v>
          </cell>
          <cell r="AG81">
            <v>-255</v>
          </cell>
          <cell r="AH81">
            <v>0</v>
          </cell>
          <cell r="AI81">
            <v>0</v>
          </cell>
          <cell r="AK81">
            <v>3600</v>
          </cell>
        </row>
        <row r="82">
          <cell r="F82">
            <v>5555</v>
          </cell>
          <cell r="G82">
            <v>5550.218</v>
          </cell>
          <cell r="H82">
            <v>1313.5</v>
          </cell>
          <cell r="I82">
            <v>1260.116</v>
          </cell>
          <cell r="J82">
            <v>2030</v>
          </cell>
          <cell r="K82">
            <v>1420.9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80</v>
          </cell>
          <cell r="U82">
            <v>16.145</v>
          </cell>
          <cell r="X82">
            <v>2627.7</v>
          </cell>
          <cell r="Y82">
            <v>2349.9999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-150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K82">
            <v>780</v>
          </cell>
        </row>
        <row r="83">
          <cell r="F83">
            <v>10810</v>
          </cell>
          <cell r="G83">
            <v>10732.01</v>
          </cell>
          <cell r="H83">
            <v>2437</v>
          </cell>
          <cell r="I83">
            <v>2189.691</v>
          </cell>
          <cell r="J83">
            <v>2400</v>
          </cell>
          <cell r="K83">
            <v>2199.4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1000.01</v>
          </cell>
          <cell r="Q83">
            <v>1000</v>
          </cell>
          <cell r="R83">
            <v>1000</v>
          </cell>
          <cell r="S83">
            <v>1000</v>
          </cell>
          <cell r="T83">
            <v>0</v>
          </cell>
          <cell r="U83">
            <v>0</v>
          </cell>
          <cell r="X83">
            <v>6971.2</v>
          </cell>
          <cell r="Y83">
            <v>5970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-1000</v>
          </cell>
          <cell r="AG83">
            <v>0</v>
          </cell>
          <cell r="AH83">
            <v>0</v>
          </cell>
          <cell r="AI83">
            <v>0</v>
          </cell>
          <cell r="AJ83">
            <v>3000</v>
          </cell>
          <cell r="AK83">
            <v>3000</v>
          </cell>
        </row>
        <row r="84">
          <cell r="F84">
            <v>8366.5</v>
          </cell>
          <cell r="G84">
            <v>7772.442</v>
          </cell>
          <cell r="H84">
            <v>1571</v>
          </cell>
          <cell r="I84">
            <v>1446.677</v>
          </cell>
          <cell r="J84">
            <v>3400</v>
          </cell>
          <cell r="K84">
            <v>1357.944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160.01</v>
          </cell>
          <cell r="Q84">
            <v>160</v>
          </cell>
          <cell r="R84">
            <v>1000</v>
          </cell>
          <cell r="S84">
            <v>0</v>
          </cell>
          <cell r="T84">
            <v>5357.9</v>
          </cell>
          <cell r="U84">
            <v>100</v>
          </cell>
          <cell r="X84">
            <v>11494.61</v>
          </cell>
          <cell r="Y84">
            <v>11439.983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K84">
            <v>5540</v>
          </cell>
        </row>
        <row r="85">
          <cell r="F85">
            <v>8605</v>
          </cell>
          <cell r="G85">
            <v>8604.91</v>
          </cell>
          <cell r="H85">
            <v>1885.6</v>
          </cell>
          <cell r="I85">
            <v>1851.3</v>
          </cell>
          <cell r="J85">
            <v>11759.4</v>
          </cell>
          <cell r="K85">
            <v>5508.94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408</v>
          </cell>
          <cell r="Q85">
            <v>408</v>
          </cell>
          <cell r="R85">
            <v>600</v>
          </cell>
          <cell r="S85">
            <v>300</v>
          </cell>
          <cell r="T85">
            <v>400</v>
          </cell>
          <cell r="U85">
            <v>186</v>
          </cell>
          <cell r="X85">
            <v>22582.3</v>
          </cell>
          <cell r="Y85">
            <v>22580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-1000</v>
          </cell>
          <cell r="AG85">
            <v>-1016.81</v>
          </cell>
          <cell r="AH85">
            <v>0</v>
          </cell>
          <cell r="AI85">
            <v>0</v>
          </cell>
          <cell r="AK85">
            <v>5900</v>
          </cell>
        </row>
        <row r="86">
          <cell r="F86">
            <v>2866.8</v>
          </cell>
          <cell r="G86">
            <v>2754</v>
          </cell>
          <cell r="H86">
            <v>1062.8</v>
          </cell>
          <cell r="I86">
            <v>1011.461</v>
          </cell>
          <cell r="J86">
            <v>615.4</v>
          </cell>
          <cell r="K86">
            <v>419.744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300</v>
          </cell>
          <cell r="S86">
            <v>300</v>
          </cell>
          <cell r="T86">
            <v>0</v>
          </cell>
          <cell r="U86">
            <v>0</v>
          </cell>
          <cell r="X86">
            <v>835</v>
          </cell>
          <cell r="Y86">
            <v>710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K86">
            <v>835</v>
          </cell>
        </row>
        <row r="87">
          <cell r="F87">
            <v>6652.8</v>
          </cell>
          <cell r="G87">
            <v>6540</v>
          </cell>
          <cell r="H87">
            <v>2085.1</v>
          </cell>
          <cell r="I87">
            <v>2068.3</v>
          </cell>
          <cell r="J87">
            <v>69.9</v>
          </cell>
          <cell r="K87">
            <v>65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442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K87">
            <v>442</v>
          </cell>
        </row>
        <row r="88">
          <cell r="F88">
            <v>4416</v>
          </cell>
          <cell r="G88">
            <v>4405.086</v>
          </cell>
          <cell r="H88">
            <v>1034.4</v>
          </cell>
          <cell r="I88">
            <v>1034.4</v>
          </cell>
          <cell r="J88">
            <v>1727.3</v>
          </cell>
          <cell r="K88">
            <v>1162.64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300</v>
          </cell>
          <cell r="S88">
            <v>300</v>
          </cell>
          <cell r="T88">
            <v>71</v>
          </cell>
          <cell r="U88">
            <v>70.8</v>
          </cell>
          <cell r="X88">
            <v>4984.5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K88">
            <v>400</v>
          </cell>
        </row>
        <row r="89">
          <cell r="F89">
            <v>8162.2</v>
          </cell>
          <cell r="G89">
            <v>8131.24</v>
          </cell>
          <cell r="H89">
            <v>1937.3</v>
          </cell>
          <cell r="I89">
            <v>1542.6</v>
          </cell>
          <cell r="J89">
            <v>2302.2</v>
          </cell>
          <cell r="K89">
            <v>1947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240.01</v>
          </cell>
          <cell r="Q89">
            <v>240</v>
          </cell>
          <cell r="R89">
            <v>1200.01</v>
          </cell>
          <cell r="S89">
            <v>1200</v>
          </cell>
          <cell r="T89">
            <v>0</v>
          </cell>
          <cell r="U89">
            <v>0</v>
          </cell>
          <cell r="X89">
            <v>4707.7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-90.65</v>
          </cell>
          <cell r="AF89">
            <v>0</v>
          </cell>
          <cell r="AG89">
            <v>-89.05</v>
          </cell>
          <cell r="AH89">
            <v>0</v>
          </cell>
          <cell r="AI89">
            <v>0</v>
          </cell>
          <cell r="AK89">
            <v>3060</v>
          </cell>
        </row>
        <row r="90">
          <cell r="F90">
            <v>21350.2</v>
          </cell>
          <cell r="G90">
            <v>20419.376</v>
          </cell>
          <cell r="H90">
            <v>3754.1</v>
          </cell>
          <cell r="I90">
            <v>3752</v>
          </cell>
          <cell r="J90">
            <v>28821.6</v>
          </cell>
          <cell r="K90">
            <v>27361.5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1200.01</v>
          </cell>
          <cell r="Q90">
            <v>1200</v>
          </cell>
          <cell r="R90">
            <v>1800</v>
          </cell>
          <cell r="S90">
            <v>1795</v>
          </cell>
          <cell r="T90">
            <v>150</v>
          </cell>
          <cell r="U90">
            <v>0</v>
          </cell>
          <cell r="X90">
            <v>30292.42</v>
          </cell>
          <cell r="Y90">
            <v>26198.586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-22000</v>
          </cell>
          <cell r="AG90">
            <v>-19115.675</v>
          </cell>
          <cell r="AH90">
            <v>0</v>
          </cell>
          <cell r="AI90">
            <v>0</v>
          </cell>
          <cell r="AK90">
            <v>7000</v>
          </cell>
        </row>
        <row r="91">
          <cell r="F91">
            <v>4258.9</v>
          </cell>
          <cell r="G91">
            <v>4258.366</v>
          </cell>
          <cell r="H91">
            <v>876</v>
          </cell>
          <cell r="I91">
            <v>876</v>
          </cell>
          <cell r="J91">
            <v>1555</v>
          </cell>
          <cell r="K91">
            <v>1440.775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600</v>
          </cell>
          <cell r="S91">
            <v>600</v>
          </cell>
          <cell r="T91">
            <v>50</v>
          </cell>
          <cell r="U91">
            <v>40</v>
          </cell>
          <cell r="X91">
            <v>300</v>
          </cell>
          <cell r="Y91">
            <v>300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K91">
            <v>300</v>
          </cell>
        </row>
        <row r="92">
          <cell r="F92">
            <v>3340</v>
          </cell>
          <cell r="G92">
            <v>3310.119</v>
          </cell>
          <cell r="H92">
            <v>922</v>
          </cell>
          <cell r="I92">
            <v>922</v>
          </cell>
          <cell r="J92">
            <v>871</v>
          </cell>
          <cell r="K92">
            <v>845.72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650</v>
          </cell>
          <cell r="Q92">
            <v>650</v>
          </cell>
          <cell r="R92">
            <v>100</v>
          </cell>
          <cell r="S92">
            <v>100</v>
          </cell>
          <cell r="T92">
            <v>20</v>
          </cell>
          <cell r="U92">
            <v>2</v>
          </cell>
          <cell r="X92">
            <v>4486.2</v>
          </cell>
          <cell r="Y92">
            <v>963.5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-150</v>
          </cell>
          <cell r="AE92">
            <v>-466.8</v>
          </cell>
          <cell r="AF92">
            <v>0</v>
          </cell>
          <cell r="AG92">
            <v>-916</v>
          </cell>
          <cell r="AH92">
            <v>0</v>
          </cell>
          <cell r="AI92">
            <v>0</v>
          </cell>
          <cell r="AK92">
            <v>1100</v>
          </cell>
        </row>
        <row r="93">
          <cell r="F93">
            <v>3876</v>
          </cell>
          <cell r="G93">
            <v>3829.326</v>
          </cell>
          <cell r="H93">
            <v>889</v>
          </cell>
          <cell r="I93">
            <v>889</v>
          </cell>
          <cell r="J93">
            <v>1000</v>
          </cell>
          <cell r="K93">
            <v>944.85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377.6</v>
          </cell>
          <cell r="S93">
            <v>370</v>
          </cell>
          <cell r="T93">
            <v>30</v>
          </cell>
          <cell r="U93">
            <v>25</v>
          </cell>
          <cell r="X93">
            <v>638.2</v>
          </cell>
          <cell r="Y93">
            <v>402.1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K93">
            <v>330</v>
          </cell>
        </row>
        <row r="94">
          <cell r="F94">
            <v>4916</v>
          </cell>
          <cell r="G94">
            <v>4914.655</v>
          </cell>
          <cell r="H94">
            <v>898.8</v>
          </cell>
          <cell r="I94">
            <v>898.8</v>
          </cell>
          <cell r="J94">
            <v>477</v>
          </cell>
          <cell r="K94">
            <v>476.09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9</v>
          </cell>
          <cell r="U94">
            <v>9</v>
          </cell>
          <cell r="X94">
            <v>2800.5</v>
          </cell>
          <cell r="Y94">
            <v>1899.4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-2500</v>
          </cell>
          <cell r="AG94">
            <v>-1840.545</v>
          </cell>
          <cell r="AH94">
            <v>0</v>
          </cell>
          <cell r="AI94">
            <v>0</v>
          </cell>
          <cell r="AK94">
            <v>300</v>
          </cell>
        </row>
        <row r="95">
          <cell r="F95">
            <v>5236.8</v>
          </cell>
          <cell r="G95">
            <v>5106.009</v>
          </cell>
          <cell r="H95">
            <v>1017.6</v>
          </cell>
          <cell r="I95">
            <v>1000.769</v>
          </cell>
          <cell r="J95">
            <v>1900</v>
          </cell>
          <cell r="K95">
            <v>1481.63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600</v>
          </cell>
          <cell r="S95">
            <v>400</v>
          </cell>
          <cell r="T95">
            <v>45</v>
          </cell>
          <cell r="U95">
            <v>45</v>
          </cell>
          <cell r="X95">
            <v>5575.3</v>
          </cell>
          <cell r="Y95">
            <v>750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-1018.845</v>
          </cell>
          <cell r="AH95">
            <v>0</v>
          </cell>
          <cell r="AI95">
            <v>0</v>
          </cell>
          <cell r="AK95">
            <v>860.8</v>
          </cell>
        </row>
        <row r="96">
          <cell r="F96">
            <v>4690</v>
          </cell>
          <cell r="G96">
            <v>0</v>
          </cell>
          <cell r="H96">
            <v>1030</v>
          </cell>
          <cell r="I96">
            <v>0</v>
          </cell>
          <cell r="J96">
            <v>250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120</v>
          </cell>
          <cell r="S96">
            <v>0</v>
          </cell>
          <cell r="T96">
            <v>180</v>
          </cell>
          <cell r="U96">
            <v>0</v>
          </cell>
          <cell r="X96">
            <v>10330.8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-10000</v>
          </cell>
          <cell r="AG96">
            <v>0</v>
          </cell>
          <cell r="AH96">
            <v>0</v>
          </cell>
          <cell r="AI96">
            <v>0</v>
          </cell>
          <cell r="AK96">
            <v>330</v>
          </cell>
        </row>
        <row r="97">
          <cell r="F97">
            <v>4685.2</v>
          </cell>
          <cell r="G97">
            <v>4564.96</v>
          </cell>
          <cell r="H97">
            <v>968.6</v>
          </cell>
          <cell r="I97">
            <v>942.235</v>
          </cell>
          <cell r="J97">
            <v>1416.4</v>
          </cell>
          <cell r="K97">
            <v>989.84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400</v>
          </cell>
          <cell r="S97">
            <v>400</v>
          </cell>
          <cell r="T97">
            <v>10</v>
          </cell>
          <cell r="U97">
            <v>0</v>
          </cell>
          <cell r="X97">
            <v>1870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K97">
            <v>1870</v>
          </cell>
        </row>
        <row r="98">
          <cell r="F98">
            <v>21780</v>
          </cell>
          <cell r="G98">
            <v>21780</v>
          </cell>
          <cell r="H98">
            <v>4220</v>
          </cell>
          <cell r="I98">
            <v>4219.92</v>
          </cell>
          <cell r="J98">
            <v>16271.91</v>
          </cell>
          <cell r="K98">
            <v>8324.724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4200</v>
          </cell>
          <cell r="S98">
            <v>4145</v>
          </cell>
          <cell r="T98">
            <v>300</v>
          </cell>
          <cell r="U98">
            <v>9</v>
          </cell>
          <cell r="X98">
            <v>36832.61</v>
          </cell>
          <cell r="Y98">
            <v>11499.8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-15000</v>
          </cell>
          <cell r="AG98">
            <v>-6185.019</v>
          </cell>
          <cell r="AH98">
            <v>0</v>
          </cell>
          <cell r="AI98">
            <v>0</v>
          </cell>
          <cell r="AK98">
            <v>4500.01</v>
          </cell>
        </row>
        <row r="99">
          <cell r="F99">
            <v>4124</v>
          </cell>
          <cell r="G99">
            <v>3924</v>
          </cell>
          <cell r="H99">
            <v>805.2</v>
          </cell>
          <cell r="I99">
            <v>796.5</v>
          </cell>
          <cell r="J99">
            <v>694.3</v>
          </cell>
          <cell r="K99">
            <v>668.4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100</v>
          </cell>
          <cell r="S99">
            <v>100</v>
          </cell>
          <cell r="T99">
            <v>0</v>
          </cell>
          <cell r="U99">
            <v>0</v>
          </cell>
          <cell r="X99">
            <v>800</v>
          </cell>
          <cell r="Y99">
            <v>120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-500</v>
          </cell>
          <cell r="AG99">
            <v>0</v>
          </cell>
          <cell r="AH99">
            <v>0</v>
          </cell>
          <cell r="AI99">
            <v>0</v>
          </cell>
          <cell r="AK99">
            <v>300</v>
          </cell>
        </row>
        <row r="100">
          <cell r="F100">
            <v>2940</v>
          </cell>
          <cell r="G100">
            <v>2933.82</v>
          </cell>
          <cell r="H100">
            <v>748</v>
          </cell>
          <cell r="I100">
            <v>748</v>
          </cell>
          <cell r="J100">
            <v>869.8</v>
          </cell>
          <cell r="K100">
            <v>729.95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284.3</v>
          </cell>
          <cell r="S100">
            <v>284</v>
          </cell>
          <cell r="T100">
            <v>180</v>
          </cell>
          <cell r="U100">
            <v>180</v>
          </cell>
          <cell r="X100">
            <v>297.6</v>
          </cell>
          <cell r="Y100">
            <v>177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297.6</v>
          </cell>
        </row>
        <row r="101">
          <cell r="F101">
            <v>2635</v>
          </cell>
          <cell r="G101">
            <v>2274.919</v>
          </cell>
          <cell r="H101">
            <v>1217</v>
          </cell>
          <cell r="I101">
            <v>995.581</v>
          </cell>
          <cell r="J101">
            <v>1190</v>
          </cell>
          <cell r="K101">
            <v>149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X101">
            <v>850.2</v>
          </cell>
          <cell r="Y101">
            <v>200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K101">
            <v>850</v>
          </cell>
        </row>
        <row r="102">
          <cell r="F102">
            <v>3540.1</v>
          </cell>
          <cell r="G102">
            <v>3540</v>
          </cell>
          <cell r="H102">
            <v>885</v>
          </cell>
          <cell r="I102">
            <v>884.5</v>
          </cell>
          <cell r="J102">
            <v>1100</v>
          </cell>
          <cell r="K102">
            <v>797.78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57</v>
          </cell>
          <cell r="U102">
            <v>34</v>
          </cell>
          <cell r="X102">
            <v>1782.8</v>
          </cell>
          <cell r="Y102">
            <v>1782.759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K102">
            <v>300</v>
          </cell>
        </row>
        <row r="103">
          <cell r="F103">
            <v>8631.8</v>
          </cell>
          <cell r="G103">
            <v>8494.964</v>
          </cell>
          <cell r="H103">
            <v>1862.4</v>
          </cell>
          <cell r="I103">
            <v>1823.438</v>
          </cell>
          <cell r="J103">
            <v>772.1</v>
          </cell>
          <cell r="K103">
            <v>769.12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970</v>
          </cell>
          <cell r="Q103">
            <v>937.886</v>
          </cell>
          <cell r="R103">
            <v>275</v>
          </cell>
          <cell r="S103">
            <v>275</v>
          </cell>
          <cell r="T103">
            <v>0</v>
          </cell>
          <cell r="U103">
            <v>0</v>
          </cell>
          <cell r="X103">
            <v>644</v>
          </cell>
          <cell r="Y103">
            <v>644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K103">
            <v>644</v>
          </cell>
        </row>
        <row r="104">
          <cell r="F104">
            <v>6570</v>
          </cell>
          <cell r="G104">
            <v>6289.502</v>
          </cell>
          <cell r="H104">
            <v>1532</v>
          </cell>
          <cell r="I104">
            <v>1477.492</v>
          </cell>
          <cell r="J104">
            <v>2533.8</v>
          </cell>
          <cell r="K104">
            <v>2433.74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450.2</v>
          </cell>
          <cell r="S104">
            <v>450</v>
          </cell>
          <cell r="T104">
            <v>201.9</v>
          </cell>
          <cell r="U104">
            <v>201.9</v>
          </cell>
          <cell r="X104">
            <v>1981.2</v>
          </cell>
          <cell r="Y104">
            <v>1399.71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1980</v>
          </cell>
        </row>
        <row r="105">
          <cell r="F105">
            <v>8007</v>
          </cell>
          <cell r="G105">
            <v>8007</v>
          </cell>
          <cell r="H105">
            <v>1814</v>
          </cell>
          <cell r="I105">
            <v>1730.731</v>
          </cell>
          <cell r="J105">
            <v>3215.5</v>
          </cell>
          <cell r="K105">
            <v>3013.3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541</v>
          </cell>
          <cell r="Q105">
            <v>541</v>
          </cell>
          <cell r="R105">
            <v>200</v>
          </cell>
          <cell r="S105">
            <v>170</v>
          </cell>
          <cell r="T105">
            <v>100</v>
          </cell>
          <cell r="U105">
            <v>0</v>
          </cell>
          <cell r="X105">
            <v>3343.8</v>
          </cell>
          <cell r="Y105">
            <v>1666.7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-1839.6</v>
          </cell>
          <cell r="AH105">
            <v>0</v>
          </cell>
          <cell r="AI105">
            <v>0</v>
          </cell>
          <cell r="AK105">
            <v>1753.7</v>
          </cell>
        </row>
        <row r="106">
          <cell r="F106">
            <v>5167.6</v>
          </cell>
          <cell r="G106">
            <v>5113.601</v>
          </cell>
          <cell r="H106">
            <v>1358.1</v>
          </cell>
          <cell r="I106">
            <v>1122.238</v>
          </cell>
          <cell r="J106">
            <v>1161.6</v>
          </cell>
          <cell r="K106">
            <v>877.6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189</v>
          </cell>
          <cell r="Q106">
            <v>189</v>
          </cell>
          <cell r="R106">
            <v>65</v>
          </cell>
          <cell r="S106">
            <v>65</v>
          </cell>
          <cell r="T106">
            <v>35.1</v>
          </cell>
          <cell r="U106">
            <v>24.1</v>
          </cell>
          <cell r="X106">
            <v>1400</v>
          </cell>
          <cell r="Y106">
            <v>900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-112.9</v>
          </cell>
          <cell r="AH106">
            <v>0</v>
          </cell>
          <cell r="AI106">
            <v>0</v>
          </cell>
          <cell r="AK106">
            <v>1400</v>
          </cell>
        </row>
        <row r="107">
          <cell r="F107">
            <v>4995.3</v>
          </cell>
          <cell r="G107">
            <v>4803.902</v>
          </cell>
          <cell r="H107">
            <v>948</v>
          </cell>
          <cell r="I107">
            <v>948</v>
          </cell>
          <cell r="J107">
            <v>505</v>
          </cell>
          <cell r="K107">
            <v>409.8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X107">
            <v>717.7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-317.7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400</v>
          </cell>
        </row>
        <row r="108">
          <cell r="F108">
            <v>2176.8</v>
          </cell>
          <cell r="G108">
            <v>2176.692</v>
          </cell>
          <cell r="H108">
            <v>618.5</v>
          </cell>
          <cell r="I108">
            <v>618.475</v>
          </cell>
          <cell r="J108">
            <v>340</v>
          </cell>
          <cell r="K108">
            <v>340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455.3</v>
          </cell>
          <cell r="S108">
            <v>455.3</v>
          </cell>
          <cell r="T108">
            <v>30.01</v>
          </cell>
          <cell r="U108">
            <v>30</v>
          </cell>
          <cell r="X108">
            <v>707.9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-200</v>
          </cell>
          <cell r="AG108">
            <v>0</v>
          </cell>
          <cell r="AH108">
            <v>0</v>
          </cell>
          <cell r="AI108">
            <v>0</v>
          </cell>
          <cell r="AK108">
            <v>500</v>
          </cell>
        </row>
        <row r="109">
          <cell r="F109">
            <v>5446.3</v>
          </cell>
          <cell r="G109">
            <v>4884.467</v>
          </cell>
          <cell r="H109">
            <v>1382</v>
          </cell>
          <cell r="I109">
            <v>1381.92</v>
          </cell>
          <cell r="J109">
            <v>932</v>
          </cell>
          <cell r="K109">
            <v>114.4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X109">
            <v>5402.1</v>
          </cell>
          <cell r="Y109">
            <v>1630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-5000</v>
          </cell>
          <cell r="AG109">
            <v>-1657</v>
          </cell>
          <cell r="AH109">
            <v>0</v>
          </cell>
          <cell r="AI109">
            <v>0</v>
          </cell>
          <cell r="AK109">
            <v>400</v>
          </cell>
        </row>
        <row r="110">
          <cell r="F110">
            <v>4705</v>
          </cell>
          <cell r="G110">
            <v>4705</v>
          </cell>
          <cell r="H110">
            <v>1065.8</v>
          </cell>
          <cell r="I110">
            <v>1065.8</v>
          </cell>
          <cell r="J110">
            <v>959.7</v>
          </cell>
          <cell r="K110">
            <v>644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170</v>
          </cell>
          <cell r="S110">
            <v>80</v>
          </cell>
          <cell r="T110">
            <v>114.2</v>
          </cell>
          <cell r="U110">
            <v>70</v>
          </cell>
          <cell r="X110">
            <v>2097.7</v>
          </cell>
          <cell r="Y110">
            <v>767.3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K110">
            <v>550</v>
          </cell>
        </row>
        <row r="111">
          <cell r="F111">
            <v>11179</v>
          </cell>
          <cell r="G111">
            <v>9872.787</v>
          </cell>
          <cell r="H111">
            <v>2500</v>
          </cell>
          <cell r="I111">
            <v>2071.277</v>
          </cell>
          <cell r="J111">
            <v>2640.02</v>
          </cell>
          <cell r="K111">
            <v>2284.386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2600.01</v>
          </cell>
          <cell r="S111">
            <v>2600</v>
          </cell>
          <cell r="T111">
            <v>263</v>
          </cell>
          <cell r="U111">
            <v>188.4</v>
          </cell>
          <cell r="X111">
            <v>7317.3001</v>
          </cell>
          <cell r="Y111">
            <v>5886.309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-1259.312</v>
          </cell>
          <cell r="AH111">
            <v>0</v>
          </cell>
          <cell r="AI111">
            <v>0</v>
          </cell>
          <cell r="AK111">
            <v>3600</v>
          </cell>
        </row>
        <row r="112">
          <cell r="F112">
            <v>19933.8</v>
          </cell>
          <cell r="G112">
            <v>19928.028</v>
          </cell>
          <cell r="H112">
            <v>3860.9</v>
          </cell>
          <cell r="I112">
            <v>3735.304</v>
          </cell>
          <cell r="J112">
            <v>17830.1</v>
          </cell>
          <cell r="K112">
            <v>15345.8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850</v>
          </cell>
          <cell r="S112">
            <v>850</v>
          </cell>
          <cell r="T112">
            <v>0</v>
          </cell>
          <cell r="U112">
            <v>0</v>
          </cell>
          <cell r="X112">
            <v>16150</v>
          </cell>
          <cell r="Y112">
            <v>16149.65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-1181.36</v>
          </cell>
          <cell r="AH112">
            <v>0</v>
          </cell>
          <cell r="AI112">
            <v>0</v>
          </cell>
          <cell r="AK112">
            <v>7939.4</v>
          </cell>
        </row>
        <row r="113">
          <cell r="F113">
            <v>14390</v>
          </cell>
          <cell r="G113">
            <v>13654.713</v>
          </cell>
          <cell r="H113">
            <v>2680.8</v>
          </cell>
          <cell r="I113">
            <v>2515.979</v>
          </cell>
          <cell r="J113">
            <v>8350</v>
          </cell>
          <cell r="K113">
            <v>3108.64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5887.5</v>
          </cell>
          <cell r="S113">
            <v>3905</v>
          </cell>
          <cell r="T113">
            <v>200</v>
          </cell>
          <cell r="U113">
            <v>0</v>
          </cell>
          <cell r="X113">
            <v>77074.51</v>
          </cell>
          <cell r="Y113">
            <v>38231.99</v>
          </cell>
          <cell r="Z113">
            <v>0</v>
          </cell>
          <cell r="AA113">
            <v>0</v>
          </cell>
          <cell r="AB113">
            <v>14000.01</v>
          </cell>
          <cell r="AC113">
            <v>14000</v>
          </cell>
          <cell r="AD113">
            <v>-59200</v>
          </cell>
          <cell r="AE113">
            <v>0</v>
          </cell>
          <cell r="AF113">
            <v>-20000</v>
          </cell>
          <cell r="AG113">
            <v>-67249.1</v>
          </cell>
          <cell r="AH113">
            <v>0</v>
          </cell>
          <cell r="AI113">
            <v>0</v>
          </cell>
          <cell r="AK113">
            <v>3620</v>
          </cell>
        </row>
        <row r="114">
          <cell r="F114">
            <v>21719.8</v>
          </cell>
          <cell r="G114">
            <v>21549.942</v>
          </cell>
          <cell r="H114">
            <v>4294.7</v>
          </cell>
          <cell r="I114">
            <v>4282.567</v>
          </cell>
          <cell r="J114">
            <v>7830</v>
          </cell>
          <cell r="K114">
            <v>7828.55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1180</v>
          </cell>
          <cell r="S114">
            <v>1180</v>
          </cell>
          <cell r="T114">
            <v>7</v>
          </cell>
          <cell r="U114">
            <v>7</v>
          </cell>
          <cell r="X114">
            <v>11251.4</v>
          </cell>
          <cell r="Y114">
            <v>10420.763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-1000</v>
          </cell>
          <cell r="AG114">
            <v>-345.078</v>
          </cell>
          <cell r="AH114">
            <v>0</v>
          </cell>
          <cell r="AI114">
            <v>0</v>
          </cell>
          <cell r="AK114">
            <v>6714.8</v>
          </cell>
        </row>
        <row r="115">
          <cell r="F115">
            <v>15554.51</v>
          </cell>
          <cell r="G115">
            <v>14967.621</v>
          </cell>
          <cell r="H115">
            <v>3160.11</v>
          </cell>
          <cell r="I115">
            <v>3058.47</v>
          </cell>
          <cell r="J115">
            <v>6650.01</v>
          </cell>
          <cell r="K115">
            <v>3890.9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24</v>
          </cell>
          <cell r="Q115">
            <v>0</v>
          </cell>
          <cell r="R115">
            <v>2320</v>
          </cell>
          <cell r="S115">
            <v>2320</v>
          </cell>
          <cell r="T115">
            <v>1500.01</v>
          </cell>
          <cell r="U115">
            <v>1407.35</v>
          </cell>
          <cell r="X115">
            <v>17194</v>
          </cell>
          <cell r="Y115">
            <v>8357.864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-8344</v>
          </cell>
          <cell r="AG115">
            <v>-1310.4</v>
          </cell>
          <cell r="AH115">
            <v>0</v>
          </cell>
          <cell r="AI115">
            <v>0</v>
          </cell>
          <cell r="AK115">
            <v>8808.3</v>
          </cell>
        </row>
        <row r="116">
          <cell r="F116">
            <v>18841</v>
          </cell>
          <cell r="G116">
            <v>18184.654</v>
          </cell>
          <cell r="H116">
            <v>4791.2</v>
          </cell>
          <cell r="I116">
            <v>3573.433</v>
          </cell>
          <cell r="J116">
            <v>50333.25</v>
          </cell>
          <cell r="K116">
            <v>41514.63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8093.0202</v>
          </cell>
          <cell r="Q116">
            <v>7640</v>
          </cell>
          <cell r="R116">
            <v>800</v>
          </cell>
          <cell r="S116">
            <v>800</v>
          </cell>
          <cell r="T116">
            <v>280</v>
          </cell>
          <cell r="U116">
            <v>10</v>
          </cell>
          <cell r="X116">
            <v>30050.0301</v>
          </cell>
          <cell r="Y116">
            <v>11401.869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-8638.9</v>
          </cell>
          <cell r="AE116">
            <v>0</v>
          </cell>
          <cell r="AF116">
            <v>0</v>
          </cell>
          <cell r="AG116">
            <v>-3594.3</v>
          </cell>
          <cell r="AH116">
            <v>0</v>
          </cell>
          <cell r="AI116">
            <v>0</v>
          </cell>
          <cell r="AK116">
            <v>7000</v>
          </cell>
        </row>
        <row r="117">
          <cell r="F117">
            <v>6980</v>
          </cell>
          <cell r="G117">
            <v>6978.656</v>
          </cell>
          <cell r="H117">
            <v>1340</v>
          </cell>
          <cell r="I117">
            <v>1328.034</v>
          </cell>
          <cell r="J117">
            <v>1505.1</v>
          </cell>
          <cell r="K117">
            <v>1138.1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650.01</v>
          </cell>
          <cell r="S117">
            <v>355</v>
          </cell>
          <cell r="T117">
            <v>153.5</v>
          </cell>
          <cell r="U117">
            <v>44</v>
          </cell>
          <cell r="X117">
            <v>6443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K117">
            <v>1400</v>
          </cell>
        </row>
        <row r="118">
          <cell r="F118">
            <v>2592</v>
          </cell>
          <cell r="G118">
            <v>2592</v>
          </cell>
          <cell r="H118">
            <v>580.8</v>
          </cell>
          <cell r="I118">
            <v>580.8</v>
          </cell>
          <cell r="J118">
            <v>1032.2</v>
          </cell>
          <cell r="K118">
            <v>593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300</v>
          </cell>
          <cell r="S118">
            <v>291</v>
          </cell>
          <cell r="T118">
            <v>20</v>
          </cell>
          <cell r="U118">
            <v>20</v>
          </cell>
          <cell r="X118">
            <v>1283.2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K11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xser t. d."/>
      <sheetName val="GORC C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S26"/>
  <sheetViews>
    <sheetView zoomScalePageLayoutView="0" workbookViewId="0" topLeftCell="B4">
      <pane xSplit="2" ySplit="8" topLeftCell="D12" activePane="bottomRight" state="frozen"/>
      <selection pane="topLeft" activeCell="B4" sqref="B4"/>
      <selection pane="topRight" activeCell="D4" sqref="D4"/>
      <selection pane="bottomLeft" activeCell="B12" sqref="B12"/>
      <selection pane="bottomRight" activeCell="D6" sqref="D6:Q7"/>
    </sheetView>
  </sheetViews>
  <sheetFormatPr defaultColWidth="8.796875" defaultRowHeight="15"/>
  <cols>
    <col min="1" max="1" width="0.8984375" style="1" hidden="1" customWidth="1"/>
    <col min="2" max="2" width="3.69921875" style="1" customWidth="1"/>
    <col min="3" max="3" width="15" style="1" customWidth="1"/>
    <col min="4" max="4" width="10.69921875" style="1" customWidth="1"/>
    <col min="5" max="5" width="9.5" style="1" customWidth="1"/>
    <col min="6" max="7" width="11" style="1" customWidth="1"/>
    <col min="8" max="8" width="10.8984375" style="1" customWidth="1"/>
    <col min="9" max="9" width="13.3984375" style="1" customWidth="1"/>
    <col min="10" max="11" width="11.8984375" style="1" hidden="1" customWidth="1"/>
    <col min="12" max="12" width="11.69921875" style="1" customWidth="1"/>
    <col min="13" max="13" width="10.09765625" style="1" customWidth="1"/>
    <col min="14" max="14" width="12.09765625" style="1" customWidth="1"/>
    <col min="15" max="15" width="13.3984375" style="1" customWidth="1"/>
    <col min="16" max="17" width="11.09765625" style="1" hidden="1" customWidth="1"/>
    <col min="18" max="18" width="9.3984375" style="1" customWidth="1"/>
    <col min="19" max="19" width="10" style="1" customWidth="1"/>
    <col min="20" max="20" width="8.59765625" style="1" customWidth="1"/>
    <col min="21" max="21" width="10.69921875" style="1" customWidth="1"/>
    <col min="22" max="22" width="9.8984375" style="1" hidden="1" customWidth="1"/>
    <col min="23" max="23" width="8.69921875" style="1" hidden="1" customWidth="1"/>
    <col min="24" max="24" width="7.19921875" style="1" customWidth="1"/>
    <col min="25" max="25" width="7.69921875" style="1" customWidth="1"/>
    <col min="26" max="26" width="6.3984375" style="1" customWidth="1"/>
    <col min="27" max="27" width="6.5" style="1" customWidth="1"/>
    <col min="28" max="28" width="6.69921875" style="1" customWidth="1"/>
    <col min="29" max="29" width="7.69921875" style="1" customWidth="1"/>
    <col min="30" max="30" width="5.8984375" style="1" customWidth="1"/>
    <col min="31" max="31" width="5.59765625" style="1" customWidth="1"/>
    <col min="32" max="32" width="9.09765625" style="1" customWidth="1"/>
    <col min="33" max="33" width="8.69921875" style="1" customWidth="1"/>
    <col min="34" max="34" width="9.8984375" style="1" customWidth="1"/>
    <col min="35" max="35" width="9.5" style="1" customWidth="1"/>
    <col min="36" max="37" width="10.69921875" style="54" customWidth="1"/>
    <col min="38" max="38" width="10.8984375" style="54" customWidth="1"/>
    <col min="39" max="39" width="13" style="54" customWidth="1"/>
    <col min="40" max="41" width="10.5" style="54" hidden="1" customWidth="1"/>
    <col min="42" max="42" width="11.3984375" style="1" customWidth="1"/>
    <col min="43" max="43" width="10.8984375" style="1" customWidth="1"/>
    <col min="44" max="44" width="11" style="1" customWidth="1"/>
    <col min="45" max="45" width="9.3984375" style="1" customWidth="1"/>
    <col min="46" max="46" width="9.59765625" style="1" customWidth="1"/>
    <col min="47" max="47" width="11" style="1" customWidth="1"/>
    <col min="48" max="48" width="11.19921875" style="1" customWidth="1"/>
    <col min="49" max="49" width="11.5" style="1" customWidth="1"/>
    <col min="50" max="50" width="11.69921875" style="1" customWidth="1"/>
    <col min="51" max="51" width="10.09765625" style="1" customWidth="1"/>
    <col min="52" max="53" width="8.69921875" style="1" hidden="1" customWidth="1"/>
    <col min="54" max="54" width="7.19921875" style="1" customWidth="1"/>
    <col min="55" max="55" width="8.69921875" style="1" customWidth="1"/>
    <col min="56" max="56" width="10.09765625" style="1" customWidth="1"/>
    <col min="57" max="57" width="9.3984375" style="1" customWidth="1"/>
    <col min="58" max="58" width="12.19921875" style="1" customWidth="1"/>
    <col min="59" max="59" width="11.59765625" style="1" customWidth="1"/>
    <col min="60" max="60" width="11.8984375" style="1" customWidth="1"/>
    <col min="61" max="61" width="10.5" style="1" customWidth="1"/>
    <col min="62" max="62" width="14.8984375" style="1" customWidth="1"/>
    <col min="63" max="63" width="12" style="1" customWidth="1"/>
    <col min="64" max="64" width="12.09765625" style="1" customWidth="1"/>
    <col min="65" max="65" width="9.3984375" style="1" customWidth="1"/>
    <col min="66" max="66" width="10.3984375" style="1" customWidth="1"/>
    <col min="67" max="67" width="10" style="1" customWidth="1"/>
    <col min="68" max="68" width="8.09765625" style="1" customWidth="1"/>
    <col min="69" max="69" width="8.69921875" style="1" customWidth="1"/>
    <col min="70" max="70" width="12" style="1" customWidth="1"/>
    <col min="71" max="71" width="11.59765625" style="1" customWidth="1"/>
    <col min="72" max="72" width="10" style="1" customWidth="1"/>
    <col min="73" max="73" width="8.09765625" style="1" customWidth="1"/>
    <col min="74" max="74" width="12.09765625" style="1" customWidth="1"/>
    <col min="75" max="75" width="10.5" style="1" customWidth="1"/>
    <col min="76" max="16384" width="9" style="1" customWidth="1"/>
  </cols>
  <sheetData>
    <row r="1" ht="13.5" customHeight="1"/>
    <row r="2" spans="2:73" ht="16.5" customHeight="1">
      <c r="B2" s="329" t="s">
        <v>40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1"/>
      <c r="S2" s="31"/>
      <c r="T2" s="31"/>
      <c r="U2" s="31"/>
      <c r="V2" s="31"/>
      <c r="W2" s="31"/>
      <c r="X2" s="31"/>
      <c r="Y2" s="31"/>
      <c r="Z2" s="31"/>
      <c r="AA2" s="31"/>
      <c r="AB2" s="10"/>
      <c r="AC2" s="10"/>
      <c r="AD2" s="10"/>
      <c r="AE2" s="10"/>
      <c r="AF2" s="10"/>
      <c r="AG2" s="10"/>
      <c r="AH2" s="10"/>
      <c r="AI2" s="10"/>
      <c r="AJ2" s="51"/>
      <c r="AK2" s="51"/>
      <c r="AL2" s="51"/>
      <c r="AM2" s="51"/>
      <c r="AN2" s="51"/>
      <c r="AO2" s="5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2:73" ht="23.25" customHeight="1">
      <c r="B3" s="329" t="s">
        <v>41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1"/>
      <c r="S3" s="31"/>
      <c r="T3" s="31"/>
      <c r="U3" s="31"/>
      <c r="V3" s="31"/>
      <c r="W3" s="31"/>
      <c r="X3" s="31"/>
      <c r="Y3" s="31"/>
      <c r="Z3" s="31"/>
      <c r="AA3" s="31"/>
      <c r="AB3" s="10"/>
      <c r="AC3" s="10"/>
      <c r="AD3" s="10"/>
      <c r="AE3" s="10"/>
      <c r="AF3" s="10"/>
      <c r="AG3" s="10"/>
      <c r="AH3" s="10"/>
      <c r="AI3" s="10"/>
      <c r="AJ3" s="51"/>
      <c r="AK3" s="51"/>
      <c r="AL3" s="51"/>
      <c r="AM3" s="51"/>
      <c r="AN3" s="51"/>
      <c r="AO3" s="51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</row>
    <row r="4" spans="2:73" ht="30" customHeight="1">
      <c r="B4" s="330" t="s">
        <v>73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52"/>
      <c r="AK4" s="52"/>
      <c r="AL4" s="52"/>
      <c r="AM4" s="52"/>
      <c r="AN4" s="52"/>
      <c r="AO4" s="5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18"/>
      <c r="BO4" s="18"/>
      <c r="BP4" s="18"/>
      <c r="BQ4" s="18"/>
      <c r="BR4" s="18"/>
      <c r="BS4" s="18"/>
      <c r="BT4" s="18"/>
      <c r="BU4" s="18"/>
    </row>
    <row r="5" spans="3:65" ht="15.75" customHeight="1">
      <c r="C5" s="19"/>
      <c r="D5" s="41"/>
      <c r="E5" s="41"/>
      <c r="F5" s="41"/>
      <c r="G5" s="41"/>
      <c r="H5" s="20"/>
      <c r="I5" s="21"/>
      <c r="J5" s="21"/>
      <c r="K5" s="21"/>
      <c r="L5" s="22"/>
      <c r="M5" s="38"/>
      <c r="N5" s="43"/>
      <c r="O5" s="363" t="s">
        <v>19</v>
      </c>
      <c r="P5" s="363"/>
      <c r="Q5" s="363"/>
      <c r="R5" s="30"/>
      <c r="S5" s="28"/>
      <c r="U5" s="35"/>
      <c r="V5" s="35"/>
      <c r="W5" s="35"/>
      <c r="X5" s="28"/>
      <c r="Y5" s="28"/>
      <c r="Z5" s="353"/>
      <c r="AA5" s="353"/>
      <c r="AB5" s="28"/>
      <c r="AC5" s="28"/>
      <c r="AD5" s="353"/>
      <c r="AE5" s="353"/>
      <c r="AF5" s="28"/>
      <c r="AG5" s="28"/>
      <c r="AH5" s="28"/>
      <c r="AI5" s="28"/>
      <c r="AJ5" s="53"/>
      <c r="AK5" s="53"/>
      <c r="AL5" s="53"/>
      <c r="AM5" s="53"/>
      <c r="AN5" s="53"/>
      <c r="AO5" s="53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2:75" ht="16.5" customHeight="1">
      <c r="B6" s="349" t="s">
        <v>2</v>
      </c>
      <c r="C6" s="350" t="s">
        <v>38</v>
      </c>
      <c r="D6" s="354" t="s">
        <v>56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  <c r="R6" s="331" t="s">
        <v>42</v>
      </c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64" t="s">
        <v>72</v>
      </c>
      <c r="BW6" s="365"/>
    </row>
    <row r="7" spans="2:75" ht="76.5" customHeight="1">
      <c r="B7" s="349"/>
      <c r="C7" s="351"/>
      <c r="D7" s="357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9"/>
      <c r="R7" s="360" t="s">
        <v>64</v>
      </c>
      <c r="S7" s="361"/>
      <c r="T7" s="361"/>
      <c r="U7" s="361"/>
      <c r="V7" s="361"/>
      <c r="W7" s="362"/>
      <c r="X7" s="339" t="s">
        <v>43</v>
      </c>
      <c r="Y7" s="339"/>
      <c r="Z7" s="339"/>
      <c r="AA7" s="339"/>
      <c r="AB7" s="370" t="s">
        <v>71</v>
      </c>
      <c r="AC7" s="370"/>
      <c r="AD7" s="370"/>
      <c r="AE7" s="370"/>
      <c r="AF7" s="339" t="s">
        <v>67</v>
      </c>
      <c r="AG7" s="339"/>
      <c r="AH7" s="339"/>
      <c r="AI7" s="339"/>
      <c r="AJ7" s="371" t="s">
        <v>65</v>
      </c>
      <c r="AK7" s="372"/>
      <c r="AL7" s="372"/>
      <c r="AM7" s="372"/>
      <c r="AN7" s="70"/>
      <c r="AO7" s="70"/>
      <c r="AP7" s="360" t="s">
        <v>63</v>
      </c>
      <c r="AQ7" s="361"/>
      <c r="AR7" s="361"/>
      <c r="AS7" s="361"/>
      <c r="AT7" s="361"/>
      <c r="AU7" s="362"/>
      <c r="AV7" s="339" t="s">
        <v>82</v>
      </c>
      <c r="AW7" s="339"/>
      <c r="AX7" s="339"/>
      <c r="AY7" s="339"/>
      <c r="AZ7" s="49"/>
      <c r="BA7" s="49"/>
      <c r="BB7" s="339" t="s">
        <v>44</v>
      </c>
      <c r="BC7" s="339"/>
      <c r="BD7" s="339"/>
      <c r="BE7" s="339"/>
      <c r="BF7" s="339" t="s">
        <v>55</v>
      </c>
      <c r="BG7" s="339"/>
      <c r="BH7" s="339"/>
      <c r="BI7" s="339"/>
      <c r="BJ7" s="337" t="s">
        <v>66</v>
      </c>
      <c r="BK7" s="337"/>
      <c r="BL7" s="337"/>
      <c r="BM7" s="337"/>
      <c r="BN7" s="337" t="s">
        <v>45</v>
      </c>
      <c r="BO7" s="337"/>
      <c r="BP7" s="337"/>
      <c r="BQ7" s="337"/>
      <c r="BR7" s="337" t="s">
        <v>46</v>
      </c>
      <c r="BS7" s="337"/>
      <c r="BT7" s="337"/>
      <c r="BU7" s="337"/>
      <c r="BV7" s="366"/>
      <c r="BW7" s="367"/>
    </row>
    <row r="8" spans="2:75" ht="30" customHeight="1">
      <c r="B8" s="349"/>
      <c r="C8" s="351"/>
      <c r="D8" s="331" t="s">
        <v>53</v>
      </c>
      <c r="E8" s="331"/>
      <c r="F8" s="347" t="s">
        <v>57</v>
      </c>
      <c r="G8" s="347"/>
      <c r="H8" s="347" t="s">
        <v>47</v>
      </c>
      <c r="I8" s="347"/>
      <c r="J8" s="62"/>
      <c r="K8" s="62"/>
      <c r="L8" s="347" t="s">
        <v>4</v>
      </c>
      <c r="M8" s="347"/>
      <c r="N8" s="347" t="s">
        <v>60</v>
      </c>
      <c r="O8" s="347"/>
      <c r="P8" s="44"/>
      <c r="Q8" s="44" t="s">
        <v>59</v>
      </c>
      <c r="R8" s="331" t="s">
        <v>48</v>
      </c>
      <c r="S8" s="331"/>
      <c r="T8" s="331" t="s">
        <v>49</v>
      </c>
      <c r="U8" s="331"/>
      <c r="V8" s="45" t="s">
        <v>59</v>
      </c>
      <c r="W8" s="45" t="s">
        <v>59</v>
      </c>
      <c r="X8" s="331" t="s">
        <v>48</v>
      </c>
      <c r="Y8" s="331"/>
      <c r="Z8" s="347" t="s">
        <v>49</v>
      </c>
      <c r="AA8" s="347"/>
      <c r="AB8" s="331" t="s">
        <v>48</v>
      </c>
      <c r="AC8" s="331"/>
      <c r="AD8" s="331" t="s">
        <v>49</v>
      </c>
      <c r="AE8" s="331"/>
      <c r="AF8" s="331" t="s">
        <v>48</v>
      </c>
      <c r="AG8" s="331"/>
      <c r="AH8" s="331" t="s">
        <v>49</v>
      </c>
      <c r="AI8" s="331"/>
      <c r="AJ8" s="331" t="s">
        <v>81</v>
      </c>
      <c r="AK8" s="331"/>
      <c r="AL8" s="368" t="s">
        <v>49</v>
      </c>
      <c r="AM8" s="369"/>
      <c r="AN8" s="69"/>
      <c r="AO8" s="69"/>
      <c r="AP8" s="331" t="s">
        <v>48</v>
      </c>
      <c r="AQ8" s="331"/>
      <c r="AR8" s="331" t="s">
        <v>52</v>
      </c>
      <c r="AS8" s="331"/>
      <c r="AT8" s="44"/>
      <c r="AU8" s="44" t="s">
        <v>59</v>
      </c>
      <c r="AV8" s="331" t="s">
        <v>48</v>
      </c>
      <c r="AW8" s="331"/>
      <c r="AX8" s="331" t="s">
        <v>49</v>
      </c>
      <c r="AY8" s="331"/>
      <c r="AZ8" s="44"/>
      <c r="BA8" s="44"/>
      <c r="BB8" s="331" t="s">
        <v>48</v>
      </c>
      <c r="BC8" s="331"/>
      <c r="BD8" s="331" t="s">
        <v>49</v>
      </c>
      <c r="BE8" s="331"/>
      <c r="BF8" s="331" t="s">
        <v>48</v>
      </c>
      <c r="BG8" s="331"/>
      <c r="BH8" s="331" t="s">
        <v>49</v>
      </c>
      <c r="BI8" s="331"/>
      <c r="BJ8" s="331" t="s">
        <v>48</v>
      </c>
      <c r="BK8" s="331"/>
      <c r="BL8" s="331" t="s">
        <v>49</v>
      </c>
      <c r="BM8" s="331"/>
      <c r="BN8" s="331" t="s">
        <v>48</v>
      </c>
      <c r="BO8" s="331"/>
      <c r="BP8" s="331" t="s">
        <v>49</v>
      </c>
      <c r="BQ8" s="331"/>
      <c r="BR8" s="331" t="s">
        <v>48</v>
      </c>
      <c r="BS8" s="331"/>
      <c r="BT8" s="331" t="s">
        <v>49</v>
      </c>
      <c r="BU8" s="331"/>
      <c r="BV8" s="331" t="s">
        <v>49</v>
      </c>
      <c r="BW8" s="331"/>
    </row>
    <row r="9" spans="2:227" s="29" customFormat="1" ht="23.25" customHeight="1">
      <c r="B9" s="349"/>
      <c r="C9" s="351"/>
      <c r="D9" s="332" t="s">
        <v>83</v>
      </c>
      <c r="E9" s="332" t="s">
        <v>75</v>
      </c>
      <c r="F9" s="347"/>
      <c r="G9" s="347"/>
      <c r="H9" s="346" t="s">
        <v>50</v>
      </c>
      <c r="I9" s="332" t="s">
        <v>75</v>
      </c>
      <c r="J9" s="63"/>
      <c r="K9" s="63"/>
      <c r="L9" s="342" t="s">
        <v>70</v>
      </c>
      <c r="M9" s="332" t="s">
        <v>75</v>
      </c>
      <c r="N9" s="347"/>
      <c r="O9" s="347"/>
      <c r="P9" s="44"/>
      <c r="Q9" s="338" t="s">
        <v>61</v>
      </c>
      <c r="R9" s="336" t="s">
        <v>50</v>
      </c>
      <c r="S9" s="332" t="s">
        <v>75</v>
      </c>
      <c r="T9" s="335" t="s">
        <v>50</v>
      </c>
      <c r="U9" s="332" t="s">
        <v>75</v>
      </c>
      <c r="V9" s="333" t="s">
        <v>62</v>
      </c>
      <c r="W9" s="340" t="s">
        <v>61</v>
      </c>
      <c r="X9" s="336" t="s">
        <v>50</v>
      </c>
      <c r="Y9" s="332" t="s">
        <v>75</v>
      </c>
      <c r="Z9" s="335" t="s">
        <v>50</v>
      </c>
      <c r="AA9" s="332" t="s">
        <v>75</v>
      </c>
      <c r="AB9" s="336" t="s">
        <v>50</v>
      </c>
      <c r="AC9" s="332" t="s">
        <v>75</v>
      </c>
      <c r="AD9" s="335" t="s">
        <v>50</v>
      </c>
      <c r="AE9" s="332" t="s">
        <v>76</v>
      </c>
      <c r="AF9" s="336" t="s">
        <v>50</v>
      </c>
      <c r="AG9" s="332" t="s">
        <v>75</v>
      </c>
      <c r="AH9" s="335" t="s">
        <v>50</v>
      </c>
      <c r="AI9" s="332" t="s">
        <v>75</v>
      </c>
      <c r="AJ9" s="348" t="s">
        <v>50</v>
      </c>
      <c r="AK9" s="348" t="s">
        <v>51</v>
      </c>
      <c r="AL9" s="348" t="s">
        <v>50</v>
      </c>
      <c r="AM9" s="348" t="s">
        <v>51</v>
      </c>
      <c r="AN9" s="71"/>
      <c r="AO9" s="71"/>
      <c r="AP9" s="346" t="s">
        <v>50</v>
      </c>
      <c r="AQ9" s="332" t="s">
        <v>75</v>
      </c>
      <c r="AR9" s="335" t="s">
        <v>50</v>
      </c>
      <c r="AS9" s="332" t="s">
        <v>75</v>
      </c>
      <c r="AT9" s="333" t="s">
        <v>58</v>
      </c>
      <c r="AU9" s="333" t="s">
        <v>61</v>
      </c>
      <c r="AV9" s="346" t="s">
        <v>50</v>
      </c>
      <c r="AW9" s="332" t="s">
        <v>75</v>
      </c>
      <c r="AX9" s="335" t="s">
        <v>50</v>
      </c>
      <c r="AY9" s="332" t="s">
        <v>75</v>
      </c>
      <c r="AZ9" s="11"/>
      <c r="BA9" s="11"/>
      <c r="BB9" s="346" t="s">
        <v>77</v>
      </c>
      <c r="BC9" s="332" t="s">
        <v>75</v>
      </c>
      <c r="BD9" s="335" t="s">
        <v>50</v>
      </c>
      <c r="BE9" s="332" t="s">
        <v>75</v>
      </c>
      <c r="BF9" s="336" t="s">
        <v>50</v>
      </c>
      <c r="BG9" s="332" t="s">
        <v>75</v>
      </c>
      <c r="BH9" s="335" t="s">
        <v>50</v>
      </c>
      <c r="BI9" s="338" t="s">
        <v>51</v>
      </c>
      <c r="BJ9" s="336" t="s">
        <v>50</v>
      </c>
      <c r="BK9" s="332" t="s">
        <v>75</v>
      </c>
      <c r="BL9" s="335" t="s">
        <v>50</v>
      </c>
      <c r="BM9" s="332" t="s">
        <v>75</v>
      </c>
      <c r="BN9" s="336" t="s">
        <v>50</v>
      </c>
      <c r="BO9" s="332" t="s">
        <v>75</v>
      </c>
      <c r="BP9" s="335" t="s">
        <v>50</v>
      </c>
      <c r="BQ9" s="338" t="s">
        <v>51</v>
      </c>
      <c r="BR9" s="336" t="s">
        <v>50</v>
      </c>
      <c r="BS9" s="332" t="s">
        <v>75</v>
      </c>
      <c r="BT9" s="335" t="s">
        <v>50</v>
      </c>
      <c r="BU9" s="332" t="s">
        <v>75</v>
      </c>
      <c r="BV9" s="335" t="s">
        <v>50</v>
      </c>
      <c r="BW9" s="332" t="s">
        <v>75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2:75" ht="30.75" customHeight="1">
      <c r="B10" s="349"/>
      <c r="C10" s="352"/>
      <c r="D10" s="332"/>
      <c r="E10" s="332"/>
      <c r="F10" s="11" t="s">
        <v>50</v>
      </c>
      <c r="G10" s="11" t="s">
        <v>75</v>
      </c>
      <c r="H10" s="346"/>
      <c r="I10" s="332"/>
      <c r="J10" s="64"/>
      <c r="K10" s="64"/>
      <c r="L10" s="343"/>
      <c r="M10" s="332"/>
      <c r="N10" s="11" t="s">
        <v>50</v>
      </c>
      <c r="O10" s="11" t="s">
        <v>75</v>
      </c>
      <c r="P10" s="11"/>
      <c r="Q10" s="338"/>
      <c r="R10" s="336"/>
      <c r="S10" s="332"/>
      <c r="T10" s="335"/>
      <c r="U10" s="332"/>
      <c r="V10" s="334"/>
      <c r="W10" s="341"/>
      <c r="X10" s="336"/>
      <c r="Y10" s="332"/>
      <c r="Z10" s="335"/>
      <c r="AA10" s="332"/>
      <c r="AB10" s="336"/>
      <c r="AC10" s="332"/>
      <c r="AD10" s="335"/>
      <c r="AE10" s="332"/>
      <c r="AF10" s="336"/>
      <c r="AG10" s="332"/>
      <c r="AH10" s="335"/>
      <c r="AI10" s="332"/>
      <c r="AJ10" s="348"/>
      <c r="AK10" s="348"/>
      <c r="AL10" s="348"/>
      <c r="AM10" s="348"/>
      <c r="AN10" s="71"/>
      <c r="AO10" s="71"/>
      <c r="AP10" s="346"/>
      <c r="AQ10" s="332"/>
      <c r="AR10" s="335"/>
      <c r="AS10" s="332"/>
      <c r="AT10" s="334"/>
      <c r="AU10" s="334"/>
      <c r="AV10" s="346"/>
      <c r="AW10" s="332"/>
      <c r="AX10" s="335"/>
      <c r="AY10" s="332"/>
      <c r="AZ10" s="11"/>
      <c r="BA10" s="11"/>
      <c r="BB10" s="346"/>
      <c r="BC10" s="332"/>
      <c r="BD10" s="335"/>
      <c r="BE10" s="332"/>
      <c r="BF10" s="336"/>
      <c r="BG10" s="332"/>
      <c r="BH10" s="335"/>
      <c r="BI10" s="338"/>
      <c r="BJ10" s="336"/>
      <c r="BK10" s="332"/>
      <c r="BL10" s="335"/>
      <c r="BM10" s="332"/>
      <c r="BN10" s="336"/>
      <c r="BO10" s="332"/>
      <c r="BP10" s="335"/>
      <c r="BQ10" s="338"/>
      <c r="BR10" s="336"/>
      <c r="BS10" s="332"/>
      <c r="BT10" s="335"/>
      <c r="BU10" s="332"/>
      <c r="BV10" s="335"/>
      <c r="BW10" s="332"/>
    </row>
    <row r="11" spans="2:75" ht="13.5" customHeight="1">
      <c r="B11" s="23"/>
      <c r="C11" s="23">
        <v>1</v>
      </c>
      <c r="D11" s="23">
        <v>2</v>
      </c>
      <c r="E11" s="23">
        <v>3</v>
      </c>
      <c r="F11" s="23">
        <v>4</v>
      </c>
      <c r="G11" s="23">
        <v>6</v>
      </c>
      <c r="H11" s="23">
        <v>7</v>
      </c>
      <c r="I11" s="23">
        <v>8</v>
      </c>
      <c r="J11" s="23"/>
      <c r="K11" s="23"/>
      <c r="L11" s="23">
        <v>9</v>
      </c>
      <c r="M11" s="23">
        <v>10</v>
      </c>
      <c r="N11" s="23">
        <v>11</v>
      </c>
      <c r="O11" s="23">
        <v>12</v>
      </c>
      <c r="P11" s="23"/>
      <c r="Q11" s="23"/>
      <c r="R11" s="23">
        <v>13</v>
      </c>
      <c r="S11" s="23">
        <v>14</v>
      </c>
      <c r="T11" s="23">
        <v>15</v>
      </c>
      <c r="U11" s="23">
        <v>16</v>
      </c>
      <c r="V11" s="23">
        <v>16</v>
      </c>
      <c r="W11" s="23">
        <v>17</v>
      </c>
      <c r="X11" s="23">
        <v>17</v>
      </c>
      <c r="Y11" s="23">
        <v>18</v>
      </c>
      <c r="Z11" s="23">
        <v>19</v>
      </c>
      <c r="AA11" s="23">
        <v>20</v>
      </c>
      <c r="AB11" s="23">
        <v>21</v>
      </c>
      <c r="AC11" s="23">
        <v>22</v>
      </c>
      <c r="AD11" s="23">
        <v>23</v>
      </c>
      <c r="AE11" s="23">
        <v>24</v>
      </c>
      <c r="AF11" s="23">
        <v>25</v>
      </c>
      <c r="AG11" s="23">
        <v>26</v>
      </c>
      <c r="AH11" s="23">
        <v>27</v>
      </c>
      <c r="AI11" s="23">
        <v>28</v>
      </c>
      <c r="AJ11" s="23"/>
      <c r="AK11" s="23"/>
      <c r="AL11" s="23"/>
      <c r="AM11" s="23"/>
      <c r="AN11" s="23"/>
      <c r="AO11" s="23"/>
      <c r="AP11" s="23">
        <v>29</v>
      </c>
      <c r="AQ11" s="23">
        <v>30</v>
      </c>
      <c r="AR11" s="23">
        <v>31</v>
      </c>
      <c r="AS11" s="23">
        <v>32</v>
      </c>
      <c r="AT11" s="23">
        <v>33</v>
      </c>
      <c r="AU11" s="23">
        <v>33</v>
      </c>
      <c r="AV11" s="23">
        <v>34</v>
      </c>
      <c r="AW11" s="23">
        <v>35</v>
      </c>
      <c r="AX11" s="23">
        <v>36</v>
      </c>
      <c r="AY11" s="23">
        <v>37</v>
      </c>
      <c r="AZ11" s="23">
        <v>45</v>
      </c>
      <c r="BA11" s="23">
        <v>46</v>
      </c>
      <c r="BB11" s="23">
        <v>38</v>
      </c>
      <c r="BC11" s="23">
        <v>39</v>
      </c>
      <c r="BD11" s="23">
        <v>40</v>
      </c>
      <c r="BE11" s="23">
        <v>41</v>
      </c>
      <c r="BF11" s="23">
        <v>42</v>
      </c>
      <c r="BG11" s="23">
        <v>43</v>
      </c>
      <c r="BH11" s="23">
        <v>44</v>
      </c>
      <c r="BI11" s="23">
        <v>45</v>
      </c>
      <c r="BJ11" s="23">
        <v>46</v>
      </c>
      <c r="BK11" s="23">
        <v>47</v>
      </c>
      <c r="BL11" s="23">
        <v>48</v>
      </c>
      <c r="BM11" s="23">
        <v>49</v>
      </c>
      <c r="BN11" s="23">
        <v>50</v>
      </c>
      <c r="BO11" s="23">
        <v>51</v>
      </c>
      <c r="BP11" s="23">
        <v>52</v>
      </c>
      <c r="BQ11" s="23">
        <v>53</v>
      </c>
      <c r="BR11" s="23">
        <v>54</v>
      </c>
      <c r="BS11" s="23">
        <v>55</v>
      </c>
      <c r="BT11" s="23">
        <v>56</v>
      </c>
      <c r="BU11" s="23">
        <v>57</v>
      </c>
      <c r="BV11" s="23">
        <v>58</v>
      </c>
      <c r="BW11" s="23">
        <v>59</v>
      </c>
    </row>
    <row r="12" spans="2:75" ht="24.75" customHeight="1">
      <c r="B12" s="23">
        <v>1</v>
      </c>
      <c r="C12" s="50" t="s">
        <v>39</v>
      </c>
      <c r="D12" s="26">
        <v>54215775.70000001</v>
      </c>
      <c r="E12" s="26">
        <v>47890065.3</v>
      </c>
      <c r="F12" s="26">
        <v>68975158.9</v>
      </c>
      <c r="G12" s="26">
        <v>59424831.699999996</v>
      </c>
      <c r="H12" s="26">
        <v>50561099.60000001</v>
      </c>
      <c r="I12" s="26">
        <v>44791298.6</v>
      </c>
      <c r="J12" s="26">
        <v>-14759383.2</v>
      </c>
      <c r="K12" s="26">
        <v>-11534766.4</v>
      </c>
      <c r="L12" s="26">
        <v>6073664.7</v>
      </c>
      <c r="M12" s="26">
        <v>4098766.7</v>
      </c>
      <c r="N12" s="26">
        <v>20833047.9</v>
      </c>
      <c r="O12" s="26">
        <v>15633532.9</v>
      </c>
      <c r="P12" s="26">
        <v>1339455.3</v>
      </c>
      <c r="Q12" s="26">
        <f aca="true" t="shared" si="0" ref="Q12:Q22">O12-P12</f>
        <v>14294077.6</v>
      </c>
      <c r="R12" s="26">
        <v>4852161.6</v>
      </c>
      <c r="S12" s="26">
        <v>4188719.8</v>
      </c>
      <c r="T12" s="26">
        <v>1058602.3</v>
      </c>
      <c r="U12" s="26">
        <v>648547.5</v>
      </c>
      <c r="V12" s="26"/>
      <c r="W12" s="56">
        <f>U12-V12</f>
        <v>648547.5</v>
      </c>
      <c r="X12" s="26">
        <v>12877</v>
      </c>
      <c r="Y12" s="26">
        <v>10182.7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6244930.6</v>
      </c>
      <c r="AG12" s="26">
        <v>7388789</v>
      </c>
      <c r="AH12" s="26">
        <v>-2708865.6</v>
      </c>
      <c r="AI12" s="26">
        <v>-438511.4</v>
      </c>
      <c r="AJ12" s="57">
        <v>-5251357</v>
      </c>
      <c r="AK12" s="57">
        <v>-487536.9</v>
      </c>
      <c r="AL12" s="57">
        <f>AH12-AJ12</f>
        <v>2542491.4</v>
      </c>
      <c r="AM12" s="57">
        <f>AI12-AK12</f>
        <v>49025.5</v>
      </c>
      <c r="AN12" s="57">
        <v>-14759383.2</v>
      </c>
      <c r="AO12" s="57">
        <v>-11534766.4</v>
      </c>
      <c r="AP12" s="26">
        <v>4963783.7</v>
      </c>
      <c r="AQ12" s="26">
        <v>4945841.9</v>
      </c>
      <c r="AR12" s="60">
        <v>239087.7</v>
      </c>
      <c r="AS12" s="60">
        <v>56295.4</v>
      </c>
      <c r="AT12" s="26"/>
      <c r="AU12" s="55">
        <f>AS12-AT12</f>
        <v>56295.4</v>
      </c>
      <c r="AV12" s="26">
        <v>8733377.3</v>
      </c>
      <c r="AW12" s="26">
        <v>4884812.6</v>
      </c>
      <c r="AX12" s="26">
        <v>2339842.7</v>
      </c>
      <c r="AY12" s="26">
        <v>2052713.7</v>
      </c>
      <c r="AZ12" s="26"/>
      <c r="BA12" s="26"/>
      <c r="BB12" s="26">
        <v>41653</v>
      </c>
      <c r="BC12" s="26">
        <v>37048</v>
      </c>
      <c r="BD12" s="26">
        <v>233745.2</v>
      </c>
      <c r="BE12" s="26">
        <v>230658.5</v>
      </c>
      <c r="BF12" s="26">
        <v>1407861.8</v>
      </c>
      <c r="BG12" s="26">
        <v>1367701.4</v>
      </c>
      <c r="BH12" s="26">
        <v>2344587.6</v>
      </c>
      <c r="BI12" s="26">
        <v>116309.6</v>
      </c>
      <c r="BJ12" s="26">
        <v>20122182.7</v>
      </c>
      <c r="BK12" s="26">
        <v>19862840.4</v>
      </c>
      <c r="BL12" s="26">
        <v>1923486.8</v>
      </c>
      <c r="BM12" s="26">
        <v>1302894</v>
      </c>
      <c r="BN12" s="26">
        <v>602772.2</v>
      </c>
      <c r="BO12" s="26">
        <v>504768.7</v>
      </c>
      <c r="BP12" s="26">
        <v>0</v>
      </c>
      <c r="BQ12" s="26">
        <v>0</v>
      </c>
      <c r="BR12" s="26">
        <v>3579499.7</v>
      </c>
      <c r="BS12" s="26">
        <v>1600594.1</v>
      </c>
      <c r="BT12" s="26">
        <v>643178</v>
      </c>
      <c r="BU12" s="26">
        <v>129859.4</v>
      </c>
      <c r="BV12" s="26"/>
      <c r="BW12" s="26"/>
    </row>
    <row r="13" spans="1:75" ht="24.75" customHeight="1">
      <c r="A13" s="24"/>
      <c r="B13" s="25">
        <v>2</v>
      </c>
      <c r="C13" s="50" t="s">
        <v>27</v>
      </c>
      <c r="D13" s="26">
        <v>2808508.3075999995</v>
      </c>
      <c r="E13" s="26">
        <v>2221055.918999999</v>
      </c>
      <c r="F13" s="26">
        <v>3256234.9875999996</v>
      </c>
      <c r="G13" s="26">
        <v>2441736.912999999</v>
      </c>
      <c r="H13" s="26">
        <v>2294010.096500001</v>
      </c>
      <c r="I13" s="26">
        <v>1995495.3257</v>
      </c>
      <c r="J13" s="26">
        <v>-447726.68000000005</v>
      </c>
      <c r="K13" s="26">
        <v>-220680.99400000004</v>
      </c>
      <c r="L13" s="26">
        <v>725723.5072999997</v>
      </c>
      <c r="M13" s="26">
        <v>436345.93240000005</v>
      </c>
      <c r="N13" s="26">
        <v>1173450.1872999999</v>
      </c>
      <c r="O13" s="26">
        <v>657026.9264000001</v>
      </c>
      <c r="P13" s="26"/>
      <c r="Q13" s="26">
        <f t="shared" si="0"/>
        <v>657026.9264000001</v>
      </c>
      <c r="R13" s="26">
        <v>1371070.0441000005</v>
      </c>
      <c r="S13" s="26">
        <v>1212951.0407000002</v>
      </c>
      <c r="T13" s="26">
        <v>193271.2401</v>
      </c>
      <c r="U13" s="26">
        <v>85090.87100000001</v>
      </c>
      <c r="V13" s="26"/>
      <c r="W13" s="56">
        <f aca="true" t="shared" si="1" ref="W13:W22">U13-V13</f>
        <v>85090.87100000001</v>
      </c>
      <c r="X13" s="26">
        <v>1500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97161.33</v>
      </c>
      <c r="AG13" s="26">
        <v>87585.62000000001</v>
      </c>
      <c r="AH13" s="26">
        <v>-66283.85900000003</v>
      </c>
      <c r="AI13" s="26">
        <v>-73551.98800000003</v>
      </c>
      <c r="AJ13" s="57">
        <v>-451965.5</v>
      </c>
      <c r="AK13" s="57">
        <v>-221637.9</v>
      </c>
      <c r="AL13" s="57">
        <f aca="true" t="shared" si="2" ref="AL13:AL22">AH13-AJ13</f>
        <v>385681.64099999995</v>
      </c>
      <c r="AM13" s="57">
        <f aca="true" t="shared" si="3" ref="AM13:AM22">AI13-AK13</f>
        <v>148085.91199999995</v>
      </c>
      <c r="AN13" s="57">
        <v>-447726.68000000005</v>
      </c>
      <c r="AO13" s="57">
        <v>-220680.99400000004</v>
      </c>
      <c r="AP13" s="26">
        <v>48393.22999999999</v>
      </c>
      <c r="AQ13" s="26">
        <v>42001.814999999995</v>
      </c>
      <c r="AR13" s="26">
        <v>3800</v>
      </c>
      <c r="AS13" s="26">
        <v>1293.8</v>
      </c>
      <c r="AT13" s="26"/>
      <c r="AU13" s="55">
        <f aca="true" t="shared" si="4" ref="AU13:AU22">AS13-AT13</f>
        <v>1293.8</v>
      </c>
      <c r="AV13" s="26">
        <v>91770.407</v>
      </c>
      <c r="AW13" s="26">
        <v>73709.776</v>
      </c>
      <c r="AX13" s="26">
        <v>171359.44999999995</v>
      </c>
      <c r="AY13" s="26">
        <v>97087.14729999998</v>
      </c>
      <c r="AZ13" s="26"/>
      <c r="BA13" s="26"/>
      <c r="BB13" s="26">
        <v>0</v>
      </c>
      <c r="BC13" s="26">
        <v>0</v>
      </c>
      <c r="BD13" s="26">
        <v>7793</v>
      </c>
      <c r="BE13" s="26">
        <v>6447.65</v>
      </c>
      <c r="BF13" s="26">
        <v>154159.48299999998</v>
      </c>
      <c r="BG13" s="26">
        <v>132428.95099999997</v>
      </c>
      <c r="BH13" s="26">
        <v>150673.15</v>
      </c>
      <c r="BI13" s="26">
        <v>88343.445</v>
      </c>
      <c r="BJ13" s="26">
        <v>440934.78219999996</v>
      </c>
      <c r="BK13" s="26">
        <v>366783.82899999997</v>
      </c>
      <c r="BL13" s="26">
        <v>53885.2301</v>
      </c>
      <c r="BM13" s="26">
        <v>20849.667999999998</v>
      </c>
      <c r="BN13" s="26">
        <v>89020.82009999998</v>
      </c>
      <c r="BO13" s="26">
        <v>80034.294</v>
      </c>
      <c r="BP13" s="26">
        <v>0</v>
      </c>
      <c r="BQ13" s="26">
        <v>0</v>
      </c>
      <c r="BR13" s="26">
        <v>211225.33919999996</v>
      </c>
      <c r="BS13" s="26">
        <v>210785.33919999996</v>
      </c>
      <c r="BT13" s="26">
        <v>0</v>
      </c>
      <c r="BU13" s="26">
        <v>0</v>
      </c>
      <c r="BV13" s="26"/>
      <c r="BW13" s="26">
        <v>0</v>
      </c>
    </row>
    <row r="14" spans="1:75" ht="24.75" customHeight="1">
      <c r="A14" s="24"/>
      <c r="B14" s="23">
        <v>3</v>
      </c>
      <c r="C14" s="50" t="s">
        <v>28</v>
      </c>
      <c r="D14" s="26">
        <v>5183025.840300001</v>
      </c>
      <c r="E14" s="26">
        <v>4353448.7957000015</v>
      </c>
      <c r="F14" s="26">
        <v>5551806.726300001</v>
      </c>
      <c r="G14" s="26">
        <v>4720859.287100001</v>
      </c>
      <c r="H14" s="26">
        <v>3993948.5973</v>
      </c>
      <c r="I14" s="26">
        <v>3614119.054100001</v>
      </c>
      <c r="J14" s="26">
        <v>-368780.886</v>
      </c>
      <c r="K14" s="26">
        <v>-367410.4914</v>
      </c>
      <c r="L14" s="26">
        <v>1493176.233</v>
      </c>
      <c r="M14" s="26">
        <v>939471.6416000002</v>
      </c>
      <c r="N14" s="26">
        <v>1861957.119</v>
      </c>
      <c r="O14" s="26">
        <v>1306882.4211000002</v>
      </c>
      <c r="P14" s="26">
        <v>15000</v>
      </c>
      <c r="Q14" s="26">
        <f t="shared" si="0"/>
        <v>1291882.4211000002</v>
      </c>
      <c r="R14" s="26">
        <v>1676089.7300999998</v>
      </c>
      <c r="S14" s="26">
        <v>1549720.2769999998</v>
      </c>
      <c r="T14" s="26">
        <v>311214.65009999997</v>
      </c>
      <c r="U14" s="26">
        <v>217887.44900000005</v>
      </c>
      <c r="V14" s="26"/>
      <c r="W14" s="56">
        <f t="shared" si="1"/>
        <v>217887.44900000005</v>
      </c>
      <c r="X14" s="26">
        <v>250</v>
      </c>
      <c r="Y14" s="26">
        <v>200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223895.60010000004</v>
      </c>
      <c r="AG14" s="26">
        <v>188811.33799999996</v>
      </c>
      <c r="AH14" s="26">
        <v>312156.443</v>
      </c>
      <c r="AI14" s="26">
        <v>140671.64160000024</v>
      </c>
      <c r="AJ14" s="57">
        <v>-129240</v>
      </c>
      <c r="AK14" s="57">
        <v>320766.10000000003</v>
      </c>
      <c r="AL14" s="57">
        <f t="shared" si="2"/>
        <v>441396.443</v>
      </c>
      <c r="AM14" s="57">
        <f t="shared" si="3"/>
        <v>-180094.4583999998</v>
      </c>
      <c r="AN14" s="57">
        <v>-368780.886</v>
      </c>
      <c r="AO14" s="57">
        <v>-367410.4914</v>
      </c>
      <c r="AP14" s="26">
        <v>192557.1</v>
      </c>
      <c r="AQ14" s="26">
        <v>178029.75900000002</v>
      </c>
      <c r="AR14" s="26">
        <v>74899.9999</v>
      </c>
      <c r="AS14" s="26">
        <v>47093.804</v>
      </c>
      <c r="AT14" s="14">
        <v>15000</v>
      </c>
      <c r="AU14" s="55">
        <f t="shared" si="4"/>
        <v>32093.803999999996</v>
      </c>
      <c r="AV14" s="26">
        <v>215802.30000000002</v>
      </c>
      <c r="AW14" s="26">
        <v>196488.14400000003</v>
      </c>
      <c r="AX14" s="26">
        <v>210365.8</v>
      </c>
      <c r="AY14" s="26">
        <v>170284.106</v>
      </c>
      <c r="AZ14" s="26"/>
      <c r="BA14" s="26"/>
      <c r="BB14" s="26">
        <v>8820</v>
      </c>
      <c r="BC14" s="26">
        <v>7940</v>
      </c>
      <c r="BD14" s="26">
        <v>3980.9</v>
      </c>
      <c r="BE14" s="26">
        <v>2590.8</v>
      </c>
      <c r="BF14" s="26">
        <v>184267.50000000003</v>
      </c>
      <c r="BG14" s="26">
        <v>167839.262</v>
      </c>
      <c r="BH14" s="26">
        <v>97715.00000000001</v>
      </c>
      <c r="BI14" s="26">
        <v>60258.209</v>
      </c>
      <c r="BJ14" s="26">
        <v>1067270.4640999998</v>
      </c>
      <c r="BK14" s="26">
        <v>997179.9660000002</v>
      </c>
      <c r="BL14" s="26">
        <v>170463.68</v>
      </c>
      <c r="BM14" s="26">
        <v>100543.73199999999</v>
      </c>
      <c r="BN14" s="26">
        <v>346806.6</v>
      </c>
      <c r="BO14" s="26">
        <v>327910.02</v>
      </c>
      <c r="BP14" s="26">
        <v>0</v>
      </c>
      <c r="BQ14" s="26">
        <v>0</v>
      </c>
      <c r="BR14" s="26">
        <v>382288.29299999995</v>
      </c>
      <c r="BS14" s="26">
        <v>200142.1881</v>
      </c>
      <c r="BT14" s="26">
        <v>8280.77</v>
      </c>
      <c r="BU14" s="26">
        <v>0</v>
      </c>
      <c r="BV14" s="26">
        <v>304098.98999999993</v>
      </c>
      <c r="BW14" s="26">
        <v>200141.90000000005</v>
      </c>
    </row>
    <row r="15" spans="1:75" ht="24.75" customHeight="1">
      <c r="A15" s="24"/>
      <c r="B15" s="25">
        <v>4</v>
      </c>
      <c r="C15" s="50" t="s">
        <v>29</v>
      </c>
      <c r="D15" s="26">
        <v>5503276.6000000015</v>
      </c>
      <c r="E15" s="26">
        <v>4841044.8</v>
      </c>
      <c r="F15" s="26">
        <v>5941661.700000001</v>
      </c>
      <c r="G15" s="26">
        <v>5117068.399999999</v>
      </c>
      <c r="H15" s="26">
        <v>4847708.999999998</v>
      </c>
      <c r="I15" s="26">
        <v>4424111.6</v>
      </c>
      <c r="J15" s="26">
        <v>-438385.0999999999</v>
      </c>
      <c r="K15" s="26">
        <v>-276023.6</v>
      </c>
      <c r="L15" s="26">
        <v>655567.6</v>
      </c>
      <c r="M15" s="26">
        <v>416933.19999999995</v>
      </c>
      <c r="N15" s="26">
        <v>1093952.7</v>
      </c>
      <c r="O15" s="26">
        <v>692956.7999999999</v>
      </c>
      <c r="P15" s="26"/>
      <c r="Q15" s="26">
        <f t="shared" si="0"/>
        <v>692956.7999999999</v>
      </c>
      <c r="R15" s="26">
        <v>2227642.8999999994</v>
      </c>
      <c r="S15" s="26">
        <v>2011621.4000000001</v>
      </c>
      <c r="T15" s="26">
        <v>502565.5</v>
      </c>
      <c r="U15" s="26">
        <v>296807.79999999993</v>
      </c>
      <c r="V15" s="26"/>
      <c r="W15" s="56">
        <f t="shared" si="1"/>
        <v>296807.79999999993</v>
      </c>
      <c r="X15" s="26">
        <v>0</v>
      </c>
      <c r="Y15" s="26">
        <v>0</v>
      </c>
      <c r="Z15" s="26">
        <v>0</v>
      </c>
      <c r="AA15" s="26">
        <v>0</v>
      </c>
      <c r="AB15" s="26">
        <v>800</v>
      </c>
      <c r="AC15" s="26">
        <v>800</v>
      </c>
      <c r="AD15" s="26">
        <v>0</v>
      </c>
      <c r="AE15" s="26">
        <v>0</v>
      </c>
      <c r="AF15" s="26">
        <v>225880.40000000002</v>
      </c>
      <c r="AG15" s="26">
        <v>197831.30000000002</v>
      </c>
      <c r="AH15" s="26">
        <v>-190058.8</v>
      </c>
      <c r="AI15" s="26">
        <v>-87328.1</v>
      </c>
      <c r="AJ15" s="57">
        <v>-497397.5</v>
      </c>
      <c r="AK15" s="57">
        <v>-385615.89999999997</v>
      </c>
      <c r="AL15" s="57">
        <f t="shared" si="2"/>
        <v>307338.7</v>
      </c>
      <c r="AM15" s="57">
        <f t="shared" si="3"/>
        <v>298287.79999999993</v>
      </c>
      <c r="AN15" s="57">
        <v>-438385.0999999999</v>
      </c>
      <c r="AO15" s="57">
        <v>-276023.6</v>
      </c>
      <c r="AP15" s="26">
        <v>181674.49999999997</v>
      </c>
      <c r="AQ15" s="26">
        <v>173434.39999999997</v>
      </c>
      <c r="AR15" s="26">
        <v>20229.4</v>
      </c>
      <c r="AS15" s="26">
        <v>18229.4</v>
      </c>
      <c r="AT15" s="26"/>
      <c r="AU15" s="55">
        <f t="shared" si="4"/>
        <v>18229.4</v>
      </c>
      <c r="AV15" s="26">
        <v>537592.2</v>
      </c>
      <c r="AW15" s="26">
        <v>513334.1999999999</v>
      </c>
      <c r="AX15" s="26">
        <v>200338.29999999996</v>
      </c>
      <c r="AY15" s="26">
        <v>144887.40000000002</v>
      </c>
      <c r="AZ15" s="26"/>
      <c r="BA15" s="26"/>
      <c r="BB15" s="26">
        <v>8508.5</v>
      </c>
      <c r="BC15" s="26">
        <v>7601.5</v>
      </c>
      <c r="BD15" s="26">
        <v>1100</v>
      </c>
      <c r="BE15" s="26">
        <v>369.2</v>
      </c>
      <c r="BF15" s="26">
        <v>457256.49999999994</v>
      </c>
      <c r="BG15" s="26">
        <v>419020.60000000027</v>
      </c>
      <c r="BH15" s="26">
        <v>50001.7</v>
      </c>
      <c r="BI15" s="26">
        <v>9708.9</v>
      </c>
      <c r="BJ15" s="26">
        <v>872609.0000000002</v>
      </c>
      <c r="BK15" s="26">
        <v>823754.3999999999</v>
      </c>
      <c r="BL15" s="26">
        <v>65940.7</v>
      </c>
      <c r="BM15" s="26">
        <v>34068.2</v>
      </c>
      <c r="BN15" s="26">
        <v>278896.1</v>
      </c>
      <c r="BO15" s="26">
        <v>275378.79999999993</v>
      </c>
      <c r="BP15" s="26">
        <v>700</v>
      </c>
      <c r="BQ15" s="26">
        <v>700</v>
      </c>
      <c r="BR15" s="26">
        <v>57298.89999999999</v>
      </c>
      <c r="BS15" s="26">
        <v>1300</v>
      </c>
      <c r="BT15" s="26">
        <v>4750.8</v>
      </c>
      <c r="BU15" s="26">
        <v>0</v>
      </c>
      <c r="BV15" s="26"/>
      <c r="BW15" s="26"/>
    </row>
    <row r="16" spans="1:75" ht="24.75" customHeight="1">
      <c r="A16" s="24"/>
      <c r="B16" s="23">
        <v>5</v>
      </c>
      <c r="C16" s="50" t="s">
        <v>30</v>
      </c>
      <c r="D16" s="26">
        <v>4449278.028599999</v>
      </c>
      <c r="E16" s="26">
        <v>3705691.0584999984</v>
      </c>
      <c r="F16" s="26">
        <v>4706164.928699999</v>
      </c>
      <c r="G16" s="26">
        <v>3921209.9844999984</v>
      </c>
      <c r="H16" s="33">
        <v>3625573.0169000006</v>
      </c>
      <c r="I16" s="26">
        <v>3151365.2021</v>
      </c>
      <c r="J16" s="26">
        <v>-256886.9001</v>
      </c>
      <c r="K16" s="26">
        <v>-215518.92599999998</v>
      </c>
      <c r="L16" s="26">
        <v>823705.0117000001</v>
      </c>
      <c r="M16" s="26">
        <v>554325.8564</v>
      </c>
      <c r="N16" s="26">
        <v>1080591.9058</v>
      </c>
      <c r="O16" s="26">
        <v>769844.8</v>
      </c>
      <c r="P16" s="26"/>
      <c r="Q16" s="26">
        <f t="shared" si="0"/>
        <v>769844.8</v>
      </c>
      <c r="R16" s="26">
        <v>1894809.2567</v>
      </c>
      <c r="S16" s="26">
        <v>1706709.2192</v>
      </c>
      <c r="T16" s="26">
        <v>331159.41880000004</v>
      </c>
      <c r="U16" s="26">
        <v>229295.0641</v>
      </c>
      <c r="V16" s="26"/>
      <c r="W16" s="56">
        <f t="shared" si="1"/>
        <v>229295.0641</v>
      </c>
      <c r="X16" s="26">
        <v>667</v>
      </c>
      <c r="Y16" s="26">
        <v>549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219959.9005</v>
      </c>
      <c r="AG16" s="26">
        <v>152109.6979</v>
      </c>
      <c r="AH16" s="26">
        <v>102988.00110000002</v>
      </c>
      <c r="AI16" s="26">
        <v>28076.17090000002</v>
      </c>
      <c r="AJ16" s="57">
        <v>-210134.6</v>
      </c>
      <c r="AK16" s="57">
        <v>-156306.63</v>
      </c>
      <c r="AL16" s="57">
        <f t="shared" si="2"/>
        <v>313122.6011</v>
      </c>
      <c r="AM16" s="57">
        <f t="shared" si="3"/>
        <v>184382.80090000003</v>
      </c>
      <c r="AN16" s="57">
        <v>-256886.9001</v>
      </c>
      <c r="AO16" s="57">
        <v>-215518.92599999998</v>
      </c>
      <c r="AP16" s="26">
        <v>219438.88030000002</v>
      </c>
      <c r="AQ16" s="26">
        <v>198397.97100000005</v>
      </c>
      <c r="AR16" s="26">
        <v>43459.8001</v>
      </c>
      <c r="AS16" s="26">
        <v>36801.3</v>
      </c>
      <c r="AT16" s="26"/>
      <c r="AU16" s="55">
        <f t="shared" si="4"/>
        <v>36801.3</v>
      </c>
      <c r="AV16" s="26">
        <v>93319.60060000002</v>
      </c>
      <c r="AW16" s="26">
        <v>64202.074</v>
      </c>
      <c r="AX16" s="26">
        <v>205330.8809</v>
      </c>
      <c r="AY16" s="26">
        <v>171804.6414</v>
      </c>
      <c r="AZ16" s="26"/>
      <c r="BA16" s="26"/>
      <c r="BB16" s="26">
        <v>15693.4</v>
      </c>
      <c r="BC16" s="26">
        <v>15693.367</v>
      </c>
      <c r="BD16" s="26">
        <v>0</v>
      </c>
      <c r="BE16" s="26">
        <v>0</v>
      </c>
      <c r="BF16" s="26">
        <v>260436.40399999998</v>
      </c>
      <c r="BG16" s="26">
        <v>217844.401</v>
      </c>
      <c r="BH16" s="26">
        <v>87557.39959999999</v>
      </c>
      <c r="BI16" s="26">
        <v>71497.319</v>
      </c>
      <c r="BJ16" s="26">
        <v>691722.7676</v>
      </c>
      <c r="BK16" s="26">
        <v>618248.8259999999</v>
      </c>
      <c r="BL16" s="26">
        <v>52209.5112</v>
      </c>
      <c r="BM16" s="26">
        <v>16851.360999999997</v>
      </c>
      <c r="BN16" s="26">
        <v>101244.4</v>
      </c>
      <c r="BO16" s="26">
        <v>94055.4</v>
      </c>
      <c r="BP16" s="26">
        <v>0</v>
      </c>
      <c r="BQ16" s="26">
        <v>0</v>
      </c>
      <c r="BR16" s="26">
        <v>128281.4072</v>
      </c>
      <c r="BS16" s="26">
        <v>83555.246</v>
      </c>
      <c r="BT16" s="34">
        <v>1000</v>
      </c>
      <c r="BU16" s="26">
        <v>0</v>
      </c>
      <c r="BV16" s="26">
        <v>0</v>
      </c>
      <c r="BW16" s="26">
        <v>0</v>
      </c>
    </row>
    <row r="17" spans="1:75" ht="24.75" customHeight="1">
      <c r="A17" s="24"/>
      <c r="B17" s="25">
        <v>6</v>
      </c>
      <c r="C17" s="50" t="s">
        <v>31</v>
      </c>
      <c r="D17" s="26">
        <v>5291274.984499998</v>
      </c>
      <c r="E17" s="26">
        <v>4553234.449899999</v>
      </c>
      <c r="F17" s="26">
        <v>6099135.139099998</v>
      </c>
      <c r="G17" s="26">
        <v>5317042.584899999</v>
      </c>
      <c r="H17" s="26">
        <v>4791527.9743</v>
      </c>
      <c r="I17" s="26">
        <v>4350506.518900001</v>
      </c>
      <c r="J17" s="26">
        <v>-807860.1546</v>
      </c>
      <c r="K17" s="26">
        <v>-763808.1350000001</v>
      </c>
      <c r="L17" s="26">
        <v>759833.8352999998</v>
      </c>
      <c r="M17" s="26">
        <v>421465.2460000001</v>
      </c>
      <c r="N17" s="26">
        <v>1567693.9899</v>
      </c>
      <c r="O17" s="26">
        <v>1185273.381</v>
      </c>
      <c r="P17" s="26">
        <v>28143.5</v>
      </c>
      <c r="Q17" s="26">
        <f t="shared" si="0"/>
        <v>1157129.881</v>
      </c>
      <c r="R17" s="26">
        <v>1779773.8037000003</v>
      </c>
      <c r="S17" s="26">
        <v>1629715.7689000007</v>
      </c>
      <c r="T17" s="26">
        <v>252016.5113</v>
      </c>
      <c r="U17" s="26">
        <v>167139.427</v>
      </c>
      <c r="V17" s="26"/>
      <c r="W17" s="56">
        <f t="shared" si="1"/>
        <v>167139.427</v>
      </c>
      <c r="X17" s="26">
        <v>4106.6</v>
      </c>
      <c r="Y17" s="26">
        <v>2673.7</v>
      </c>
      <c r="Z17" s="26">
        <v>0</v>
      </c>
      <c r="AA17" s="26">
        <v>0</v>
      </c>
      <c r="AB17" s="26">
        <v>900</v>
      </c>
      <c r="AC17" s="26">
        <v>700</v>
      </c>
      <c r="AD17" s="26">
        <v>0</v>
      </c>
      <c r="AE17" s="26">
        <v>0</v>
      </c>
      <c r="AF17" s="26">
        <v>153588.60480000003</v>
      </c>
      <c r="AG17" s="26">
        <v>141755.55</v>
      </c>
      <c r="AH17" s="26">
        <v>-273825.72079999995</v>
      </c>
      <c r="AI17" s="26">
        <v>-371872.0529999999</v>
      </c>
      <c r="AJ17" s="57">
        <v>-738419.0296000001</v>
      </c>
      <c r="AK17" s="57">
        <v>-553863.529</v>
      </c>
      <c r="AL17" s="57">
        <f t="shared" si="2"/>
        <v>464593.3088000002</v>
      </c>
      <c r="AM17" s="57">
        <f t="shared" si="3"/>
        <v>181991.47600000008</v>
      </c>
      <c r="AN17" s="57">
        <v>-807860.1546</v>
      </c>
      <c r="AO17" s="57">
        <v>-763808.1350000001</v>
      </c>
      <c r="AP17" s="26">
        <v>513174.40050000005</v>
      </c>
      <c r="AQ17" s="26">
        <v>504806.309</v>
      </c>
      <c r="AR17" s="26">
        <v>126480.30040000001</v>
      </c>
      <c r="AS17" s="26">
        <v>111616.086</v>
      </c>
      <c r="AT17" s="26">
        <v>46271</v>
      </c>
      <c r="AU17" s="55">
        <f t="shared" si="4"/>
        <v>65345.085999999996</v>
      </c>
      <c r="AV17" s="26">
        <v>157353.06259999998</v>
      </c>
      <c r="AW17" s="26">
        <v>134551.448</v>
      </c>
      <c r="AX17" s="26">
        <v>332309.49509999994</v>
      </c>
      <c r="AY17" s="26">
        <v>266289.807</v>
      </c>
      <c r="AZ17" s="26"/>
      <c r="BA17" s="26"/>
      <c r="BB17" s="26">
        <v>7200</v>
      </c>
      <c r="BC17" s="26">
        <v>6665</v>
      </c>
      <c r="BD17" s="26">
        <v>1335</v>
      </c>
      <c r="BE17" s="26">
        <v>1335</v>
      </c>
      <c r="BF17" s="26">
        <v>363151.26670000004</v>
      </c>
      <c r="BG17" s="26">
        <v>349724.4909999999</v>
      </c>
      <c r="BH17" s="26">
        <v>124342.1004</v>
      </c>
      <c r="BI17" s="26">
        <v>87982.00000000001</v>
      </c>
      <c r="BJ17" s="26">
        <v>1193144.2314</v>
      </c>
      <c r="BK17" s="26">
        <v>1137706.2199999997</v>
      </c>
      <c r="BL17" s="26">
        <v>171145.44879999998</v>
      </c>
      <c r="BM17" s="26">
        <v>141708.25900000002</v>
      </c>
      <c r="BN17" s="26">
        <v>242492.00049999997</v>
      </c>
      <c r="BO17" s="26">
        <v>219471.32700000002</v>
      </c>
      <c r="BP17" s="26">
        <v>18179.5001</v>
      </c>
      <c r="BQ17" s="26">
        <v>17266.72</v>
      </c>
      <c r="BR17" s="26">
        <v>376644.00409999985</v>
      </c>
      <c r="BS17" s="26">
        <v>222736.70500000005</v>
      </c>
      <c r="BT17" s="26">
        <v>7851.2</v>
      </c>
      <c r="BU17" s="26">
        <v>0</v>
      </c>
      <c r="BV17" s="26"/>
      <c r="BW17" s="26"/>
    </row>
    <row r="18" spans="1:75" ht="24.75" customHeight="1">
      <c r="A18" s="24"/>
      <c r="B18" s="23">
        <v>7</v>
      </c>
      <c r="C18" s="50" t="s">
        <v>32</v>
      </c>
      <c r="D18" s="26">
        <v>5396592.900000002</v>
      </c>
      <c r="E18" s="26">
        <v>4587184.800000001</v>
      </c>
      <c r="F18" s="26">
        <v>7253571.300000003</v>
      </c>
      <c r="G18" s="26">
        <v>6405246.000000001</v>
      </c>
      <c r="H18" s="26">
        <v>4544173.6</v>
      </c>
      <c r="I18" s="26">
        <v>4154593.999999999</v>
      </c>
      <c r="J18" s="26">
        <v>-1856978.4000000004</v>
      </c>
      <c r="K18" s="26">
        <v>-1818061.2</v>
      </c>
      <c r="L18" s="26">
        <v>852419.3000000004</v>
      </c>
      <c r="M18" s="26">
        <v>432590.8000000001</v>
      </c>
      <c r="N18" s="26">
        <v>2709397.7000000007</v>
      </c>
      <c r="O18" s="26">
        <v>2250652</v>
      </c>
      <c r="P18" s="26"/>
      <c r="Q18" s="26">
        <f t="shared" si="0"/>
        <v>2250652</v>
      </c>
      <c r="R18" s="26">
        <v>1843151.1999999995</v>
      </c>
      <c r="S18" s="26">
        <v>1680249.1999999997</v>
      </c>
      <c r="T18" s="26">
        <v>479250.4</v>
      </c>
      <c r="U18" s="26">
        <v>375400.3</v>
      </c>
      <c r="V18" s="26"/>
      <c r="W18" s="56">
        <f t="shared" si="1"/>
        <v>375400.3</v>
      </c>
      <c r="X18" s="26">
        <v>100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139431.7</v>
      </c>
      <c r="AG18" s="26">
        <v>124227.29999999999</v>
      </c>
      <c r="AH18" s="26">
        <v>-612181.9000000001</v>
      </c>
      <c r="AI18" s="26">
        <v>-696882.8</v>
      </c>
      <c r="AJ18" s="57">
        <v>-1964020.9</v>
      </c>
      <c r="AK18" s="57">
        <v>-1755456.4719999998</v>
      </c>
      <c r="AL18" s="57">
        <f t="shared" si="2"/>
        <v>1351838.9999999998</v>
      </c>
      <c r="AM18" s="57">
        <f t="shared" si="3"/>
        <v>1058573.6719999998</v>
      </c>
      <c r="AN18" s="57">
        <v>-1856978.4000000004</v>
      </c>
      <c r="AO18" s="57">
        <v>-1818061.2</v>
      </c>
      <c r="AP18" s="26">
        <v>416850.80000000005</v>
      </c>
      <c r="AQ18" s="26">
        <v>401865.9000000001</v>
      </c>
      <c r="AR18" s="26">
        <v>197523.4</v>
      </c>
      <c r="AS18" s="26">
        <v>140487.19999999998</v>
      </c>
      <c r="AT18" s="26"/>
      <c r="AU18" s="55">
        <f t="shared" si="4"/>
        <v>140487.19999999998</v>
      </c>
      <c r="AV18" s="26">
        <v>171632.9</v>
      </c>
      <c r="AW18" s="26">
        <v>157026.69999999998</v>
      </c>
      <c r="AX18" s="26">
        <v>274375.1</v>
      </c>
      <c r="AY18" s="26">
        <v>195557.30000000002</v>
      </c>
      <c r="AZ18" s="26"/>
      <c r="BA18" s="26"/>
      <c r="BB18" s="26">
        <v>14278.8</v>
      </c>
      <c r="BC18" s="26">
        <v>11089.900000000001</v>
      </c>
      <c r="BD18" s="26">
        <v>26560.4</v>
      </c>
      <c r="BE18" s="26">
        <v>21502.7</v>
      </c>
      <c r="BF18" s="26">
        <v>293099.60000000003</v>
      </c>
      <c r="BG18" s="26">
        <v>266554.69999999995</v>
      </c>
      <c r="BH18" s="26">
        <v>392999.8</v>
      </c>
      <c r="BI18" s="26">
        <v>328863.9</v>
      </c>
      <c r="BJ18" s="26">
        <v>1306192.5</v>
      </c>
      <c r="BK18" s="26">
        <v>1254826.5</v>
      </c>
      <c r="BL18" s="26">
        <v>91109.5</v>
      </c>
      <c r="BM18" s="26">
        <v>67662.19999999998</v>
      </c>
      <c r="BN18" s="26">
        <v>224657.4</v>
      </c>
      <c r="BO18" s="26">
        <v>209964.6</v>
      </c>
      <c r="BP18" s="26">
        <v>0</v>
      </c>
      <c r="BQ18" s="26">
        <v>0</v>
      </c>
      <c r="BR18" s="26">
        <v>134778.69999999998</v>
      </c>
      <c r="BS18" s="26">
        <v>48789.2</v>
      </c>
      <c r="BT18" s="26">
        <v>2782.6</v>
      </c>
      <c r="BU18" s="26">
        <v>0</v>
      </c>
      <c r="BV18" s="26"/>
      <c r="BW18" s="26">
        <v>0</v>
      </c>
    </row>
    <row r="19" spans="1:75" ht="24.75" customHeight="1">
      <c r="A19" s="24"/>
      <c r="B19" s="25">
        <v>8</v>
      </c>
      <c r="C19" s="50" t="s">
        <v>33</v>
      </c>
      <c r="D19" s="26">
        <v>5600611.776300002</v>
      </c>
      <c r="E19" s="26">
        <v>4845972.108699998</v>
      </c>
      <c r="F19" s="26">
        <v>6335589.576300002</v>
      </c>
      <c r="G19" s="26">
        <v>5213064.7086999975</v>
      </c>
      <c r="H19" s="26">
        <v>4836930.260600002</v>
      </c>
      <c r="I19" s="26">
        <v>4453079.252000001</v>
      </c>
      <c r="J19" s="26">
        <v>-734977.7999999998</v>
      </c>
      <c r="K19" s="26">
        <v>-367092.5999999999</v>
      </c>
      <c r="L19" s="26">
        <v>763681.5157000002</v>
      </c>
      <c r="M19" s="26">
        <v>392892.8567000002</v>
      </c>
      <c r="N19" s="26">
        <v>1498659.3158</v>
      </c>
      <c r="O19" s="26">
        <v>759985.4750000001</v>
      </c>
      <c r="P19" s="26"/>
      <c r="Q19" s="26">
        <f t="shared" si="0"/>
        <v>759985.4750000001</v>
      </c>
      <c r="R19" s="26">
        <v>2043388.2001000002</v>
      </c>
      <c r="S19" s="26">
        <v>1853894.4399999997</v>
      </c>
      <c r="T19" s="26">
        <v>476914.9400000003</v>
      </c>
      <c r="U19" s="26">
        <v>191507.775</v>
      </c>
      <c r="V19" s="26"/>
      <c r="W19" s="56">
        <f t="shared" si="1"/>
        <v>191507.775</v>
      </c>
      <c r="X19" s="26">
        <v>0</v>
      </c>
      <c r="Y19" s="26">
        <v>0</v>
      </c>
      <c r="Z19" s="26">
        <v>0</v>
      </c>
      <c r="AA19" s="26">
        <v>0</v>
      </c>
      <c r="AB19" s="26">
        <v>170</v>
      </c>
      <c r="AC19" s="26">
        <v>0</v>
      </c>
      <c r="AD19" s="26">
        <v>0</v>
      </c>
      <c r="AE19" s="26">
        <v>0</v>
      </c>
      <c r="AF19" s="26">
        <v>352831.10000000003</v>
      </c>
      <c r="AG19" s="26">
        <v>320793.86799999996</v>
      </c>
      <c r="AH19" s="26">
        <v>-79378.49979999998</v>
      </c>
      <c r="AI19" s="26">
        <v>-17341.098300000005</v>
      </c>
      <c r="AJ19" s="57">
        <v>-1050277.4</v>
      </c>
      <c r="AK19" s="57">
        <v>-943948.6</v>
      </c>
      <c r="AL19" s="57">
        <f t="shared" si="2"/>
        <v>970898.9001999999</v>
      </c>
      <c r="AM19" s="57">
        <f t="shared" si="3"/>
        <v>926607.5017</v>
      </c>
      <c r="AN19" s="57">
        <v>-734977.7999999998</v>
      </c>
      <c r="AO19" s="57">
        <v>-367092.5999999999</v>
      </c>
      <c r="AP19" s="26">
        <v>211112.70010000002</v>
      </c>
      <c r="AQ19" s="26">
        <v>192489.33000000002</v>
      </c>
      <c r="AR19" s="26">
        <v>33689.7</v>
      </c>
      <c r="AS19" s="26">
        <v>27769.199999999997</v>
      </c>
      <c r="AT19" s="26"/>
      <c r="AU19" s="55">
        <f t="shared" si="4"/>
        <v>27769.199999999997</v>
      </c>
      <c r="AV19" s="26">
        <v>230587.7001</v>
      </c>
      <c r="AW19" s="26">
        <v>212995.6</v>
      </c>
      <c r="AX19" s="26">
        <v>111988.50009999999</v>
      </c>
      <c r="AY19" s="26">
        <v>94630.1</v>
      </c>
      <c r="AZ19" s="26"/>
      <c r="BA19" s="26"/>
      <c r="BB19" s="26">
        <v>1627</v>
      </c>
      <c r="BC19" s="26">
        <v>1627</v>
      </c>
      <c r="BD19" s="26">
        <v>0</v>
      </c>
      <c r="BE19" s="26">
        <v>0</v>
      </c>
      <c r="BF19" s="26">
        <v>733314.8001</v>
      </c>
      <c r="BG19" s="26">
        <v>707578.692</v>
      </c>
      <c r="BH19" s="26">
        <v>194358.8754</v>
      </c>
      <c r="BI19" s="26">
        <v>74635.48000000001</v>
      </c>
      <c r="BJ19" s="26">
        <v>935672.6602000002</v>
      </c>
      <c r="BK19" s="26">
        <v>898545.2150000001</v>
      </c>
      <c r="BL19" s="26">
        <v>20168</v>
      </c>
      <c r="BM19" s="26">
        <v>15751.400000000001</v>
      </c>
      <c r="BN19" s="26">
        <v>238651.29999999996</v>
      </c>
      <c r="BO19" s="26">
        <v>225245.00699999995</v>
      </c>
      <c r="BP19" s="26">
        <v>5940</v>
      </c>
      <c r="BQ19" s="26">
        <v>5940</v>
      </c>
      <c r="BR19" s="26">
        <v>89574.79999999997</v>
      </c>
      <c r="BS19" s="26">
        <v>39910.09999999999</v>
      </c>
      <c r="BT19" s="26">
        <v>0</v>
      </c>
      <c r="BU19" s="26">
        <v>0</v>
      </c>
      <c r="BV19" s="26">
        <v>438291.4285</v>
      </c>
      <c r="BW19" s="26">
        <v>237064</v>
      </c>
    </row>
    <row r="20" spans="1:75" ht="24.75" customHeight="1">
      <c r="A20" s="24"/>
      <c r="B20" s="23">
        <v>9</v>
      </c>
      <c r="C20" s="50" t="s">
        <v>34</v>
      </c>
      <c r="D20" s="26">
        <v>3269447.939999999</v>
      </c>
      <c r="E20" s="26">
        <v>2902806.2000000016</v>
      </c>
      <c r="F20" s="26">
        <v>3619044.539999999</v>
      </c>
      <c r="G20" s="26">
        <v>3217656.500000002</v>
      </c>
      <c r="H20" s="33">
        <v>2990002.2399999998</v>
      </c>
      <c r="I20" s="33">
        <v>2737232.800000001</v>
      </c>
      <c r="J20" s="33">
        <v>-349596.60000000003</v>
      </c>
      <c r="K20" s="33">
        <v>-314850.30000000005</v>
      </c>
      <c r="L20" s="26">
        <v>330716.6</v>
      </c>
      <c r="M20" s="26">
        <v>207424.20000000004</v>
      </c>
      <c r="N20" s="26">
        <v>680313.3</v>
      </c>
      <c r="O20" s="26">
        <v>522274.70000000007</v>
      </c>
      <c r="P20" s="26">
        <v>127138.4</v>
      </c>
      <c r="Q20" s="26">
        <f t="shared" si="0"/>
        <v>395136.30000000005</v>
      </c>
      <c r="R20" s="26">
        <v>1197442.2</v>
      </c>
      <c r="S20" s="26">
        <v>1105015.1999999997</v>
      </c>
      <c r="T20" s="26">
        <v>173196.30000000005</v>
      </c>
      <c r="U20" s="26">
        <v>105100.6</v>
      </c>
      <c r="V20" s="26"/>
      <c r="W20" s="56">
        <f t="shared" si="1"/>
        <v>105100.6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93569.6</v>
      </c>
      <c r="AG20" s="26">
        <v>78419.9</v>
      </c>
      <c r="AH20" s="26">
        <v>-192972.00000000003</v>
      </c>
      <c r="AI20" s="26">
        <v>-182314.90000000005</v>
      </c>
      <c r="AJ20" s="57">
        <v>-339335</v>
      </c>
      <c r="AK20" s="57">
        <v>-242815</v>
      </c>
      <c r="AL20" s="57">
        <f t="shared" si="2"/>
        <v>146362.99999999997</v>
      </c>
      <c r="AM20" s="57">
        <f t="shared" si="3"/>
        <v>60500.09999999995</v>
      </c>
      <c r="AN20" s="57">
        <v>-349596.60000000003</v>
      </c>
      <c r="AO20" s="57">
        <v>-314850.30000000005</v>
      </c>
      <c r="AP20" s="26">
        <v>307066.20000000007</v>
      </c>
      <c r="AQ20" s="26">
        <v>295240.80000000005</v>
      </c>
      <c r="AR20" s="26">
        <v>115925.49999999999</v>
      </c>
      <c r="AS20" s="26">
        <v>109030.1</v>
      </c>
      <c r="AT20" s="26"/>
      <c r="AU20" s="55">
        <f t="shared" si="4"/>
        <v>109030.1</v>
      </c>
      <c r="AV20" s="26">
        <v>56616.00000000001</v>
      </c>
      <c r="AW20" s="26">
        <v>46037.2</v>
      </c>
      <c r="AX20" s="26">
        <v>92860.29999999999</v>
      </c>
      <c r="AY20" s="26">
        <v>69891.09999999999</v>
      </c>
      <c r="AZ20" s="26"/>
      <c r="BA20" s="26"/>
      <c r="BB20" s="26">
        <v>0</v>
      </c>
      <c r="BC20" s="26">
        <v>0</v>
      </c>
      <c r="BD20" s="26">
        <v>6547</v>
      </c>
      <c r="BE20" s="26">
        <v>6547</v>
      </c>
      <c r="BF20" s="26">
        <v>285601.9</v>
      </c>
      <c r="BG20" s="26">
        <v>268727.6</v>
      </c>
      <c r="BH20" s="26">
        <v>52611.4</v>
      </c>
      <c r="BI20" s="26">
        <v>42175.40000000001</v>
      </c>
      <c r="BJ20" s="26">
        <v>809945.5000000001</v>
      </c>
      <c r="BK20" s="26">
        <v>781268.7999999999</v>
      </c>
      <c r="BL20" s="26">
        <v>73420.5</v>
      </c>
      <c r="BM20" s="26">
        <v>55893.9</v>
      </c>
      <c r="BN20" s="26">
        <v>53597.5</v>
      </c>
      <c r="BO20" s="26">
        <v>47122.4</v>
      </c>
      <c r="BP20" s="26">
        <v>1000</v>
      </c>
      <c r="BQ20" s="26">
        <v>0</v>
      </c>
      <c r="BR20" s="26">
        <v>186163.33999999997</v>
      </c>
      <c r="BS20" s="26">
        <v>115400.90000000002</v>
      </c>
      <c r="BT20" s="26">
        <v>8127.6</v>
      </c>
      <c r="BU20" s="26">
        <v>1101</v>
      </c>
      <c r="BV20" s="26">
        <v>51270.9</v>
      </c>
      <c r="BW20" s="26">
        <v>41850.8</v>
      </c>
    </row>
    <row r="21" spans="1:75" ht="24.75" customHeight="1">
      <c r="A21" s="24"/>
      <c r="B21" s="25">
        <v>10</v>
      </c>
      <c r="C21" s="50" t="s">
        <v>35</v>
      </c>
      <c r="D21" s="26">
        <v>1252363.8</v>
      </c>
      <c r="E21" s="59">
        <v>1049817</v>
      </c>
      <c r="F21" s="26">
        <v>1413973.5</v>
      </c>
      <c r="G21" s="26">
        <v>1168528.7</v>
      </c>
      <c r="H21" s="61">
        <v>1077536.2000000002</v>
      </c>
      <c r="I21" s="61">
        <v>963875.8999999999</v>
      </c>
      <c r="J21" s="61">
        <v>-161609.7</v>
      </c>
      <c r="K21" s="61">
        <v>-118711.69999999998</v>
      </c>
      <c r="L21" s="60">
        <v>191171.60000000003</v>
      </c>
      <c r="M21" s="26">
        <v>85941.1</v>
      </c>
      <c r="N21" s="26">
        <v>352781.30000000005</v>
      </c>
      <c r="O21" s="26">
        <v>204652.8</v>
      </c>
      <c r="P21" s="33">
        <v>59092.100000000006</v>
      </c>
      <c r="Q21" s="26">
        <f t="shared" si="0"/>
        <v>145560.69999999998</v>
      </c>
      <c r="R21" s="26">
        <v>506302.9</v>
      </c>
      <c r="S21" s="26">
        <v>451651.89999999997</v>
      </c>
      <c r="T21" s="26">
        <v>92072.5</v>
      </c>
      <c r="U21" s="26">
        <v>65526.7</v>
      </c>
      <c r="V21" s="26">
        <v>31488.4</v>
      </c>
      <c r="W21" s="56">
        <f t="shared" si="1"/>
        <v>34038.299999999996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62747.9</v>
      </c>
      <c r="AG21" s="26">
        <v>55284.6</v>
      </c>
      <c r="AH21" s="26">
        <v>-37400.7</v>
      </c>
      <c r="AI21" s="26">
        <v>-70304.59999999999</v>
      </c>
      <c r="AJ21" s="57">
        <v>-114474.4</v>
      </c>
      <c r="AK21" s="57">
        <v>-120044.348</v>
      </c>
      <c r="AL21" s="57">
        <f t="shared" si="2"/>
        <v>77073.7</v>
      </c>
      <c r="AM21" s="57">
        <f t="shared" si="3"/>
        <v>49739.74800000001</v>
      </c>
      <c r="AN21" s="57">
        <v>-161609.7</v>
      </c>
      <c r="AO21" s="57">
        <v>-118711.69999999998</v>
      </c>
      <c r="AP21" s="26">
        <v>86094</v>
      </c>
      <c r="AQ21" s="26">
        <v>78731.627</v>
      </c>
      <c r="AR21" s="26">
        <v>2960.7277</v>
      </c>
      <c r="AS21" s="26">
        <v>890</v>
      </c>
      <c r="AT21" s="26"/>
      <c r="AU21" s="55">
        <f t="shared" si="4"/>
        <v>890</v>
      </c>
      <c r="AV21" s="26">
        <v>36444.8</v>
      </c>
      <c r="AW21" s="26">
        <v>29635.8</v>
      </c>
      <c r="AX21" s="26">
        <v>64575.14</v>
      </c>
      <c r="AY21" s="26">
        <v>43085.71</v>
      </c>
      <c r="AZ21" s="26">
        <v>27602.9</v>
      </c>
      <c r="BA21" s="26">
        <f>AY21-AZ21</f>
        <v>15482.809999999998</v>
      </c>
      <c r="BB21" s="26">
        <v>0</v>
      </c>
      <c r="BC21" s="26">
        <v>0</v>
      </c>
      <c r="BD21" s="26">
        <v>0</v>
      </c>
      <c r="BE21" s="26">
        <v>0</v>
      </c>
      <c r="BF21" s="26">
        <v>102862.2</v>
      </c>
      <c r="BG21" s="26">
        <v>92193.892</v>
      </c>
      <c r="BH21" s="26">
        <v>43072</v>
      </c>
      <c r="BI21" s="26">
        <v>41194.7</v>
      </c>
      <c r="BJ21" s="26">
        <v>238665.1501</v>
      </c>
      <c r="BK21" s="26">
        <v>218484.459</v>
      </c>
      <c r="BL21" s="26">
        <v>9580.101</v>
      </c>
      <c r="BM21" s="26">
        <v>5547.75</v>
      </c>
      <c r="BN21" s="26">
        <v>39963.7</v>
      </c>
      <c r="BO21" s="26">
        <v>37795.328</v>
      </c>
      <c r="BP21" s="26">
        <v>0</v>
      </c>
      <c r="BQ21" s="26">
        <v>0</v>
      </c>
      <c r="BR21" s="26">
        <v>20425.3</v>
      </c>
      <c r="BS21" s="26">
        <v>9400</v>
      </c>
      <c r="BT21" s="26">
        <v>600.4</v>
      </c>
      <c r="BU21" s="26">
        <v>0</v>
      </c>
      <c r="BV21" s="26">
        <v>15945.6</v>
      </c>
      <c r="BW21" s="26">
        <v>9400</v>
      </c>
    </row>
    <row r="22" spans="1:75" ht="24.75" customHeight="1">
      <c r="A22" s="24"/>
      <c r="B22" s="23">
        <v>11</v>
      </c>
      <c r="C22" s="36" t="s">
        <v>36</v>
      </c>
      <c r="D22" s="26">
        <v>2301383.9</v>
      </c>
      <c r="E22" s="26">
        <v>1749933.8000000003</v>
      </c>
      <c r="F22" s="26">
        <v>3224971.1</v>
      </c>
      <c r="G22" s="26">
        <v>2684358.5000000005</v>
      </c>
      <c r="H22" s="26">
        <v>2107885.8000000003</v>
      </c>
      <c r="I22" s="26">
        <v>1983237.2999999998</v>
      </c>
      <c r="J22" s="26">
        <v>-923587.2000000001</v>
      </c>
      <c r="K22" s="26">
        <v>-934424.7000000001</v>
      </c>
      <c r="L22" s="26">
        <v>214054.9</v>
      </c>
      <c r="M22" s="26">
        <v>-213241.9</v>
      </c>
      <c r="N22" s="26">
        <v>1137642.1</v>
      </c>
      <c r="O22" s="26">
        <v>721182.7999999999</v>
      </c>
      <c r="P22" s="26">
        <v>7632.1</v>
      </c>
      <c r="Q22" s="26">
        <f t="shared" si="0"/>
        <v>713550.7</v>
      </c>
      <c r="R22" s="26">
        <v>968558.3</v>
      </c>
      <c r="S22" s="26">
        <v>917363.4000000001</v>
      </c>
      <c r="T22" s="26">
        <v>130219</v>
      </c>
      <c r="U22" s="26">
        <v>57631.49999999999</v>
      </c>
      <c r="V22" s="26">
        <v>7632.1</v>
      </c>
      <c r="W22" s="56">
        <f t="shared" si="1"/>
        <v>49999.399999999994</v>
      </c>
      <c r="X22" s="26">
        <v>72</v>
      </c>
      <c r="Y22" s="26">
        <v>72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73739.4</v>
      </c>
      <c r="AG22" s="26">
        <v>64922.600000000006</v>
      </c>
      <c r="AH22" s="26">
        <v>-176196.99999999997</v>
      </c>
      <c r="AI22" s="26">
        <v>-454244.60000000003</v>
      </c>
      <c r="AJ22" s="57">
        <v>-598558.2</v>
      </c>
      <c r="AK22" s="57">
        <v>-314997</v>
      </c>
      <c r="AL22" s="57">
        <f t="shared" si="2"/>
        <v>422361.19999999995</v>
      </c>
      <c r="AM22" s="57">
        <f t="shared" si="3"/>
        <v>-139247.60000000003</v>
      </c>
      <c r="AN22" s="57">
        <v>-923587.2000000001</v>
      </c>
      <c r="AO22" s="57">
        <v>-934424.7000000001</v>
      </c>
      <c r="AP22" s="26">
        <v>152128.9</v>
      </c>
      <c r="AQ22" s="26">
        <v>148214</v>
      </c>
      <c r="AR22" s="26">
        <v>10425</v>
      </c>
      <c r="AS22" s="26">
        <v>1098</v>
      </c>
      <c r="AT22" s="26"/>
      <c r="AU22" s="55">
        <f t="shared" si="4"/>
        <v>1098</v>
      </c>
      <c r="AV22" s="26">
        <v>67648.7</v>
      </c>
      <c r="AW22" s="26">
        <v>63214.2</v>
      </c>
      <c r="AX22" s="26">
        <v>114533.30000000002</v>
      </c>
      <c r="AY22" s="26">
        <v>86654.90000000001</v>
      </c>
      <c r="AZ22" s="26"/>
      <c r="BA22" s="26">
        <v>600</v>
      </c>
      <c r="BB22" s="26">
        <v>1100.8</v>
      </c>
      <c r="BC22" s="26">
        <v>1100.8</v>
      </c>
      <c r="BD22" s="26">
        <v>861</v>
      </c>
      <c r="BE22" s="26">
        <v>834</v>
      </c>
      <c r="BF22" s="26">
        <v>187132.5</v>
      </c>
      <c r="BG22" s="26">
        <v>179701.3</v>
      </c>
      <c r="BH22" s="26">
        <v>101173.6</v>
      </c>
      <c r="BI22" s="26">
        <v>74935.2</v>
      </c>
      <c r="BJ22" s="26">
        <v>521275.2</v>
      </c>
      <c r="BK22" s="26">
        <v>512523.70000000007</v>
      </c>
      <c r="BL22" s="26">
        <v>26392.699999999997</v>
      </c>
      <c r="BM22" s="26">
        <v>17917.2</v>
      </c>
      <c r="BN22" s="26">
        <v>61490.600000000006</v>
      </c>
      <c r="BO22" s="26">
        <v>59108.1</v>
      </c>
      <c r="BP22" s="26">
        <v>1676</v>
      </c>
      <c r="BQ22" s="26">
        <v>1675.9</v>
      </c>
      <c r="BR22" s="26">
        <v>74739.4</v>
      </c>
      <c r="BS22" s="26">
        <v>37017.200000000004</v>
      </c>
      <c r="BT22" s="26">
        <v>4971.3</v>
      </c>
      <c r="BU22" s="26">
        <v>256</v>
      </c>
      <c r="BV22" s="26">
        <v>20556.8</v>
      </c>
      <c r="BW22" s="26">
        <v>20061.6</v>
      </c>
    </row>
    <row r="23" spans="1:75" ht="31.5" customHeight="1">
      <c r="A23" s="24"/>
      <c r="B23" s="344" t="s">
        <v>26</v>
      </c>
      <c r="C23" s="345"/>
      <c r="D23" s="27">
        <f aca="true" t="shared" si="5" ref="D23:AM23">SUM(D12:D22)</f>
        <v>95271539.7773</v>
      </c>
      <c r="E23" s="27">
        <f t="shared" si="5"/>
        <v>82700254.23179998</v>
      </c>
      <c r="F23" s="27">
        <f t="shared" si="5"/>
        <v>116377312.398</v>
      </c>
      <c r="G23" s="27">
        <f t="shared" si="5"/>
        <v>99631603.27819999</v>
      </c>
      <c r="H23" s="27">
        <f t="shared" si="5"/>
        <v>85670396.3856</v>
      </c>
      <c r="I23" s="27">
        <f t="shared" si="5"/>
        <v>76618915.5528</v>
      </c>
      <c r="J23" s="27">
        <f t="shared" si="5"/>
        <v>-21105772.620699998</v>
      </c>
      <c r="K23" s="27">
        <f t="shared" si="5"/>
        <v>-16931349.0464</v>
      </c>
      <c r="L23" s="27">
        <f t="shared" si="5"/>
        <v>12883714.803000001</v>
      </c>
      <c r="M23" s="27">
        <f t="shared" si="5"/>
        <v>7772915.6331</v>
      </c>
      <c r="N23" s="27">
        <f t="shared" si="5"/>
        <v>33989487.517799996</v>
      </c>
      <c r="O23" s="27">
        <f t="shared" si="5"/>
        <v>24704265.003500007</v>
      </c>
      <c r="P23" s="27">
        <f t="shared" si="5"/>
        <v>1576461.4000000001</v>
      </c>
      <c r="Q23" s="27">
        <f t="shared" si="5"/>
        <v>23127803.6035</v>
      </c>
      <c r="R23" s="27">
        <f t="shared" si="5"/>
        <v>20360390.134699997</v>
      </c>
      <c r="S23" s="27">
        <f t="shared" si="5"/>
        <v>18307611.6458</v>
      </c>
      <c r="T23" s="27">
        <f t="shared" si="5"/>
        <v>4000482.7603</v>
      </c>
      <c r="U23" s="27">
        <f t="shared" si="5"/>
        <v>2439934.9861000003</v>
      </c>
      <c r="V23" s="27">
        <f t="shared" si="5"/>
        <v>39120.5</v>
      </c>
      <c r="W23" s="56">
        <f t="shared" si="5"/>
        <v>2400814.4861</v>
      </c>
      <c r="X23" s="27">
        <f t="shared" si="5"/>
        <v>19572.6</v>
      </c>
      <c r="Y23" s="27">
        <f t="shared" si="5"/>
        <v>13677.400000000001</v>
      </c>
      <c r="Z23" s="27">
        <f t="shared" si="5"/>
        <v>0</v>
      </c>
      <c r="AA23" s="27">
        <f t="shared" si="5"/>
        <v>0</v>
      </c>
      <c r="AB23" s="27">
        <f t="shared" si="5"/>
        <v>1870</v>
      </c>
      <c r="AC23" s="27">
        <f t="shared" si="5"/>
        <v>1500</v>
      </c>
      <c r="AD23" s="27">
        <f t="shared" si="5"/>
        <v>0</v>
      </c>
      <c r="AE23" s="27">
        <f t="shared" si="5"/>
        <v>0</v>
      </c>
      <c r="AF23" s="27">
        <f t="shared" si="5"/>
        <v>7887736.135400001</v>
      </c>
      <c r="AG23" s="27">
        <f t="shared" si="5"/>
        <v>8800530.773899999</v>
      </c>
      <c r="AH23" s="27">
        <f t="shared" si="5"/>
        <v>-3922019.6355000003</v>
      </c>
      <c r="AI23" s="27">
        <f t="shared" si="5"/>
        <v>-2223603.7268</v>
      </c>
      <c r="AJ23" s="57">
        <f t="shared" si="5"/>
        <v>-11345179.5296</v>
      </c>
      <c r="AK23" s="57">
        <f t="shared" si="5"/>
        <v>-4861456.1790000005</v>
      </c>
      <c r="AL23" s="27">
        <f t="shared" si="5"/>
        <v>7423159.8941</v>
      </c>
      <c r="AM23" s="27">
        <f t="shared" si="5"/>
        <v>2637852.4522</v>
      </c>
      <c r="AN23" s="27">
        <f aca="true" t="shared" si="6" ref="AN23:AY23">SUM(AN12:AN22)</f>
        <v>-21105772.620699998</v>
      </c>
      <c r="AO23" s="27">
        <f t="shared" si="6"/>
        <v>-16931349.0464</v>
      </c>
      <c r="AP23" s="27">
        <f t="shared" si="6"/>
        <v>7292274.410900001</v>
      </c>
      <c r="AQ23" s="27">
        <f t="shared" si="6"/>
        <v>7159053.811000002</v>
      </c>
      <c r="AR23" s="27">
        <f t="shared" si="6"/>
        <v>868481.5281</v>
      </c>
      <c r="AS23" s="27">
        <f t="shared" si="6"/>
        <v>550604.29</v>
      </c>
      <c r="AT23" s="27">
        <f t="shared" si="6"/>
        <v>61271</v>
      </c>
      <c r="AU23" s="27">
        <f t="shared" si="6"/>
        <v>489333.29000000004</v>
      </c>
      <c r="AV23" s="27">
        <f t="shared" si="6"/>
        <v>10392144.9703</v>
      </c>
      <c r="AW23" s="27">
        <f t="shared" si="6"/>
        <v>6376007.742</v>
      </c>
      <c r="AX23" s="27">
        <f t="shared" si="6"/>
        <v>4117878.9661</v>
      </c>
      <c r="AY23" s="27">
        <f t="shared" si="6"/>
        <v>3392885.9117</v>
      </c>
      <c r="AZ23" s="27"/>
      <c r="BA23" s="27"/>
      <c r="BB23" s="27">
        <f aca="true" t="shared" si="7" ref="BB23:BW23">SUM(BB12:BB22)</f>
        <v>98881.5</v>
      </c>
      <c r="BC23" s="27">
        <f t="shared" si="7"/>
        <v>88765.567</v>
      </c>
      <c r="BD23" s="27">
        <f t="shared" si="7"/>
        <v>281922.5</v>
      </c>
      <c r="BE23" s="27">
        <f t="shared" si="7"/>
        <v>270284.85</v>
      </c>
      <c r="BF23" s="27">
        <f t="shared" si="7"/>
        <v>4429143.9538</v>
      </c>
      <c r="BG23" s="27">
        <f t="shared" si="7"/>
        <v>4169315.2889999994</v>
      </c>
      <c r="BH23" s="27">
        <f t="shared" si="7"/>
        <v>3639092.6254</v>
      </c>
      <c r="BI23" s="27">
        <f t="shared" si="7"/>
        <v>995904.153</v>
      </c>
      <c r="BJ23" s="27">
        <f t="shared" si="7"/>
        <v>28199614.955599997</v>
      </c>
      <c r="BK23" s="27">
        <f t="shared" si="7"/>
        <v>27472162.314999998</v>
      </c>
      <c r="BL23" s="27">
        <f t="shared" si="7"/>
        <v>2657802.1711000004</v>
      </c>
      <c r="BM23" s="27">
        <f t="shared" si="7"/>
        <v>1779687.67</v>
      </c>
      <c r="BN23" s="27">
        <f t="shared" si="7"/>
        <v>2279592.6206</v>
      </c>
      <c r="BO23" s="27">
        <f t="shared" si="7"/>
        <v>2080853.9759999998</v>
      </c>
      <c r="BP23" s="27">
        <f t="shared" si="7"/>
        <v>27495.5001</v>
      </c>
      <c r="BQ23" s="27">
        <f t="shared" si="7"/>
        <v>25582.620000000003</v>
      </c>
      <c r="BR23" s="27">
        <f t="shared" si="7"/>
        <v>5240919.1835</v>
      </c>
      <c r="BS23" s="27">
        <f t="shared" si="7"/>
        <v>2569630.9783000005</v>
      </c>
      <c r="BT23" s="27">
        <f t="shared" si="7"/>
        <v>681542.67</v>
      </c>
      <c r="BU23" s="27">
        <f t="shared" si="7"/>
        <v>131216.4</v>
      </c>
      <c r="BV23" s="27">
        <f t="shared" si="7"/>
        <v>830163.7185</v>
      </c>
      <c r="BW23" s="27">
        <f t="shared" si="7"/>
        <v>508518.3</v>
      </c>
    </row>
    <row r="24" ht="24.75" customHeight="1"/>
    <row r="25" spans="4:7" ht="15">
      <c r="D25" s="39"/>
      <c r="E25" s="39"/>
      <c r="F25" s="39"/>
      <c r="G25" s="39"/>
    </row>
    <row r="26" ht="15">
      <c r="L26" s="39"/>
    </row>
  </sheetData>
  <sheetProtection/>
  <mergeCells count="115">
    <mergeCell ref="BK9:BK10"/>
    <mergeCell ref="BH9:BH10"/>
    <mergeCell ref="R9:R10"/>
    <mergeCell ref="U9:U10"/>
    <mergeCell ref="AF9:AF10"/>
    <mergeCell ref="AJ9:AJ10"/>
    <mergeCell ref="AK9:AK10"/>
    <mergeCell ref="AP9:AP10"/>
    <mergeCell ref="AH9:AH10"/>
    <mergeCell ref="AI9:AI10"/>
    <mergeCell ref="BF7:BI7"/>
    <mergeCell ref="BB8:BC8"/>
    <mergeCell ref="AY9:AY10"/>
    <mergeCell ref="X9:X10"/>
    <mergeCell ref="AG9:AG10"/>
    <mergeCell ref="BG9:BG10"/>
    <mergeCell ref="BI9:BI10"/>
    <mergeCell ref="AQ9:AQ10"/>
    <mergeCell ref="AA9:AA10"/>
    <mergeCell ref="AC9:AC10"/>
    <mergeCell ref="AV9:AV10"/>
    <mergeCell ref="BB9:BB10"/>
    <mergeCell ref="BP8:BQ8"/>
    <mergeCell ref="BL8:BM8"/>
    <mergeCell ref="AL8:AM8"/>
    <mergeCell ref="AB7:AE7"/>
    <mergeCell ref="AJ7:AM7"/>
    <mergeCell ref="AJ8:AK8"/>
    <mergeCell ref="BN7:BQ7"/>
    <mergeCell ref="BJ7:BM7"/>
    <mergeCell ref="AV7:AY7"/>
    <mergeCell ref="O5:Q5"/>
    <mergeCell ref="BV9:BV10"/>
    <mergeCell ref="BV6:BW7"/>
    <mergeCell ref="BV8:BW8"/>
    <mergeCell ref="AD8:AE8"/>
    <mergeCell ref="BR8:BS8"/>
    <mergeCell ref="BW9:BW10"/>
    <mergeCell ref="AE9:AE10"/>
    <mergeCell ref="AD9:AD10"/>
    <mergeCell ref="BH8:BI8"/>
    <mergeCell ref="AX9:AX10"/>
    <mergeCell ref="AD5:AE5"/>
    <mergeCell ref="Z5:AA5"/>
    <mergeCell ref="R6:BU6"/>
    <mergeCell ref="D6:Q7"/>
    <mergeCell ref="AF7:AI7"/>
    <mergeCell ref="X7:AA7"/>
    <mergeCell ref="R7:W7"/>
    <mergeCell ref="AP7:AU7"/>
    <mergeCell ref="BJ8:BK8"/>
    <mergeCell ref="AV8:AW8"/>
    <mergeCell ref="AW9:AW10"/>
    <mergeCell ref="BN8:BO8"/>
    <mergeCell ref="B6:B10"/>
    <mergeCell ref="C6:C10"/>
    <mergeCell ref="H8:I8"/>
    <mergeCell ref="L8:M8"/>
    <mergeCell ref="F8:G9"/>
    <mergeCell ref="I9:I10"/>
    <mergeCell ref="AH8:AI8"/>
    <mergeCell ref="AF8:AG8"/>
    <mergeCell ref="AL9:AL10"/>
    <mergeCell ref="AM9:AM10"/>
    <mergeCell ref="Z8:AA8"/>
    <mergeCell ref="AP8:AQ8"/>
    <mergeCell ref="AB9:AB10"/>
    <mergeCell ref="B23:C23"/>
    <mergeCell ref="S9:S10"/>
    <mergeCell ref="T9:T10"/>
    <mergeCell ref="H9:H10"/>
    <mergeCell ref="E9:E10"/>
    <mergeCell ref="Q9:Q10"/>
    <mergeCell ref="D9:D10"/>
    <mergeCell ref="M9:M10"/>
    <mergeCell ref="N8:O9"/>
    <mergeCell ref="R8:S8"/>
    <mergeCell ref="T8:U8"/>
    <mergeCell ref="V9:V10"/>
    <mergeCell ref="W9:W10"/>
    <mergeCell ref="X8:Y8"/>
    <mergeCell ref="Z9:Z10"/>
    <mergeCell ref="D8:E8"/>
    <mergeCell ref="L9:L10"/>
    <mergeCell ref="Y9:Y10"/>
    <mergeCell ref="BR7:BU7"/>
    <mergeCell ref="BO9:BO10"/>
    <mergeCell ref="BP9:BP10"/>
    <mergeCell ref="BQ9:BQ10"/>
    <mergeCell ref="BR9:BR10"/>
    <mergeCell ref="BB7:BE7"/>
    <mergeCell ref="BD9:BD10"/>
    <mergeCell ref="BD8:BE8"/>
    <mergeCell ref="BU9:BU10"/>
    <mergeCell ref="BM9:BM10"/>
    <mergeCell ref="AX8:AY8"/>
    <mergeCell ref="BE9:BE10"/>
    <mergeCell ref="AB8:AC8"/>
    <mergeCell ref="BT9:BT10"/>
    <mergeCell ref="BT8:BU8"/>
    <mergeCell ref="BL9:BL10"/>
    <mergeCell ref="BN9:BN10"/>
    <mergeCell ref="BC9:BC10"/>
    <mergeCell ref="BF9:BF10"/>
    <mergeCell ref="BJ9:BJ10"/>
    <mergeCell ref="B2:Q2"/>
    <mergeCell ref="B3:Q3"/>
    <mergeCell ref="B4:Q4"/>
    <mergeCell ref="BF8:BG8"/>
    <mergeCell ref="BS9:BS10"/>
    <mergeCell ref="AU9:AU10"/>
    <mergeCell ref="AR8:AS8"/>
    <mergeCell ref="AS9:AS10"/>
    <mergeCell ref="AT9:AT10"/>
    <mergeCell ref="AR9:AR10"/>
  </mergeCells>
  <printOptions/>
  <pageMargins left="0.15748031496062992" right="0.15748031496062992" top="0.15748031496062992" bottom="0.15748031496062992" header="0.15748031496062992" footer="0.1968503937007874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Y128"/>
  <sheetViews>
    <sheetView zoomScalePageLayoutView="0" workbookViewId="0" topLeftCell="A1">
      <selection activeCell="F16" sqref="F16"/>
    </sheetView>
  </sheetViews>
  <sheetFormatPr defaultColWidth="8.796875" defaultRowHeight="15"/>
  <cols>
    <col min="1" max="1" width="4.09765625" style="0" customWidth="1"/>
    <col min="2" max="2" width="14.5" style="0" customWidth="1"/>
    <col min="3" max="3" width="10.59765625" style="0" customWidth="1"/>
    <col min="4" max="4" width="11.59765625" style="0" customWidth="1"/>
    <col min="5" max="5" width="11.3984375" style="0" customWidth="1"/>
    <col min="6" max="6" width="12" style="0" customWidth="1"/>
    <col min="8" max="8" width="10.59765625" style="0" customWidth="1"/>
    <col min="10" max="10" width="11.8984375" style="0" customWidth="1"/>
    <col min="11" max="11" width="11.19921875" style="0" customWidth="1"/>
    <col min="12" max="12" width="12" style="0" customWidth="1"/>
    <col min="14" max="14" width="11.19921875" style="0" customWidth="1"/>
    <col min="16" max="16" width="9.5" style="0" customWidth="1"/>
    <col min="18" max="18" width="9.59765625" style="0" customWidth="1"/>
    <col min="23" max="23" width="11.3984375" style="0" customWidth="1"/>
    <col min="24" max="24" width="11.59765625" style="0" customWidth="1"/>
    <col min="25" max="27" width="10.19921875" style="0" customWidth="1"/>
    <col min="28" max="28" width="8.69921875" style="0" customWidth="1"/>
    <col min="29" max="29" width="10.09765625" style="0" customWidth="1"/>
    <col min="33" max="33" width="11.09765625" style="0" customWidth="1"/>
    <col min="36" max="36" width="7.3984375" style="0" customWidth="1"/>
    <col min="37" max="37" width="6.69921875" style="0" customWidth="1"/>
  </cols>
  <sheetData>
    <row r="1" ht="6.75" customHeight="1"/>
    <row r="2" spans="4:11" ht="52.5" customHeight="1">
      <c r="D2" s="594" t="s">
        <v>668</v>
      </c>
      <c r="E2" s="594"/>
      <c r="F2" s="594"/>
      <c r="G2" s="594"/>
      <c r="H2" s="594"/>
      <c r="I2" s="594"/>
      <c r="J2" s="594"/>
      <c r="K2" s="594"/>
    </row>
    <row r="3" spans="1:77" ht="12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 t="s">
        <v>19</v>
      </c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</row>
    <row r="4" spans="1:77" ht="11.25" customHeight="1">
      <c r="A4" s="595" t="s">
        <v>2</v>
      </c>
      <c r="B4" s="597" t="s">
        <v>85</v>
      </c>
      <c r="C4" s="598" t="s">
        <v>669</v>
      </c>
      <c r="D4" s="599"/>
      <c r="E4" s="604" t="s">
        <v>48</v>
      </c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</row>
    <row r="5" spans="1:77" ht="21" customHeight="1">
      <c r="A5" s="595"/>
      <c r="B5" s="597"/>
      <c r="C5" s="600"/>
      <c r="D5" s="601"/>
      <c r="E5" s="606" t="s">
        <v>670</v>
      </c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8"/>
      <c r="U5" s="186"/>
      <c r="V5" s="609" t="s">
        <v>3</v>
      </c>
      <c r="W5" s="620"/>
      <c r="X5" s="622" t="s">
        <v>671</v>
      </c>
      <c r="Y5" s="623"/>
      <c r="Z5" s="623"/>
      <c r="AA5" s="623"/>
      <c r="AB5" s="623"/>
      <c r="AC5" s="623"/>
      <c r="AD5" s="623"/>
      <c r="AE5" s="624"/>
      <c r="AF5" s="635" t="s">
        <v>672</v>
      </c>
      <c r="AG5" s="636"/>
      <c r="AH5" s="636"/>
      <c r="AI5" s="636"/>
      <c r="AJ5" s="636"/>
      <c r="AK5" s="637"/>
      <c r="AL5" s="621" t="s">
        <v>673</v>
      </c>
      <c r="AM5" s="621"/>
      <c r="AN5" s="627" t="s">
        <v>4</v>
      </c>
      <c r="AO5" s="627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</row>
    <row r="6" spans="1:77" ht="10.5" customHeight="1">
      <c r="A6" s="595"/>
      <c r="B6" s="597"/>
      <c r="C6" s="600"/>
      <c r="D6" s="601"/>
      <c r="E6" s="612" t="s">
        <v>674</v>
      </c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187"/>
      <c r="V6" s="621"/>
      <c r="W6" s="621"/>
      <c r="X6" s="612" t="s">
        <v>674</v>
      </c>
      <c r="Y6" s="613"/>
      <c r="Z6" s="613"/>
      <c r="AA6" s="613"/>
      <c r="AB6" s="613"/>
      <c r="AC6" s="613"/>
      <c r="AD6" s="613"/>
      <c r="AE6" s="613"/>
      <c r="AF6" s="614" t="s">
        <v>675</v>
      </c>
      <c r="AG6" s="615"/>
      <c r="AH6" s="628" t="s">
        <v>676</v>
      </c>
      <c r="AI6" s="629"/>
      <c r="AJ6" s="629"/>
      <c r="AK6" s="629"/>
      <c r="AL6" s="621"/>
      <c r="AM6" s="621"/>
      <c r="AN6" s="627"/>
      <c r="AO6" s="627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</row>
    <row r="7" spans="1:77" ht="10.5" customHeight="1">
      <c r="A7" s="595"/>
      <c r="B7" s="597"/>
      <c r="C7" s="600"/>
      <c r="D7" s="601"/>
      <c r="E7" s="188"/>
      <c r="F7" s="188"/>
      <c r="G7" s="188"/>
      <c r="H7" s="188"/>
      <c r="I7" s="189"/>
      <c r="J7" s="189"/>
      <c r="K7" s="188"/>
      <c r="L7" s="188"/>
      <c r="M7" s="188"/>
      <c r="N7" s="188"/>
      <c r="O7" s="188"/>
      <c r="P7" s="188"/>
      <c r="Q7" s="188"/>
      <c r="R7" s="188"/>
      <c r="S7" s="187"/>
      <c r="T7" s="187"/>
      <c r="U7" s="187"/>
      <c r="V7" s="621"/>
      <c r="W7" s="621"/>
      <c r="X7" s="190"/>
      <c r="Y7" s="191"/>
      <c r="Z7" s="191"/>
      <c r="AA7" s="191"/>
      <c r="AB7" s="191"/>
      <c r="AC7" s="191"/>
      <c r="AD7" s="192"/>
      <c r="AE7" s="192"/>
      <c r="AF7" s="616"/>
      <c r="AG7" s="617"/>
      <c r="AH7" s="630"/>
      <c r="AI7" s="631"/>
      <c r="AJ7" s="631"/>
      <c r="AK7" s="631"/>
      <c r="AL7" s="621"/>
      <c r="AM7" s="621"/>
      <c r="AN7" s="627"/>
      <c r="AO7" s="627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</row>
    <row r="8" spans="1:77" ht="31.5" customHeight="1">
      <c r="A8" s="595"/>
      <c r="B8" s="597"/>
      <c r="C8" s="600"/>
      <c r="D8" s="601"/>
      <c r="E8" s="633" t="s">
        <v>677</v>
      </c>
      <c r="F8" s="633"/>
      <c r="G8" s="633"/>
      <c r="H8" s="634"/>
      <c r="I8" s="627" t="s">
        <v>678</v>
      </c>
      <c r="J8" s="611"/>
      <c r="K8" s="609" t="s">
        <v>679</v>
      </c>
      <c r="L8" s="610"/>
      <c r="M8" s="609" t="s">
        <v>680</v>
      </c>
      <c r="N8" s="610"/>
      <c r="O8" s="609" t="s">
        <v>681</v>
      </c>
      <c r="P8" s="610"/>
      <c r="Q8" s="609" t="s">
        <v>682</v>
      </c>
      <c r="R8" s="610"/>
      <c r="S8" s="627" t="s">
        <v>683</v>
      </c>
      <c r="T8" s="638"/>
      <c r="U8" s="642"/>
      <c r="V8" s="621"/>
      <c r="W8" s="621"/>
      <c r="X8" s="643" t="s">
        <v>684</v>
      </c>
      <c r="Y8" s="643"/>
      <c r="Z8" s="614" t="s">
        <v>685</v>
      </c>
      <c r="AA8" s="615"/>
      <c r="AB8" s="625" t="s">
        <v>686</v>
      </c>
      <c r="AC8" s="615"/>
      <c r="AD8" s="597" t="s">
        <v>687</v>
      </c>
      <c r="AE8" s="622"/>
      <c r="AF8" s="616"/>
      <c r="AG8" s="617"/>
      <c r="AH8" s="632"/>
      <c r="AI8" s="633"/>
      <c r="AJ8" s="633"/>
      <c r="AK8" s="633"/>
      <c r="AL8" s="621"/>
      <c r="AM8" s="621"/>
      <c r="AN8" s="627"/>
      <c r="AO8" s="627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</row>
    <row r="9" spans="1:77" ht="59.25" customHeight="1">
      <c r="A9" s="595"/>
      <c r="B9" s="597"/>
      <c r="C9" s="602"/>
      <c r="D9" s="603"/>
      <c r="E9" s="639" t="s">
        <v>688</v>
      </c>
      <c r="F9" s="644"/>
      <c r="G9" s="638" t="s">
        <v>689</v>
      </c>
      <c r="H9" s="644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38"/>
      <c r="U9" s="610"/>
      <c r="V9" s="621"/>
      <c r="W9" s="621"/>
      <c r="X9" s="626"/>
      <c r="Y9" s="626"/>
      <c r="Z9" s="618"/>
      <c r="AA9" s="619"/>
      <c r="AB9" s="626"/>
      <c r="AC9" s="619"/>
      <c r="AD9" s="597"/>
      <c r="AE9" s="622"/>
      <c r="AF9" s="618"/>
      <c r="AG9" s="619"/>
      <c r="AH9" s="638" t="s">
        <v>690</v>
      </c>
      <c r="AI9" s="644"/>
      <c r="AJ9" s="638" t="s">
        <v>691</v>
      </c>
      <c r="AK9" s="639"/>
      <c r="AL9" s="621"/>
      <c r="AM9" s="621"/>
      <c r="AN9" s="627"/>
      <c r="AO9" s="627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36" customHeight="1">
      <c r="A10" s="596"/>
      <c r="B10" s="597"/>
      <c r="C10" s="193" t="s">
        <v>692</v>
      </c>
      <c r="D10" s="193" t="s">
        <v>693</v>
      </c>
      <c r="E10" s="194" t="s">
        <v>692</v>
      </c>
      <c r="F10" s="193" t="s">
        <v>693</v>
      </c>
      <c r="G10" s="193" t="s">
        <v>692</v>
      </c>
      <c r="H10" s="193" t="s">
        <v>693</v>
      </c>
      <c r="I10" s="193" t="s">
        <v>692</v>
      </c>
      <c r="J10" s="193" t="s">
        <v>693</v>
      </c>
      <c r="K10" s="193" t="s">
        <v>692</v>
      </c>
      <c r="L10" s="193" t="s">
        <v>693</v>
      </c>
      <c r="M10" s="193" t="s">
        <v>692</v>
      </c>
      <c r="N10" s="193" t="s">
        <v>693</v>
      </c>
      <c r="O10" s="193" t="s">
        <v>692</v>
      </c>
      <c r="P10" s="193" t="s">
        <v>693</v>
      </c>
      <c r="Q10" s="193" t="s">
        <v>692</v>
      </c>
      <c r="R10" s="193" t="s">
        <v>693</v>
      </c>
      <c r="S10" s="193" t="s">
        <v>692</v>
      </c>
      <c r="T10" s="193" t="s">
        <v>693</v>
      </c>
      <c r="U10" s="193"/>
      <c r="V10" s="193" t="s">
        <v>692</v>
      </c>
      <c r="W10" s="193" t="s">
        <v>693</v>
      </c>
      <c r="X10" s="193" t="s">
        <v>692</v>
      </c>
      <c r="Y10" s="193" t="s">
        <v>693</v>
      </c>
      <c r="Z10" s="193"/>
      <c r="AA10" s="193"/>
      <c r="AB10" s="193" t="s">
        <v>692</v>
      </c>
      <c r="AC10" s="193" t="s">
        <v>693</v>
      </c>
      <c r="AD10" s="193" t="s">
        <v>692</v>
      </c>
      <c r="AE10" s="195" t="s">
        <v>693</v>
      </c>
      <c r="AF10" s="194" t="s">
        <v>692</v>
      </c>
      <c r="AG10" s="193" t="s">
        <v>693</v>
      </c>
      <c r="AH10" s="193" t="s">
        <v>692</v>
      </c>
      <c r="AI10" s="193" t="s">
        <v>693</v>
      </c>
      <c r="AJ10" s="193" t="s">
        <v>692</v>
      </c>
      <c r="AK10" s="193" t="s">
        <v>693</v>
      </c>
      <c r="AL10" s="193" t="s">
        <v>692</v>
      </c>
      <c r="AM10" s="193" t="s">
        <v>693</v>
      </c>
      <c r="AN10" s="193" t="s">
        <v>692</v>
      </c>
      <c r="AO10" s="193" t="s">
        <v>693</v>
      </c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>
      <c r="A11" s="196"/>
      <c r="B11" s="197">
        <v>1</v>
      </c>
      <c r="C11" s="197">
        <v>2</v>
      </c>
      <c r="D11" s="197">
        <v>3</v>
      </c>
      <c r="E11" s="197">
        <v>4</v>
      </c>
      <c r="F11" s="197">
        <v>5</v>
      </c>
      <c r="G11" s="197">
        <v>6</v>
      </c>
      <c r="H11" s="197">
        <v>7</v>
      </c>
      <c r="I11" s="197">
        <v>8</v>
      </c>
      <c r="J11" s="197">
        <v>9</v>
      </c>
      <c r="K11" s="197">
        <v>10</v>
      </c>
      <c r="L11" s="197">
        <v>11</v>
      </c>
      <c r="M11" s="197">
        <v>12</v>
      </c>
      <c r="N11" s="197">
        <v>13</v>
      </c>
      <c r="O11" s="197">
        <v>14</v>
      </c>
      <c r="P11" s="197">
        <v>15</v>
      </c>
      <c r="Q11" s="197">
        <v>16</v>
      </c>
      <c r="R11" s="197">
        <v>17</v>
      </c>
      <c r="S11" s="197">
        <v>18</v>
      </c>
      <c r="T11" s="197">
        <v>19</v>
      </c>
      <c r="U11" s="197"/>
      <c r="V11" s="197">
        <v>20</v>
      </c>
      <c r="W11" s="197">
        <v>21</v>
      </c>
      <c r="X11" s="197">
        <v>22</v>
      </c>
      <c r="Y11" s="197">
        <v>23</v>
      </c>
      <c r="Z11" s="197"/>
      <c r="AA11" s="197"/>
      <c r="AB11" s="197">
        <v>24</v>
      </c>
      <c r="AC11" s="197">
        <v>25</v>
      </c>
      <c r="AD11" s="197">
        <v>26</v>
      </c>
      <c r="AE11" s="197">
        <v>27</v>
      </c>
      <c r="AF11" s="197">
        <v>28</v>
      </c>
      <c r="AG11" s="197">
        <v>29</v>
      </c>
      <c r="AH11" s="197">
        <v>30</v>
      </c>
      <c r="AI11" s="197">
        <v>31</v>
      </c>
      <c r="AJ11" s="197">
        <v>32</v>
      </c>
      <c r="AK11" s="197">
        <v>33</v>
      </c>
      <c r="AL11" s="197">
        <v>34</v>
      </c>
      <c r="AM11" s="197">
        <v>35</v>
      </c>
      <c r="AN11" s="197">
        <v>36</v>
      </c>
      <c r="AO11" s="197">
        <v>37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s="206" customFormat="1" ht="15">
      <c r="A12" s="198">
        <v>1</v>
      </c>
      <c r="B12" s="199" t="s">
        <v>694</v>
      </c>
      <c r="C12" s="200">
        <f aca="true" t="shared" si="0" ref="C12:C75">V12+AN12-AL12</f>
        <v>846357.2</v>
      </c>
      <c r="D12" s="200">
        <f aca="true" t="shared" si="1" ref="D12:D36">W12+AO12-AM12-U12</f>
        <v>819155.5000000001</v>
      </c>
      <c r="E12" s="201">
        <v>207211.6</v>
      </c>
      <c r="F12" s="202">
        <v>206289.3</v>
      </c>
      <c r="G12" s="201">
        <v>51885.5</v>
      </c>
      <c r="H12" s="201">
        <v>51656.4</v>
      </c>
      <c r="I12" s="201">
        <v>171051.6</v>
      </c>
      <c r="J12" s="201">
        <v>181702.4</v>
      </c>
      <c r="K12" s="201">
        <v>0</v>
      </c>
      <c r="L12" s="201"/>
      <c r="M12" s="201">
        <v>330778.3</v>
      </c>
      <c r="N12" s="201">
        <v>321687.2</v>
      </c>
      <c r="O12" s="201">
        <v>1500</v>
      </c>
      <c r="P12" s="201">
        <v>3000</v>
      </c>
      <c r="Q12" s="201">
        <v>13030</v>
      </c>
      <c r="R12" s="201">
        <v>14410.5</v>
      </c>
      <c r="S12" s="201">
        <v>62592</v>
      </c>
      <c r="T12" s="201">
        <v>32431.8</v>
      </c>
      <c r="U12" s="203"/>
      <c r="V12" s="201">
        <f aca="true" t="shared" si="2" ref="V12:W33">E12+G12+I12+K12+M12+O12+Q12+S12</f>
        <v>838049</v>
      </c>
      <c r="W12" s="201">
        <f t="shared" si="2"/>
        <v>811177.6000000001</v>
      </c>
      <c r="X12" s="201">
        <v>270607.8</v>
      </c>
      <c r="Y12" s="201">
        <v>219228.7</v>
      </c>
      <c r="Z12" s="203">
        <v>3002.1</v>
      </c>
      <c r="AA12" s="203">
        <v>2982.2</v>
      </c>
      <c r="AB12" s="201"/>
      <c r="AC12" s="201"/>
      <c r="AD12" s="201"/>
      <c r="AE12" s="201"/>
      <c r="AF12" s="201">
        <v>-6556.9</v>
      </c>
      <c r="AG12" s="201">
        <v>-6456.4</v>
      </c>
      <c r="AH12" s="201">
        <v>-255742.7</v>
      </c>
      <c r="AI12" s="204">
        <v>-204794.4</v>
      </c>
      <c r="AJ12" s="201"/>
      <c r="AK12" s="201"/>
      <c r="AL12" s="201"/>
      <c r="AM12" s="201"/>
      <c r="AN12" s="201">
        <f aca="true" t="shared" si="3" ref="AN12:AO14">X12+AB12+AD12+AF12+AH12+AJ12+AL12</f>
        <v>8308.199999999953</v>
      </c>
      <c r="AO12" s="201">
        <f t="shared" si="3"/>
        <v>7977.900000000023</v>
      </c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</row>
    <row r="13" spans="1:77" s="206" customFormat="1" ht="15">
      <c r="A13" s="198">
        <v>2</v>
      </c>
      <c r="B13" s="199" t="s">
        <v>695</v>
      </c>
      <c r="C13" s="200">
        <f t="shared" si="0"/>
        <v>311339.5</v>
      </c>
      <c r="D13" s="200">
        <f t="shared" si="1"/>
        <v>275153.7</v>
      </c>
      <c r="E13" s="201">
        <v>44195.4</v>
      </c>
      <c r="F13" s="202">
        <v>39719.9</v>
      </c>
      <c r="G13" s="201">
        <v>9741.8</v>
      </c>
      <c r="H13" s="201">
        <v>8718.1</v>
      </c>
      <c r="I13" s="201">
        <v>107338.5</v>
      </c>
      <c r="J13" s="201">
        <v>91771.1</v>
      </c>
      <c r="K13" s="201">
        <v>0</v>
      </c>
      <c r="L13" s="201"/>
      <c r="M13" s="201">
        <v>39232.1</v>
      </c>
      <c r="N13" s="201">
        <v>34213.1</v>
      </c>
      <c r="O13" s="201"/>
      <c r="P13" s="201">
        <v>884.7</v>
      </c>
      <c r="Q13" s="201">
        <v>5685</v>
      </c>
      <c r="R13" s="201">
        <v>5950.5</v>
      </c>
      <c r="S13" s="201">
        <v>12563.5</v>
      </c>
      <c r="T13" s="201">
        <v>2050.2</v>
      </c>
      <c r="U13" s="203"/>
      <c r="V13" s="201">
        <f t="shared" si="2"/>
        <v>218756.30000000002</v>
      </c>
      <c r="W13" s="201">
        <f t="shared" si="2"/>
        <v>183307.60000000003</v>
      </c>
      <c r="X13" s="201">
        <v>92934.5</v>
      </c>
      <c r="Y13" s="201">
        <v>92197.4</v>
      </c>
      <c r="Z13" s="203">
        <v>96864.2</v>
      </c>
      <c r="AA13" s="203">
        <v>96864.2</v>
      </c>
      <c r="AB13" s="201"/>
      <c r="AC13" s="201"/>
      <c r="AD13" s="201"/>
      <c r="AE13" s="201"/>
      <c r="AF13" s="201"/>
      <c r="AG13" s="201"/>
      <c r="AH13" s="201">
        <v>-351.3</v>
      </c>
      <c r="AI13" s="204">
        <v>-351.3</v>
      </c>
      <c r="AJ13" s="201"/>
      <c r="AK13" s="201"/>
      <c r="AL13" s="201"/>
      <c r="AM13" s="201"/>
      <c r="AN13" s="201">
        <f t="shared" si="3"/>
        <v>92583.2</v>
      </c>
      <c r="AO13" s="201">
        <f t="shared" si="3"/>
        <v>91846.09999999999</v>
      </c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</row>
    <row r="14" spans="1:77" s="206" customFormat="1" ht="15">
      <c r="A14" s="198">
        <v>3</v>
      </c>
      <c r="B14" s="199" t="s">
        <v>98</v>
      </c>
      <c r="C14" s="200">
        <f t="shared" si="0"/>
        <v>12355.5</v>
      </c>
      <c r="D14" s="200">
        <f t="shared" si="1"/>
        <v>5272.6</v>
      </c>
      <c r="E14" s="201">
        <v>3185</v>
      </c>
      <c r="F14" s="202">
        <v>3425.5</v>
      </c>
      <c r="G14" s="201">
        <v>729.8</v>
      </c>
      <c r="H14" s="201">
        <v>728.3</v>
      </c>
      <c r="I14" s="201">
        <v>510.7</v>
      </c>
      <c r="J14" s="201">
        <v>818.8</v>
      </c>
      <c r="K14" s="201">
        <v>0</v>
      </c>
      <c r="L14" s="201"/>
      <c r="M14" s="201"/>
      <c r="N14" s="201"/>
      <c r="O14" s="201"/>
      <c r="P14" s="201"/>
      <c r="Q14" s="201">
        <v>300</v>
      </c>
      <c r="R14" s="201">
        <v>300</v>
      </c>
      <c r="S14" s="201">
        <v>874.6</v>
      </c>
      <c r="T14" s="201"/>
      <c r="U14" s="152"/>
      <c r="V14" s="201">
        <f t="shared" si="2"/>
        <v>5600.1</v>
      </c>
      <c r="W14" s="201">
        <f t="shared" si="2"/>
        <v>5272.6</v>
      </c>
      <c r="X14" s="201">
        <v>6755.4</v>
      </c>
      <c r="Y14" s="201"/>
      <c r="Z14" s="152"/>
      <c r="AA14" s="207"/>
      <c r="AB14" s="201"/>
      <c r="AC14" s="201"/>
      <c r="AD14" s="201"/>
      <c r="AE14" s="201"/>
      <c r="AF14" s="201"/>
      <c r="AG14" s="201"/>
      <c r="AH14" s="201"/>
      <c r="AI14" s="204"/>
      <c r="AJ14" s="201"/>
      <c r="AK14" s="201"/>
      <c r="AL14" s="201"/>
      <c r="AM14" s="201"/>
      <c r="AN14" s="201">
        <f t="shared" si="3"/>
        <v>6755.4</v>
      </c>
      <c r="AO14" s="201">
        <f t="shared" si="3"/>
        <v>0</v>
      </c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</row>
    <row r="15" spans="1:77" s="206" customFormat="1" ht="15">
      <c r="A15" s="198">
        <v>4</v>
      </c>
      <c r="B15" s="199" t="s">
        <v>696</v>
      </c>
      <c r="C15" s="200">
        <f t="shared" si="0"/>
        <v>4031.5</v>
      </c>
      <c r="D15" s="200">
        <f t="shared" si="1"/>
        <v>4010.5</v>
      </c>
      <c r="E15" s="201">
        <v>2675</v>
      </c>
      <c r="F15" s="202">
        <v>2675</v>
      </c>
      <c r="G15" s="201">
        <v>630</v>
      </c>
      <c r="H15" s="201">
        <v>630</v>
      </c>
      <c r="I15" s="201">
        <v>168.5</v>
      </c>
      <c r="J15" s="201">
        <v>285.5</v>
      </c>
      <c r="K15" s="201">
        <v>0</v>
      </c>
      <c r="L15" s="201"/>
      <c r="M15" s="201"/>
      <c r="N15" s="201"/>
      <c r="O15" s="201"/>
      <c r="P15" s="201"/>
      <c r="Q15" s="201"/>
      <c r="R15" s="201"/>
      <c r="S15" s="201">
        <v>558</v>
      </c>
      <c r="T15" s="201">
        <v>420</v>
      </c>
      <c r="U15" s="152"/>
      <c r="V15" s="201">
        <f t="shared" si="2"/>
        <v>4031.5</v>
      </c>
      <c r="W15" s="201">
        <f t="shared" si="2"/>
        <v>4010.5</v>
      </c>
      <c r="X15" s="201">
        <v>420</v>
      </c>
      <c r="Y15" s="201">
        <v>420</v>
      </c>
      <c r="Z15" s="152"/>
      <c r="AA15" s="152"/>
      <c r="AB15" s="201"/>
      <c r="AC15" s="201"/>
      <c r="AD15" s="201"/>
      <c r="AE15" s="201"/>
      <c r="AF15" s="201"/>
      <c r="AG15" s="201"/>
      <c r="AH15" s="201"/>
      <c r="AI15" s="204"/>
      <c r="AJ15" s="201"/>
      <c r="AK15" s="201"/>
      <c r="AL15" s="201">
        <v>420</v>
      </c>
      <c r="AM15" s="201">
        <v>420</v>
      </c>
      <c r="AN15" s="201">
        <f>X15+AB15+AD15+AF15+AH15+AJ15+AL15-AL15</f>
        <v>420</v>
      </c>
      <c r="AO15" s="201">
        <f>Y15+AC15+AE15+AG15+AI15+AK15+AM15-AM15</f>
        <v>420</v>
      </c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</row>
    <row r="16" spans="1:77" s="206" customFormat="1" ht="15">
      <c r="A16" s="198">
        <v>5</v>
      </c>
      <c r="B16" s="199" t="s">
        <v>697</v>
      </c>
      <c r="C16" s="200">
        <f t="shared" si="0"/>
        <v>3982.5</v>
      </c>
      <c r="D16" s="200">
        <f t="shared" si="1"/>
        <v>3767.3999999999996</v>
      </c>
      <c r="E16" s="201">
        <v>2570</v>
      </c>
      <c r="F16" s="202">
        <v>2570</v>
      </c>
      <c r="G16" s="201">
        <v>570</v>
      </c>
      <c r="H16" s="201">
        <v>570</v>
      </c>
      <c r="I16" s="201">
        <v>342.3</v>
      </c>
      <c r="J16" s="201">
        <v>127.2</v>
      </c>
      <c r="K16" s="201">
        <v>0</v>
      </c>
      <c r="L16" s="201"/>
      <c r="M16" s="201"/>
      <c r="N16" s="201"/>
      <c r="O16" s="201"/>
      <c r="P16" s="201"/>
      <c r="Q16" s="201"/>
      <c r="R16" s="201"/>
      <c r="S16" s="201">
        <v>484.1</v>
      </c>
      <c r="T16" s="201">
        <v>484.1</v>
      </c>
      <c r="U16" s="152"/>
      <c r="V16" s="201">
        <f t="shared" si="2"/>
        <v>3966.4</v>
      </c>
      <c r="W16" s="201">
        <f t="shared" si="2"/>
        <v>3751.2999999999997</v>
      </c>
      <c r="X16" s="201">
        <v>500.1</v>
      </c>
      <c r="Y16" s="201">
        <v>500.1</v>
      </c>
      <c r="Z16" s="152"/>
      <c r="AA16" s="152"/>
      <c r="AB16" s="201"/>
      <c r="AC16" s="201"/>
      <c r="AD16" s="201"/>
      <c r="AE16" s="201"/>
      <c r="AF16" s="201"/>
      <c r="AG16" s="201"/>
      <c r="AH16" s="201"/>
      <c r="AI16" s="204"/>
      <c r="AJ16" s="201"/>
      <c r="AK16" s="201"/>
      <c r="AL16" s="201">
        <v>484</v>
      </c>
      <c r="AM16" s="201">
        <v>484</v>
      </c>
      <c r="AN16" s="201">
        <f>X16+AB16+AD16+AF16+AH16+AJ16+AL16-AL16</f>
        <v>500.1</v>
      </c>
      <c r="AO16" s="201">
        <f>Y16+AC16+AE16+AG16+AI16+AK16+AM16-AM16</f>
        <v>500.1</v>
      </c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</row>
    <row r="17" spans="1:77" s="206" customFormat="1" ht="15">
      <c r="A17" s="198">
        <v>6</v>
      </c>
      <c r="B17" s="199" t="s">
        <v>698</v>
      </c>
      <c r="C17" s="200">
        <f t="shared" si="0"/>
        <v>4075.4</v>
      </c>
      <c r="D17" s="200">
        <f t="shared" si="1"/>
        <v>3975.3999999999996</v>
      </c>
      <c r="E17" s="201">
        <v>2863</v>
      </c>
      <c r="F17" s="202">
        <v>2840.9</v>
      </c>
      <c r="G17" s="201">
        <v>639</v>
      </c>
      <c r="H17" s="201">
        <v>620.8</v>
      </c>
      <c r="I17" s="201">
        <v>260</v>
      </c>
      <c r="J17" s="201">
        <v>419.1</v>
      </c>
      <c r="K17" s="201">
        <v>0</v>
      </c>
      <c r="L17" s="201"/>
      <c r="M17" s="201"/>
      <c r="N17" s="201"/>
      <c r="O17" s="201"/>
      <c r="P17" s="201"/>
      <c r="Q17" s="201">
        <v>100</v>
      </c>
      <c r="R17" s="201">
        <v>86</v>
      </c>
      <c r="S17" s="201">
        <v>204.8</v>
      </c>
      <c r="T17" s="201"/>
      <c r="U17" s="152"/>
      <c r="V17" s="201">
        <f t="shared" si="2"/>
        <v>4066.8</v>
      </c>
      <c r="W17" s="201">
        <f t="shared" si="2"/>
        <v>3966.7999999999997</v>
      </c>
      <c r="X17" s="201">
        <v>434.2</v>
      </c>
      <c r="Y17" s="201">
        <v>434.2</v>
      </c>
      <c r="Z17" s="152"/>
      <c r="AA17" s="152"/>
      <c r="AB17" s="201"/>
      <c r="AC17" s="201"/>
      <c r="AD17" s="201"/>
      <c r="AE17" s="201"/>
      <c r="AF17" s="201"/>
      <c r="AG17" s="201"/>
      <c r="AH17" s="201">
        <v>-425.6</v>
      </c>
      <c r="AI17" s="204">
        <v>-425.6</v>
      </c>
      <c r="AJ17" s="201"/>
      <c r="AK17" s="201"/>
      <c r="AL17" s="201"/>
      <c r="AM17" s="201"/>
      <c r="AN17" s="201">
        <f>X17+AB17+AD17+AF17+AH17+AJ17+AL17</f>
        <v>8.599999999999966</v>
      </c>
      <c r="AO17" s="201">
        <f>Y17+AC17+AE17+AG17+AI17+AK17+AM17</f>
        <v>8.599999999999966</v>
      </c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</row>
    <row r="18" spans="1:77" s="206" customFormat="1" ht="15">
      <c r="A18" s="198">
        <v>7</v>
      </c>
      <c r="B18" s="199" t="s">
        <v>699</v>
      </c>
      <c r="C18" s="200">
        <f t="shared" si="0"/>
        <v>11267</v>
      </c>
      <c r="D18" s="200">
        <f t="shared" si="1"/>
        <v>11213.900000000001</v>
      </c>
      <c r="E18" s="201">
        <v>5183.8</v>
      </c>
      <c r="F18" s="202">
        <v>5183.7</v>
      </c>
      <c r="G18" s="201">
        <v>1164.2</v>
      </c>
      <c r="H18" s="201">
        <v>1164.2</v>
      </c>
      <c r="I18" s="201">
        <v>346</v>
      </c>
      <c r="J18" s="201">
        <v>1161.8</v>
      </c>
      <c r="K18" s="201">
        <v>0</v>
      </c>
      <c r="L18" s="201"/>
      <c r="M18" s="201">
        <v>2500</v>
      </c>
      <c r="N18" s="201">
        <v>2500</v>
      </c>
      <c r="O18" s="201"/>
      <c r="P18" s="201"/>
      <c r="Q18" s="201">
        <v>300</v>
      </c>
      <c r="R18" s="201">
        <v>600</v>
      </c>
      <c r="S18" s="201">
        <v>1274.5</v>
      </c>
      <c r="T18" s="201">
        <v>105.7</v>
      </c>
      <c r="U18" s="152"/>
      <c r="V18" s="201">
        <f t="shared" si="2"/>
        <v>10768.5</v>
      </c>
      <c r="W18" s="201">
        <f t="shared" si="2"/>
        <v>10715.400000000001</v>
      </c>
      <c r="X18" s="201">
        <v>503</v>
      </c>
      <c r="Y18" s="201">
        <v>503</v>
      </c>
      <c r="Z18" s="152"/>
      <c r="AA18" s="152"/>
      <c r="AB18" s="201"/>
      <c r="AC18" s="201"/>
      <c r="AD18" s="201"/>
      <c r="AE18" s="201"/>
      <c r="AF18" s="201"/>
      <c r="AG18" s="201"/>
      <c r="AH18" s="201">
        <v>-4.5</v>
      </c>
      <c r="AI18" s="204">
        <v>-4.5</v>
      </c>
      <c r="AJ18" s="201"/>
      <c r="AK18" s="201"/>
      <c r="AL18" s="201"/>
      <c r="AM18" s="201"/>
      <c r="AN18" s="201">
        <f>X18+AB18+AD18+AF18+AH18+AJ18+AL18</f>
        <v>498.5</v>
      </c>
      <c r="AO18" s="201">
        <f>Y18+AC18+AE18+AG18+AI18+AK18+AM18</f>
        <v>498.5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</row>
    <row r="19" spans="1:77" s="206" customFormat="1" ht="15">
      <c r="A19" s="198">
        <v>8</v>
      </c>
      <c r="B19" s="199" t="s">
        <v>700</v>
      </c>
      <c r="C19" s="200">
        <f t="shared" si="0"/>
        <v>8941.900000000001</v>
      </c>
      <c r="D19" s="200">
        <f t="shared" si="1"/>
        <v>7326.3</v>
      </c>
      <c r="E19" s="201">
        <v>4925.6</v>
      </c>
      <c r="F19" s="202">
        <v>4873.8</v>
      </c>
      <c r="G19" s="201">
        <v>1265.4</v>
      </c>
      <c r="H19" s="201">
        <v>1211.7</v>
      </c>
      <c r="I19" s="201">
        <v>827</v>
      </c>
      <c r="J19" s="201">
        <v>242</v>
      </c>
      <c r="K19" s="201">
        <v>0</v>
      </c>
      <c r="L19" s="201"/>
      <c r="M19" s="201"/>
      <c r="N19" s="201"/>
      <c r="O19" s="201"/>
      <c r="P19" s="201"/>
      <c r="Q19" s="201"/>
      <c r="R19" s="201"/>
      <c r="S19" s="201">
        <v>1122.3</v>
      </c>
      <c r="T19" s="201">
        <v>532.8</v>
      </c>
      <c r="U19" s="152"/>
      <c r="V19" s="201">
        <f t="shared" si="2"/>
        <v>8140.3</v>
      </c>
      <c r="W19" s="201">
        <f t="shared" si="2"/>
        <v>6860.3</v>
      </c>
      <c r="X19" s="201">
        <v>1334.4</v>
      </c>
      <c r="Y19" s="201">
        <v>998.8</v>
      </c>
      <c r="Z19" s="152"/>
      <c r="AA19" s="152"/>
      <c r="AB19" s="201"/>
      <c r="AC19" s="201"/>
      <c r="AD19" s="201"/>
      <c r="AE19" s="201"/>
      <c r="AF19" s="201"/>
      <c r="AG19" s="201"/>
      <c r="AH19" s="201"/>
      <c r="AI19" s="204"/>
      <c r="AJ19" s="201"/>
      <c r="AK19" s="201"/>
      <c r="AL19" s="201">
        <v>532.8</v>
      </c>
      <c r="AM19" s="201">
        <v>532.8</v>
      </c>
      <c r="AN19" s="201">
        <f>X19+AB19+AD19+AF19+AH19+AJ19+AL19-AL19</f>
        <v>1334.4</v>
      </c>
      <c r="AO19" s="201">
        <f>Y19+AC19+AE19+AG19+AI19+AK19+AM19-AM19</f>
        <v>998.8</v>
      </c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</row>
    <row r="20" spans="1:77" s="206" customFormat="1" ht="15">
      <c r="A20" s="198">
        <v>9</v>
      </c>
      <c r="B20" s="199" t="s">
        <v>701</v>
      </c>
      <c r="C20" s="200">
        <f t="shared" si="0"/>
        <v>7033.5</v>
      </c>
      <c r="D20" s="200">
        <f t="shared" si="1"/>
        <v>4218.6</v>
      </c>
      <c r="E20" s="201">
        <v>3933</v>
      </c>
      <c r="F20" s="202">
        <v>3515.8</v>
      </c>
      <c r="G20" s="201">
        <v>1012</v>
      </c>
      <c r="H20" s="201">
        <v>899.8</v>
      </c>
      <c r="I20" s="201">
        <v>516</v>
      </c>
      <c r="J20" s="201">
        <v>233.2</v>
      </c>
      <c r="K20" s="201">
        <v>0</v>
      </c>
      <c r="L20" s="201"/>
      <c r="M20" s="201"/>
      <c r="N20" s="201"/>
      <c r="O20" s="201"/>
      <c r="P20" s="201"/>
      <c r="Q20" s="201"/>
      <c r="R20" s="201"/>
      <c r="S20" s="201">
        <v>1143</v>
      </c>
      <c r="T20" s="201"/>
      <c r="U20" s="152"/>
      <c r="V20" s="201">
        <f t="shared" si="2"/>
        <v>6604</v>
      </c>
      <c r="W20" s="201">
        <f t="shared" si="2"/>
        <v>4648.8</v>
      </c>
      <c r="X20" s="201">
        <v>429.5</v>
      </c>
      <c r="Y20" s="201">
        <v>429.5</v>
      </c>
      <c r="Z20" s="152"/>
      <c r="AA20" s="152"/>
      <c r="AB20" s="201"/>
      <c r="AC20" s="201"/>
      <c r="AD20" s="201"/>
      <c r="AE20" s="201"/>
      <c r="AF20" s="201"/>
      <c r="AG20" s="201"/>
      <c r="AH20" s="201"/>
      <c r="AI20" s="204">
        <v>-859.7</v>
      </c>
      <c r="AJ20" s="201"/>
      <c r="AK20" s="201"/>
      <c r="AL20" s="201"/>
      <c r="AM20" s="201"/>
      <c r="AN20" s="201">
        <f aca="true" t="shared" si="4" ref="AN20:AO22">X20+AB20+AD20+AF20+AH20+AJ20+AL20</f>
        <v>429.5</v>
      </c>
      <c r="AO20" s="201">
        <f t="shared" si="4"/>
        <v>-430.20000000000005</v>
      </c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</row>
    <row r="21" spans="1:77" s="206" customFormat="1" ht="15">
      <c r="A21" s="198">
        <v>10</v>
      </c>
      <c r="B21" s="199" t="s">
        <v>702</v>
      </c>
      <c r="C21" s="200">
        <f t="shared" si="0"/>
        <v>11659.3</v>
      </c>
      <c r="D21" s="200">
        <f t="shared" si="1"/>
        <v>10134.9</v>
      </c>
      <c r="E21" s="201">
        <v>4820</v>
      </c>
      <c r="F21" s="202">
        <v>4120</v>
      </c>
      <c r="G21" s="201">
        <v>1163</v>
      </c>
      <c r="H21" s="201">
        <v>1030</v>
      </c>
      <c r="I21" s="201">
        <v>1400</v>
      </c>
      <c r="J21" s="201">
        <v>1296.8</v>
      </c>
      <c r="K21" s="201">
        <v>0</v>
      </c>
      <c r="L21" s="201"/>
      <c r="M21" s="201">
        <v>2700</v>
      </c>
      <c r="N21" s="201">
        <v>2665</v>
      </c>
      <c r="O21" s="201"/>
      <c r="P21" s="201">
        <v>723.1</v>
      </c>
      <c r="Q21" s="201">
        <v>300</v>
      </c>
      <c r="R21" s="201">
        <v>300</v>
      </c>
      <c r="S21" s="201">
        <v>1276.3</v>
      </c>
      <c r="T21" s="201"/>
      <c r="U21" s="152"/>
      <c r="V21" s="201">
        <f t="shared" si="2"/>
        <v>11659.3</v>
      </c>
      <c r="W21" s="201">
        <f t="shared" si="2"/>
        <v>10134.9</v>
      </c>
      <c r="X21" s="201"/>
      <c r="Y21" s="201"/>
      <c r="Z21" s="152"/>
      <c r="AA21" s="152"/>
      <c r="AB21" s="201"/>
      <c r="AC21" s="201"/>
      <c r="AD21" s="201"/>
      <c r="AE21" s="201"/>
      <c r="AF21" s="201"/>
      <c r="AG21" s="201"/>
      <c r="AH21" s="201"/>
      <c r="AI21" s="204"/>
      <c r="AJ21" s="201"/>
      <c r="AK21" s="201"/>
      <c r="AL21" s="201"/>
      <c r="AM21" s="201"/>
      <c r="AN21" s="201">
        <f t="shared" si="4"/>
        <v>0</v>
      </c>
      <c r="AO21" s="201">
        <f t="shared" si="4"/>
        <v>0</v>
      </c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</row>
    <row r="22" spans="1:77" s="206" customFormat="1" ht="15">
      <c r="A22" s="198">
        <v>11</v>
      </c>
      <c r="B22" s="199" t="s">
        <v>703</v>
      </c>
      <c r="C22" s="200">
        <f t="shared" si="0"/>
        <v>4257.3</v>
      </c>
      <c r="D22" s="200">
        <f t="shared" si="1"/>
        <v>3642.8</v>
      </c>
      <c r="E22" s="201">
        <v>2856</v>
      </c>
      <c r="F22" s="202">
        <v>2856</v>
      </c>
      <c r="G22" s="201">
        <v>670</v>
      </c>
      <c r="H22" s="201">
        <v>668.4</v>
      </c>
      <c r="I22" s="201">
        <v>190</v>
      </c>
      <c r="J22" s="201">
        <v>118.4</v>
      </c>
      <c r="K22" s="201">
        <v>0</v>
      </c>
      <c r="L22" s="201"/>
      <c r="M22" s="201"/>
      <c r="N22" s="201"/>
      <c r="O22" s="201"/>
      <c r="P22" s="201"/>
      <c r="Q22" s="201"/>
      <c r="R22" s="201"/>
      <c r="S22" s="201">
        <v>541.3</v>
      </c>
      <c r="T22" s="201"/>
      <c r="U22" s="152"/>
      <c r="V22" s="201">
        <f t="shared" si="2"/>
        <v>4257.3</v>
      </c>
      <c r="W22" s="201">
        <f t="shared" si="2"/>
        <v>3642.8</v>
      </c>
      <c r="X22" s="201"/>
      <c r="Y22" s="201"/>
      <c r="Z22" s="152"/>
      <c r="AA22" s="152"/>
      <c r="AB22" s="201"/>
      <c r="AC22" s="201"/>
      <c r="AD22" s="201"/>
      <c r="AE22" s="201"/>
      <c r="AF22" s="201"/>
      <c r="AG22" s="201"/>
      <c r="AH22" s="201"/>
      <c r="AI22" s="204"/>
      <c r="AJ22" s="201"/>
      <c r="AK22" s="201"/>
      <c r="AL22" s="201"/>
      <c r="AM22" s="201"/>
      <c r="AN22" s="201">
        <f t="shared" si="4"/>
        <v>0</v>
      </c>
      <c r="AO22" s="201">
        <f t="shared" si="4"/>
        <v>0</v>
      </c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</row>
    <row r="23" spans="1:77" s="206" customFormat="1" ht="15">
      <c r="A23" s="198">
        <v>12</v>
      </c>
      <c r="B23" s="199" t="s">
        <v>704</v>
      </c>
      <c r="C23" s="200">
        <f t="shared" si="0"/>
        <v>4554.7</v>
      </c>
      <c r="D23" s="200">
        <f t="shared" si="1"/>
        <v>4440</v>
      </c>
      <c r="E23" s="201">
        <v>2844</v>
      </c>
      <c r="F23" s="202">
        <v>2843.9</v>
      </c>
      <c r="G23" s="201">
        <v>802</v>
      </c>
      <c r="H23" s="201">
        <v>800.5</v>
      </c>
      <c r="I23" s="201">
        <v>466.8</v>
      </c>
      <c r="J23" s="201">
        <v>490.4</v>
      </c>
      <c r="K23" s="201">
        <v>0</v>
      </c>
      <c r="L23" s="201"/>
      <c r="M23" s="201"/>
      <c r="N23" s="201"/>
      <c r="O23" s="201"/>
      <c r="P23" s="201"/>
      <c r="Q23" s="201"/>
      <c r="R23" s="201"/>
      <c r="S23" s="201">
        <v>248.7</v>
      </c>
      <c r="T23" s="201">
        <v>178</v>
      </c>
      <c r="U23" s="90"/>
      <c r="V23" s="201">
        <f t="shared" si="2"/>
        <v>4361.5</v>
      </c>
      <c r="W23" s="201">
        <f t="shared" si="2"/>
        <v>4312.8</v>
      </c>
      <c r="X23" s="201">
        <v>430</v>
      </c>
      <c r="Y23" s="201">
        <v>364</v>
      </c>
      <c r="Z23" s="90"/>
      <c r="AA23" s="90"/>
      <c r="AB23" s="201"/>
      <c r="AC23" s="201"/>
      <c r="AD23" s="201"/>
      <c r="AE23" s="201"/>
      <c r="AF23" s="201"/>
      <c r="AG23" s="201"/>
      <c r="AH23" s="201">
        <v>-66</v>
      </c>
      <c r="AI23" s="90">
        <v>-66</v>
      </c>
      <c r="AJ23" s="201"/>
      <c r="AK23" s="201"/>
      <c r="AL23" s="201">
        <v>170.8</v>
      </c>
      <c r="AM23" s="201">
        <v>170.8</v>
      </c>
      <c r="AN23" s="201">
        <f>X23+AB23+AD23+AF23+AH23+AJ23+AL23-AL23</f>
        <v>363.99999999999994</v>
      </c>
      <c r="AO23" s="201">
        <f>Y23+AC23+AE23+AG23+AI23+AK23+AM23-AM23</f>
        <v>298</v>
      </c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</row>
    <row r="24" spans="1:77" s="206" customFormat="1" ht="15">
      <c r="A24" s="198">
        <v>13</v>
      </c>
      <c r="B24" s="199" t="s">
        <v>705</v>
      </c>
      <c r="C24" s="200">
        <f t="shared" si="0"/>
        <v>7693.3</v>
      </c>
      <c r="D24" s="200">
        <f t="shared" si="1"/>
        <v>6412.5</v>
      </c>
      <c r="E24" s="201">
        <v>4430</v>
      </c>
      <c r="F24" s="202">
        <v>4404.6</v>
      </c>
      <c r="G24" s="201">
        <v>1118</v>
      </c>
      <c r="H24" s="201">
        <v>1100.9</v>
      </c>
      <c r="I24" s="201">
        <v>950</v>
      </c>
      <c r="J24" s="201">
        <v>757</v>
      </c>
      <c r="K24" s="201">
        <v>0</v>
      </c>
      <c r="L24" s="201"/>
      <c r="M24" s="201"/>
      <c r="N24" s="201"/>
      <c r="O24" s="201"/>
      <c r="P24" s="201"/>
      <c r="Q24" s="201"/>
      <c r="R24" s="201">
        <v>150</v>
      </c>
      <c r="S24" s="201">
        <v>946.7</v>
      </c>
      <c r="T24" s="201"/>
      <c r="U24" s="90"/>
      <c r="V24" s="201">
        <f t="shared" si="2"/>
        <v>7444.7</v>
      </c>
      <c r="W24" s="201">
        <f t="shared" si="2"/>
        <v>6412.5</v>
      </c>
      <c r="X24" s="201">
        <v>248.6</v>
      </c>
      <c r="Y24" s="201"/>
      <c r="Z24" s="90"/>
      <c r="AA24" s="90"/>
      <c r="AB24" s="201"/>
      <c r="AC24" s="201"/>
      <c r="AD24" s="201"/>
      <c r="AE24" s="201"/>
      <c r="AF24" s="201"/>
      <c r="AG24" s="201"/>
      <c r="AH24" s="201"/>
      <c r="AI24" s="90"/>
      <c r="AJ24" s="201"/>
      <c r="AK24" s="201"/>
      <c r="AL24" s="201"/>
      <c r="AM24" s="201"/>
      <c r="AN24" s="201">
        <f aca="true" t="shared" si="5" ref="AN24:AO29">X24+AB24+AD24+AF24+AH24+AJ24+AL24</f>
        <v>248.6</v>
      </c>
      <c r="AO24" s="201">
        <f t="shared" si="5"/>
        <v>0</v>
      </c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</row>
    <row r="25" spans="1:77" s="206" customFormat="1" ht="15">
      <c r="A25" s="198">
        <v>14</v>
      </c>
      <c r="B25" s="199" t="s">
        <v>706</v>
      </c>
      <c r="C25" s="200">
        <f t="shared" si="0"/>
        <v>17221.100000000002</v>
      </c>
      <c r="D25" s="200">
        <f t="shared" si="1"/>
        <v>13864.500000000002</v>
      </c>
      <c r="E25" s="201">
        <v>6900</v>
      </c>
      <c r="F25" s="202">
        <v>6847.7</v>
      </c>
      <c r="G25" s="201">
        <v>1780</v>
      </c>
      <c r="H25" s="201">
        <v>1780</v>
      </c>
      <c r="I25" s="201">
        <v>1126.2</v>
      </c>
      <c r="J25" s="201">
        <v>768.2</v>
      </c>
      <c r="K25" s="201">
        <v>0</v>
      </c>
      <c r="L25" s="201"/>
      <c r="M25" s="201">
        <v>3500</v>
      </c>
      <c r="N25" s="201">
        <v>3500</v>
      </c>
      <c r="O25" s="201"/>
      <c r="P25" s="201"/>
      <c r="Q25" s="201"/>
      <c r="R25" s="201"/>
      <c r="S25" s="201">
        <v>750</v>
      </c>
      <c r="T25" s="201"/>
      <c r="U25" s="90"/>
      <c r="V25" s="201">
        <f t="shared" si="2"/>
        <v>14056.2</v>
      </c>
      <c r="W25" s="201">
        <f t="shared" si="2"/>
        <v>12895.900000000001</v>
      </c>
      <c r="X25" s="201">
        <v>3500</v>
      </c>
      <c r="Y25" s="201">
        <v>975</v>
      </c>
      <c r="Z25" s="90"/>
      <c r="AA25" s="90"/>
      <c r="AB25" s="201"/>
      <c r="AC25" s="201"/>
      <c r="AD25" s="201"/>
      <c r="AE25" s="201"/>
      <c r="AF25" s="201"/>
      <c r="AG25" s="201"/>
      <c r="AH25" s="201">
        <v>-335.1</v>
      </c>
      <c r="AI25" s="90">
        <v>-6.4</v>
      </c>
      <c r="AJ25" s="201"/>
      <c r="AK25" s="201"/>
      <c r="AL25" s="201"/>
      <c r="AM25" s="201"/>
      <c r="AN25" s="201">
        <f t="shared" si="5"/>
        <v>3164.9</v>
      </c>
      <c r="AO25" s="201">
        <f t="shared" si="5"/>
        <v>968.6</v>
      </c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</row>
    <row r="26" spans="1:77" s="206" customFormat="1" ht="15">
      <c r="A26" s="198">
        <v>15</v>
      </c>
      <c r="B26" s="199" t="s">
        <v>707</v>
      </c>
      <c r="C26" s="200">
        <f t="shared" si="0"/>
        <v>9163.8</v>
      </c>
      <c r="D26" s="200">
        <f t="shared" si="1"/>
        <v>4870.900000000001</v>
      </c>
      <c r="E26" s="201">
        <v>4596</v>
      </c>
      <c r="F26" s="202">
        <v>4577.7</v>
      </c>
      <c r="G26" s="201">
        <v>1012.2</v>
      </c>
      <c r="H26" s="201">
        <v>970.8</v>
      </c>
      <c r="I26" s="201">
        <v>954.7</v>
      </c>
      <c r="J26" s="201">
        <v>1767.1</v>
      </c>
      <c r="K26" s="201">
        <v>0</v>
      </c>
      <c r="L26" s="201"/>
      <c r="M26" s="201"/>
      <c r="N26" s="201"/>
      <c r="O26" s="201"/>
      <c r="P26" s="201"/>
      <c r="Q26" s="201">
        <v>349.5</v>
      </c>
      <c r="R26" s="201">
        <v>1264.5</v>
      </c>
      <c r="S26" s="201">
        <v>1728.1</v>
      </c>
      <c r="T26" s="201"/>
      <c r="U26" s="90"/>
      <c r="V26" s="201">
        <f t="shared" si="2"/>
        <v>8640.5</v>
      </c>
      <c r="W26" s="201">
        <f t="shared" si="2"/>
        <v>8580.1</v>
      </c>
      <c r="X26" s="201">
        <v>993.3</v>
      </c>
      <c r="Y26" s="201">
        <v>970</v>
      </c>
      <c r="Z26" s="90"/>
      <c r="AA26" s="90"/>
      <c r="AB26" s="201"/>
      <c r="AC26" s="201"/>
      <c r="AD26" s="201"/>
      <c r="AE26" s="201"/>
      <c r="AF26" s="201"/>
      <c r="AG26" s="201"/>
      <c r="AH26" s="201">
        <v>-470</v>
      </c>
      <c r="AI26" s="90">
        <v>-4679.2</v>
      </c>
      <c r="AJ26" s="201"/>
      <c r="AK26" s="201"/>
      <c r="AL26" s="201"/>
      <c r="AM26" s="201"/>
      <c r="AN26" s="201">
        <f t="shared" si="5"/>
        <v>523.3</v>
      </c>
      <c r="AO26" s="201">
        <f t="shared" si="5"/>
        <v>-3709.2</v>
      </c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</row>
    <row r="27" spans="1:77" s="206" customFormat="1" ht="15">
      <c r="A27" s="198">
        <v>16</v>
      </c>
      <c r="B27" s="199" t="s">
        <v>708</v>
      </c>
      <c r="C27" s="200">
        <f t="shared" si="0"/>
        <v>4323.3</v>
      </c>
      <c r="D27" s="200">
        <f t="shared" si="1"/>
        <v>4042.1</v>
      </c>
      <c r="E27" s="201">
        <v>2904</v>
      </c>
      <c r="F27" s="202">
        <v>3024</v>
      </c>
      <c r="G27" s="201">
        <v>680</v>
      </c>
      <c r="H27" s="201">
        <v>680</v>
      </c>
      <c r="I27" s="201">
        <v>200</v>
      </c>
      <c r="J27" s="201">
        <v>338.1</v>
      </c>
      <c r="K27" s="201">
        <v>0</v>
      </c>
      <c r="L27" s="201"/>
      <c r="M27" s="201"/>
      <c r="N27" s="201"/>
      <c r="O27" s="201"/>
      <c r="P27" s="201"/>
      <c r="Q27" s="201"/>
      <c r="R27" s="201"/>
      <c r="S27" s="201">
        <v>539.3</v>
      </c>
      <c r="T27" s="201"/>
      <c r="U27" s="90"/>
      <c r="V27" s="201">
        <f t="shared" si="2"/>
        <v>4323.3</v>
      </c>
      <c r="W27" s="201">
        <f t="shared" si="2"/>
        <v>4042.1</v>
      </c>
      <c r="X27" s="201"/>
      <c r="Y27" s="201"/>
      <c r="Z27" s="90"/>
      <c r="AA27" s="90"/>
      <c r="AB27" s="201"/>
      <c r="AC27" s="201"/>
      <c r="AD27" s="201"/>
      <c r="AE27" s="201"/>
      <c r="AF27" s="201"/>
      <c r="AG27" s="201"/>
      <c r="AH27" s="201"/>
      <c r="AI27" s="90"/>
      <c r="AJ27" s="201"/>
      <c r="AK27" s="201"/>
      <c r="AL27" s="201"/>
      <c r="AM27" s="201"/>
      <c r="AN27" s="201">
        <f t="shared" si="5"/>
        <v>0</v>
      </c>
      <c r="AO27" s="201">
        <f t="shared" si="5"/>
        <v>0</v>
      </c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</row>
    <row r="28" spans="1:77" s="206" customFormat="1" ht="15">
      <c r="A28" s="198">
        <v>17</v>
      </c>
      <c r="B28" s="199" t="s">
        <v>709</v>
      </c>
      <c r="C28" s="200">
        <f t="shared" si="0"/>
        <v>20012.1</v>
      </c>
      <c r="D28" s="200">
        <f t="shared" si="1"/>
        <v>9554.8</v>
      </c>
      <c r="E28" s="201">
        <v>8709.1</v>
      </c>
      <c r="F28" s="202">
        <v>5367.5</v>
      </c>
      <c r="G28" s="201">
        <v>1671</v>
      </c>
      <c r="H28" s="201">
        <v>1279.2</v>
      </c>
      <c r="I28" s="201">
        <v>2394.3</v>
      </c>
      <c r="J28" s="201">
        <v>588.1</v>
      </c>
      <c r="K28" s="201">
        <v>0</v>
      </c>
      <c r="L28" s="201"/>
      <c r="M28" s="201">
        <v>3000</v>
      </c>
      <c r="N28" s="201">
        <v>2320</v>
      </c>
      <c r="O28" s="201"/>
      <c r="P28" s="201"/>
      <c r="Q28" s="201"/>
      <c r="R28" s="201"/>
      <c r="S28" s="201">
        <v>3943.6</v>
      </c>
      <c r="T28" s="201"/>
      <c r="U28" s="90"/>
      <c r="V28" s="201">
        <f t="shared" si="2"/>
        <v>19718</v>
      </c>
      <c r="W28" s="201">
        <f t="shared" si="2"/>
        <v>9554.8</v>
      </c>
      <c r="X28" s="201">
        <v>294.1</v>
      </c>
      <c r="Y28" s="201"/>
      <c r="Z28" s="90"/>
      <c r="AA28" s="90"/>
      <c r="AB28" s="201"/>
      <c r="AC28" s="201"/>
      <c r="AD28" s="201"/>
      <c r="AE28" s="201"/>
      <c r="AF28" s="201"/>
      <c r="AG28" s="201"/>
      <c r="AH28" s="201"/>
      <c r="AI28" s="90"/>
      <c r="AJ28" s="201"/>
      <c r="AK28" s="201"/>
      <c r="AL28" s="201"/>
      <c r="AM28" s="201"/>
      <c r="AN28" s="201">
        <f t="shared" si="5"/>
        <v>294.1</v>
      </c>
      <c r="AO28" s="201">
        <f t="shared" si="5"/>
        <v>0</v>
      </c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</row>
    <row r="29" spans="1:77" s="206" customFormat="1" ht="15">
      <c r="A29" s="198">
        <v>18</v>
      </c>
      <c r="B29" s="199" t="s">
        <v>710</v>
      </c>
      <c r="C29" s="200">
        <f t="shared" si="0"/>
        <v>4004.4</v>
      </c>
      <c r="D29" s="200">
        <f t="shared" si="1"/>
        <v>3220.2999999999997</v>
      </c>
      <c r="E29" s="201">
        <v>2940</v>
      </c>
      <c r="F29" s="202">
        <v>2558.2</v>
      </c>
      <c r="G29" s="201">
        <v>730</v>
      </c>
      <c r="H29" s="201">
        <v>714.9</v>
      </c>
      <c r="I29" s="201">
        <v>130.4</v>
      </c>
      <c r="J29" s="201">
        <v>47.2</v>
      </c>
      <c r="K29" s="201">
        <v>0</v>
      </c>
      <c r="L29" s="201"/>
      <c r="M29" s="201"/>
      <c r="N29" s="201"/>
      <c r="O29" s="201"/>
      <c r="P29" s="201"/>
      <c r="Q29" s="201"/>
      <c r="R29" s="201"/>
      <c r="S29" s="201">
        <v>204</v>
      </c>
      <c r="T29" s="201"/>
      <c r="U29" s="90"/>
      <c r="V29" s="201">
        <f t="shared" si="2"/>
        <v>4004.4</v>
      </c>
      <c r="W29" s="201">
        <f t="shared" si="2"/>
        <v>3320.2999999999997</v>
      </c>
      <c r="X29" s="201"/>
      <c r="Y29" s="201"/>
      <c r="Z29" s="90"/>
      <c r="AA29" s="90"/>
      <c r="AB29" s="201"/>
      <c r="AC29" s="201"/>
      <c r="AD29" s="201"/>
      <c r="AE29" s="201"/>
      <c r="AF29" s="201"/>
      <c r="AG29" s="201">
        <v>-100</v>
      </c>
      <c r="AH29" s="201"/>
      <c r="AI29" s="90"/>
      <c r="AJ29" s="201"/>
      <c r="AK29" s="201"/>
      <c r="AL29" s="201"/>
      <c r="AM29" s="201"/>
      <c r="AN29" s="201">
        <f t="shared" si="5"/>
        <v>0</v>
      </c>
      <c r="AO29" s="201">
        <f t="shared" si="5"/>
        <v>-100</v>
      </c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</row>
    <row r="30" spans="1:77" s="206" customFormat="1" ht="15">
      <c r="A30" s="198">
        <v>19</v>
      </c>
      <c r="B30" s="199" t="s">
        <v>711</v>
      </c>
      <c r="C30" s="200">
        <f t="shared" si="0"/>
        <v>4542.2</v>
      </c>
      <c r="D30" s="200">
        <f t="shared" si="1"/>
        <v>4524.2</v>
      </c>
      <c r="E30" s="201">
        <v>3233</v>
      </c>
      <c r="F30" s="202">
        <v>3233</v>
      </c>
      <c r="G30" s="201">
        <v>717.5</v>
      </c>
      <c r="H30" s="201">
        <v>713.4</v>
      </c>
      <c r="I30" s="201">
        <v>185.7</v>
      </c>
      <c r="J30" s="201">
        <v>171.8</v>
      </c>
      <c r="K30" s="201">
        <v>0</v>
      </c>
      <c r="L30" s="201"/>
      <c r="M30" s="201"/>
      <c r="N30" s="201"/>
      <c r="O30" s="201"/>
      <c r="P30" s="201"/>
      <c r="Q30" s="201"/>
      <c r="R30" s="201"/>
      <c r="S30" s="201">
        <v>406</v>
      </c>
      <c r="T30" s="201">
        <v>406</v>
      </c>
      <c r="U30" s="90"/>
      <c r="V30" s="201">
        <f t="shared" si="2"/>
        <v>4542.2</v>
      </c>
      <c r="W30" s="201">
        <f t="shared" si="2"/>
        <v>4524.2</v>
      </c>
      <c r="X30" s="201">
        <v>406</v>
      </c>
      <c r="Y30" s="201">
        <v>406</v>
      </c>
      <c r="Z30" s="90"/>
      <c r="AA30" s="90"/>
      <c r="AB30" s="201"/>
      <c r="AC30" s="201"/>
      <c r="AD30" s="201"/>
      <c r="AE30" s="201"/>
      <c r="AF30" s="201"/>
      <c r="AG30" s="201"/>
      <c r="AH30" s="201"/>
      <c r="AI30" s="90"/>
      <c r="AJ30" s="201"/>
      <c r="AK30" s="201"/>
      <c r="AL30" s="201">
        <v>406</v>
      </c>
      <c r="AM30" s="201">
        <v>406</v>
      </c>
      <c r="AN30" s="201">
        <f>X30+AB30+AD30+AF30+AH30+AJ30+AL30-AL30</f>
        <v>406</v>
      </c>
      <c r="AO30" s="201">
        <f>Y30+AC30+AE30+AG30+AI30+AK30+AM30-AM30</f>
        <v>406</v>
      </c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</row>
    <row r="31" spans="1:77" s="206" customFormat="1" ht="15">
      <c r="A31" s="198">
        <v>20</v>
      </c>
      <c r="B31" s="199" t="s">
        <v>712</v>
      </c>
      <c r="C31" s="200">
        <f t="shared" si="0"/>
        <v>3720.3</v>
      </c>
      <c r="D31" s="200">
        <f t="shared" si="1"/>
        <v>3720.3</v>
      </c>
      <c r="E31" s="201">
        <v>2728.5</v>
      </c>
      <c r="F31" s="202">
        <v>2728.5</v>
      </c>
      <c r="G31" s="201">
        <v>599.5</v>
      </c>
      <c r="H31" s="201">
        <v>599.5</v>
      </c>
      <c r="I31" s="201">
        <v>54.8</v>
      </c>
      <c r="J31" s="201">
        <v>54.7</v>
      </c>
      <c r="K31" s="201">
        <v>0</v>
      </c>
      <c r="L31" s="201"/>
      <c r="M31" s="201"/>
      <c r="N31" s="201"/>
      <c r="O31" s="201"/>
      <c r="P31" s="201"/>
      <c r="Q31" s="201"/>
      <c r="R31" s="201"/>
      <c r="S31" s="201">
        <v>337.4</v>
      </c>
      <c r="T31" s="201">
        <v>337.4</v>
      </c>
      <c r="U31" s="90"/>
      <c r="V31" s="201">
        <f t="shared" si="2"/>
        <v>3720.2000000000003</v>
      </c>
      <c r="W31" s="201">
        <f t="shared" si="2"/>
        <v>3720.1</v>
      </c>
      <c r="X31" s="201">
        <v>387.4</v>
      </c>
      <c r="Y31" s="201">
        <v>386.5</v>
      </c>
      <c r="Z31" s="90"/>
      <c r="AA31" s="90"/>
      <c r="AB31" s="201"/>
      <c r="AC31" s="201"/>
      <c r="AD31" s="201"/>
      <c r="AE31" s="201"/>
      <c r="AF31" s="201"/>
      <c r="AG31" s="201"/>
      <c r="AH31" s="201">
        <v>-50</v>
      </c>
      <c r="AI31" s="90">
        <v>-49.1</v>
      </c>
      <c r="AJ31" s="201"/>
      <c r="AK31" s="201"/>
      <c r="AL31" s="201">
        <v>337.3</v>
      </c>
      <c r="AM31" s="201">
        <v>337.2</v>
      </c>
      <c r="AN31" s="201">
        <f>X31+AB31+AD31+AF31+AH31+AJ31+AL31-AL31</f>
        <v>337.40000000000003</v>
      </c>
      <c r="AO31" s="201">
        <f>Y31+AC31+AE31+AG31+AI31+AK31+AM31-AM31</f>
        <v>337.3999999999999</v>
      </c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</row>
    <row r="32" spans="1:77" s="206" customFormat="1" ht="15">
      <c r="A32" s="198">
        <v>21</v>
      </c>
      <c r="B32" s="199" t="s">
        <v>713</v>
      </c>
      <c r="C32" s="200">
        <f t="shared" si="0"/>
        <v>6299.2</v>
      </c>
      <c r="D32" s="200">
        <f t="shared" si="1"/>
        <v>5699.900000000001</v>
      </c>
      <c r="E32" s="201">
        <v>4124.8</v>
      </c>
      <c r="F32" s="202">
        <v>4025.4</v>
      </c>
      <c r="G32" s="201">
        <v>1040</v>
      </c>
      <c r="H32" s="201">
        <v>1039.9</v>
      </c>
      <c r="I32" s="201">
        <v>557.7</v>
      </c>
      <c r="J32" s="201">
        <v>562.6</v>
      </c>
      <c r="K32" s="201">
        <v>0</v>
      </c>
      <c r="L32" s="201"/>
      <c r="M32" s="201"/>
      <c r="N32" s="201"/>
      <c r="O32" s="201"/>
      <c r="P32" s="201"/>
      <c r="Q32" s="201"/>
      <c r="R32" s="201"/>
      <c r="S32" s="201">
        <v>350</v>
      </c>
      <c r="T32" s="201"/>
      <c r="U32" s="90"/>
      <c r="V32" s="201">
        <f t="shared" si="2"/>
        <v>6072.5</v>
      </c>
      <c r="W32" s="201">
        <f t="shared" si="2"/>
        <v>5627.900000000001</v>
      </c>
      <c r="X32" s="201">
        <v>226.7</v>
      </c>
      <c r="Y32" s="201">
        <v>72</v>
      </c>
      <c r="Z32" s="90"/>
      <c r="AA32" s="90"/>
      <c r="AB32" s="201"/>
      <c r="AC32" s="201"/>
      <c r="AD32" s="201"/>
      <c r="AE32" s="201"/>
      <c r="AF32" s="201"/>
      <c r="AG32" s="201"/>
      <c r="AH32" s="201"/>
      <c r="AI32" s="90"/>
      <c r="AJ32" s="201"/>
      <c r="AK32" s="201"/>
      <c r="AL32" s="201"/>
      <c r="AM32" s="201"/>
      <c r="AN32" s="201">
        <f>X32+AB32+AD32+AF32+AH32+AJ32+AL32</f>
        <v>226.7</v>
      </c>
      <c r="AO32" s="201">
        <f>Y32+AC32+AE32+AG32+AI32+AK32+AM32</f>
        <v>72</v>
      </c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</row>
    <row r="33" spans="1:77" s="206" customFormat="1" ht="15">
      <c r="A33" s="198">
        <v>22</v>
      </c>
      <c r="B33" s="199" t="s">
        <v>714</v>
      </c>
      <c r="C33" s="200">
        <f t="shared" si="0"/>
        <v>6374.3</v>
      </c>
      <c r="D33" s="200">
        <f t="shared" si="1"/>
        <v>3727.5</v>
      </c>
      <c r="E33" s="201">
        <v>2624</v>
      </c>
      <c r="F33" s="202">
        <v>2623.1</v>
      </c>
      <c r="G33" s="201">
        <v>650</v>
      </c>
      <c r="H33" s="201">
        <v>546.5</v>
      </c>
      <c r="I33" s="201">
        <v>870.5</v>
      </c>
      <c r="J33" s="201">
        <v>1462.6</v>
      </c>
      <c r="K33" s="201">
        <v>0</v>
      </c>
      <c r="L33" s="201"/>
      <c r="M33" s="201"/>
      <c r="N33" s="201"/>
      <c r="O33" s="201"/>
      <c r="P33" s="201"/>
      <c r="Q33" s="201">
        <v>229</v>
      </c>
      <c r="R33" s="201">
        <v>229</v>
      </c>
      <c r="S33" s="201">
        <v>625.1</v>
      </c>
      <c r="T33" s="201">
        <v>100</v>
      </c>
      <c r="U33" s="90"/>
      <c r="V33" s="201">
        <f t="shared" si="2"/>
        <v>4998.6</v>
      </c>
      <c r="W33" s="201">
        <f t="shared" si="2"/>
        <v>4961.2</v>
      </c>
      <c r="X33" s="201">
        <v>4561.7</v>
      </c>
      <c r="Y33" s="201">
        <v>1952</v>
      </c>
      <c r="Z33" s="90"/>
      <c r="AA33" s="90"/>
      <c r="AB33" s="201"/>
      <c r="AC33" s="201"/>
      <c r="AD33" s="201"/>
      <c r="AE33" s="201"/>
      <c r="AF33" s="201"/>
      <c r="AG33" s="201"/>
      <c r="AH33" s="201">
        <v>-3186</v>
      </c>
      <c r="AI33" s="90">
        <v>-3185.7</v>
      </c>
      <c r="AJ33" s="201"/>
      <c r="AK33" s="201"/>
      <c r="AL33" s="201"/>
      <c r="AM33" s="201"/>
      <c r="AN33" s="201">
        <f>X33+AB33+AD33+AF33+AH33+AJ33+AL33</f>
        <v>1375.6999999999998</v>
      </c>
      <c r="AO33" s="201">
        <f>Y33+AC33+AE33+AG33+AI33+AK33+AM33</f>
        <v>-1233.6999999999998</v>
      </c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</row>
    <row r="34" spans="1:77" s="206" customFormat="1" ht="15">
      <c r="A34" s="198">
        <v>23</v>
      </c>
      <c r="B34" s="199" t="s">
        <v>715</v>
      </c>
      <c r="C34" s="200">
        <f t="shared" si="0"/>
        <v>3720.4</v>
      </c>
      <c r="D34" s="200">
        <f t="shared" si="1"/>
        <v>3713.6</v>
      </c>
      <c r="E34" s="201">
        <v>2333</v>
      </c>
      <c r="F34" s="202">
        <v>2333</v>
      </c>
      <c r="G34" s="201">
        <v>560</v>
      </c>
      <c r="H34" s="201">
        <v>556</v>
      </c>
      <c r="I34" s="201">
        <v>83.9</v>
      </c>
      <c r="J34" s="201">
        <v>824.6</v>
      </c>
      <c r="K34" s="201">
        <v>0</v>
      </c>
      <c r="L34" s="201"/>
      <c r="M34" s="201"/>
      <c r="N34" s="201"/>
      <c r="O34" s="201"/>
      <c r="P34" s="201"/>
      <c r="Q34" s="201"/>
      <c r="R34" s="201"/>
      <c r="S34" s="201">
        <v>743.5</v>
      </c>
      <c r="T34" s="201"/>
      <c r="U34" s="90"/>
      <c r="V34" s="201">
        <f aca="true" t="shared" si="6" ref="V34:W65">E34+G34+I34+K34+M34+O34+Q34+S34</f>
        <v>3720.4</v>
      </c>
      <c r="W34" s="201">
        <f>F34+H34+J34+L34+N34+P34+R34+T34-U34</f>
        <v>3713.6</v>
      </c>
      <c r="X34" s="201"/>
      <c r="Y34" s="201"/>
      <c r="Z34" s="90"/>
      <c r="AA34" s="90"/>
      <c r="AB34" s="201"/>
      <c r="AC34" s="201"/>
      <c r="AD34" s="201"/>
      <c r="AE34" s="201"/>
      <c r="AF34" s="201"/>
      <c r="AG34" s="201"/>
      <c r="AH34" s="201"/>
      <c r="AI34" s="90"/>
      <c r="AJ34" s="201"/>
      <c r="AK34" s="201"/>
      <c r="AL34" s="201">
        <v>0.5</v>
      </c>
      <c r="AM34" s="201"/>
      <c r="AN34" s="201">
        <f>X34+AB34+AD34+AF34+AH34+AJ34+AL34</f>
        <v>0.5</v>
      </c>
      <c r="AO34" s="201">
        <f>Y34+AC34+AE34+AG34+AI34+AK34+AM34-AM34</f>
        <v>0</v>
      </c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</row>
    <row r="35" spans="1:77" s="206" customFormat="1" ht="15">
      <c r="A35" s="198">
        <v>24</v>
      </c>
      <c r="B35" s="199" t="s">
        <v>716</v>
      </c>
      <c r="C35" s="200">
        <f t="shared" si="0"/>
        <v>4736</v>
      </c>
      <c r="D35" s="200">
        <f t="shared" si="1"/>
        <v>4312.2</v>
      </c>
      <c r="E35" s="201">
        <v>3110</v>
      </c>
      <c r="F35" s="202">
        <v>3076.7</v>
      </c>
      <c r="G35" s="201">
        <v>770.5</v>
      </c>
      <c r="H35" s="201">
        <v>721.5</v>
      </c>
      <c r="I35" s="201">
        <v>535</v>
      </c>
      <c r="J35" s="201">
        <v>514</v>
      </c>
      <c r="K35" s="201">
        <v>0</v>
      </c>
      <c r="L35" s="201"/>
      <c r="M35" s="201"/>
      <c r="N35" s="201"/>
      <c r="O35" s="201"/>
      <c r="P35" s="201"/>
      <c r="Q35" s="201"/>
      <c r="R35" s="201"/>
      <c r="S35" s="201">
        <v>320</v>
      </c>
      <c r="T35" s="201"/>
      <c r="U35" s="90"/>
      <c r="V35" s="201">
        <f t="shared" si="6"/>
        <v>4735.5</v>
      </c>
      <c r="W35" s="201">
        <f t="shared" si="6"/>
        <v>4312.2</v>
      </c>
      <c r="X35" s="201">
        <v>0.5</v>
      </c>
      <c r="Y35" s="201"/>
      <c r="Z35" s="90"/>
      <c r="AA35" s="90"/>
      <c r="AB35" s="201"/>
      <c r="AC35" s="201"/>
      <c r="AD35" s="201"/>
      <c r="AE35" s="201"/>
      <c r="AF35" s="201"/>
      <c r="AG35" s="201"/>
      <c r="AH35" s="201"/>
      <c r="AI35" s="90"/>
      <c r="AJ35" s="201"/>
      <c r="AK35" s="201"/>
      <c r="AL35" s="201"/>
      <c r="AM35" s="201"/>
      <c r="AN35" s="201">
        <f>X35+AB35+AD35+AF35+AH35+AJ35+AL35</f>
        <v>0.5</v>
      </c>
      <c r="AO35" s="201">
        <f>Y35+AC35+AE35+AG35+AI35+AK35+AM35</f>
        <v>0</v>
      </c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</row>
    <row r="36" spans="1:77" s="206" customFormat="1" ht="15">
      <c r="A36" s="198">
        <v>25</v>
      </c>
      <c r="B36" s="199" t="s">
        <v>717</v>
      </c>
      <c r="C36" s="200">
        <f t="shared" si="0"/>
        <v>9889.7</v>
      </c>
      <c r="D36" s="200">
        <f t="shared" si="1"/>
        <v>6320.6</v>
      </c>
      <c r="E36" s="201">
        <v>3824.4</v>
      </c>
      <c r="F36" s="202">
        <v>3824.4</v>
      </c>
      <c r="G36" s="201">
        <v>909.7</v>
      </c>
      <c r="H36" s="201">
        <v>909.7</v>
      </c>
      <c r="I36" s="201">
        <v>3634.1</v>
      </c>
      <c r="J36" s="201">
        <v>769.5</v>
      </c>
      <c r="K36" s="201">
        <v>0</v>
      </c>
      <c r="L36" s="201"/>
      <c r="M36" s="201">
        <v>0</v>
      </c>
      <c r="N36" s="201"/>
      <c r="O36" s="201">
        <v>817</v>
      </c>
      <c r="P36" s="201">
        <v>817</v>
      </c>
      <c r="Q36" s="201">
        <v>100</v>
      </c>
      <c r="R36" s="201"/>
      <c r="S36" s="201">
        <v>492</v>
      </c>
      <c r="T36" s="201"/>
      <c r="U36" s="90"/>
      <c r="V36" s="201">
        <f t="shared" si="6"/>
        <v>9777.2</v>
      </c>
      <c r="W36" s="201">
        <f t="shared" si="6"/>
        <v>6320.6</v>
      </c>
      <c r="X36" s="201">
        <v>112.5</v>
      </c>
      <c r="Y36" s="201"/>
      <c r="Z36" s="90"/>
      <c r="AA36" s="90"/>
      <c r="AB36" s="201">
        <v>0</v>
      </c>
      <c r="AC36" s="201"/>
      <c r="AD36" s="201">
        <v>0</v>
      </c>
      <c r="AE36" s="201"/>
      <c r="AF36" s="201"/>
      <c r="AG36" s="201"/>
      <c r="AH36" s="201"/>
      <c r="AI36" s="90"/>
      <c r="AJ36" s="201">
        <v>0</v>
      </c>
      <c r="AK36" s="201"/>
      <c r="AL36" s="201"/>
      <c r="AM36" s="201"/>
      <c r="AN36" s="201">
        <f>X36+AB36+AD36+AF36+AH36+AJ36+AL36</f>
        <v>112.5</v>
      </c>
      <c r="AO36" s="201">
        <f>Y36+AC36+AE36+AG36+AI36+AK36+AM36</f>
        <v>0</v>
      </c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</row>
    <row r="37" spans="1:77" s="206" customFormat="1" ht="15">
      <c r="A37" s="198">
        <v>26</v>
      </c>
      <c r="B37" s="199" t="s">
        <v>718</v>
      </c>
      <c r="C37" s="200">
        <f t="shared" si="0"/>
        <v>4370.8</v>
      </c>
      <c r="D37" s="200">
        <f>W37+AO37-AM37</f>
        <v>4347.8</v>
      </c>
      <c r="E37" s="201">
        <v>3000</v>
      </c>
      <c r="F37" s="202">
        <v>2985.1</v>
      </c>
      <c r="G37" s="201">
        <v>690</v>
      </c>
      <c r="H37" s="201">
        <v>687.8</v>
      </c>
      <c r="I37" s="201">
        <v>370</v>
      </c>
      <c r="J37" s="201">
        <v>370</v>
      </c>
      <c r="K37" s="201">
        <v>0</v>
      </c>
      <c r="L37" s="201"/>
      <c r="M37" s="201"/>
      <c r="N37" s="201"/>
      <c r="O37" s="201"/>
      <c r="P37" s="201"/>
      <c r="Q37" s="201"/>
      <c r="R37" s="201"/>
      <c r="S37" s="201"/>
      <c r="T37" s="201">
        <v>214.1</v>
      </c>
      <c r="U37" s="90"/>
      <c r="V37" s="201">
        <f t="shared" si="6"/>
        <v>4060</v>
      </c>
      <c r="W37" s="201">
        <f t="shared" si="6"/>
        <v>4257</v>
      </c>
      <c r="X37" s="201">
        <v>310.8</v>
      </c>
      <c r="Y37" s="201">
        <v>305</v>
      </c>
      <c r="Z37" s="90"/>
      <c r="AA37" s="90"/>
      <c r="AB37" s="201"/>
      <c r="AC37" s="201"/>
      <c r="AD37" s="201"/>
      <c r="AE37" s="201"/>
      <c r="AF37" s="201"/>
      <c r="AG37" s="201"/>
      <c r="AH37" s="201"/>
      <c r="AI37" s="90"/>
      <c r="AJ37" s="201"/>
      <c r="AK37" s="201"/>
      <c r="AL37" s="201"/>
      <c r="AM37" s="201">
        <v>214.2</v>
      </c>
      <c r="AN37" s="201">
        <f>X37+AB37+AD37+AF37+AH37+AJ37+AL37-AL37</f>
        <v>310.8</v>
      </c>
      <c r="AO37" s="201">
        <f>Y37+AC37+AE37+AG37+AI37+AK37+AM37-AM37</f>
        <v>305.00000000000006</v>
      </c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</row>
    <row r="38" spans="1:77" s="206" customFormat="1" ht="15">
      <c r="A38" s="198">
        <v>27</v>
      </c>
      <c r="B38" s="199" t="s">
        <v>719</v>
      </c>
      <c r="C38" s="200">
        <f t="shared" si="0"/>
        <v>4071.9000000000005</v>
      </c>
      <c r="D38" s="200">
        <f aca="true" t="shared" si="7" ref="D38:D101">W38+AO38-AM38-U38</f>
        <v>4027</v>
      </c>
      <c r="E38" s="201">
        <v>2663.6</v>
      </c>
      <c r="F38" s="202">
        <v>2663.6</v>
      </c>
      <c r="G38" s="201">
        <v>699.2</v>
      </c>
      <c r="H38" s="201">
        <v>699.2</v>
      </c>
      <c r="I38" s="201">
        <v>203.8</v>
      </c>
      <c r="J38" s="201">
        <v>254.1</v>
      </c>
      <c r="K38" s="201">
        <v>0</v>
      </c>
      <c r="L38" s="201"/>
      <c r="M38" s="201"/>
      <c r="N38" s="201"/>
      <c r="O38" s="201"/>
      <c r="P38" s="201"/>
      <c r="Q38" s="201"/>
      <c r="R38" s="201"/>
      <c r="S38" s="201">
        <v>505.3</v>
      </c>
      <c r="T38" s="201">
        <v>410.1</v>
      </c>
      <c r="U38" s="90">
        <v>410</v>
      </c>
      <c r="V38" s="201">
        <f t="shared" si="6"/>
        <v>4071.9000000000005</v>
      </c>
      <c r="W38" s="201">
        <f t="shared" si="6"/>
        <v>4027</v>
      </c>
      <c r="X38" s="201">
        <v>450</v>
      </c>
      <c r="Y38" s="201">
        <v>410</v>
      </c>
      <c r="Z38" s="90"/>
      <c r="AA38" s="90"/>
      <c r="AB38" s="201"/>
      <c r="AC38" s="201"/>
      <c r="AD38" s="201"/>
      <c r="AE38" s="201"/>
      <c r="AF38" s="201"/>
      <c r="AG38" s="201"/>
      <c r="AH38" s="201"/>
      <c r="AI38" s="90"/>
      <c r="AJ38" s="201"/>
      <c r="AK38" s="201"/>
      <c r="AL38" s="201">
        <v>450</v>
      </c>
      <c r="AM38" s="201"/>
      <c r="AN38" s="201">
        <f>X38+AB38+AD38+AF38+AH38+AJ38+AL38-AL38</f>
        <v>450</v>
      </c>
      <c r="AO38" s="201">
        <f>Y38+AC38+AE38+AG38+AI38+AK38+AM38-AM38</f>
        <v>410</v>
      </c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</row>
    <row r="39" spans="1:77" s="206" customFormat="1" ht="15">
      <c r="A39" s="198">
        <v>28</v>
      </c>
      <c r="B39" s="199" t="s">
        <v>720</v>
      </c>
      <c r="C39" s="200">
        <f t="shared" si="0"/>
        <v>27381.9</v>
      </c>
      <c r="D39" s="200">
        <f t="shared" si="7"/>
        <v>27309.1</v>
      </c>
      <c r="E39" s="201">
        <v>12296</v>
      </c>
      <c r="F39" s="202">
        <v>12295.8</v>
      </c>
      <c r="G39" s="201">
        <v>2639</v>
      </c>
      <c r="H39" s="201">
        <v>2639</v>
      </c>
      <c r="I39" s="201">
        <v>2363.9</v>
      </c>
      <c r="J39" s="201">
        <v>3968.7</v>
      </c>
      <c r="K39" s="201">
        <v>0</v>
      </c>
      <c r="L39" s="201"/>
      <c r="M39" s="201">
        <v>5720</v>
      </c>
      <c r="N39" s="201">
        <v>5720</v>
      </c>
      <c r="O39" s="201"/>
      <c r="P39" s="201"/>
      <c r="Q39" s="201">
        <v>2500</v>
      </c>
      <c r="R39" s="201">
        <v>2600</v>
      </c>
      <c r="S39" s="201">
        <v>1756</v>
      </c>
      <c r="T39" s="201">
        <v>15</v>
      </c>
      <c r="U39" s="90"/>
      <c r="V39" s="201">
        <f t="shared" si="6"/>
        <v>27274.9</v>
      </c>
      <c r="W39" s="201">
        <f t="shared" si="6"/>
        <v>27238.5</v>
      </c>
      <c r="X39" s="201">
        <v>6637.6</v>
      </c>
      <c r="Y39" s="201">
        <v>6637.6</v>
      </c>
      <c r="Z39" s="90"/>
      <c r="AA39" s="90"/>
      <c r="AB39" s="201"/>
      <c r="AC39" s="201"/>
      <c r="AD39" s="201"/>
      <c r="AE39" s="201"/>
      <c r="AF39" s="201"/>
      <c r="AG39" s="201"/>
      <c r="AH39" s="201">
        <v>-6530.6</v>
      </c>
      <c r="AI39" s="90">
        <v>-6567</v>
      </c>
      <c r="AJ39" s="201"/>
      <c r="AK39" s="201"/>
      <c r="AL39" s="201"/>
      <c r="AM39" s="201"/>
      <c r="AN39" s="201">
        <f>X39+AB39+AD39+AF39+AH39+AJ39+AL39</f>
        <v>107</v>
      </c>
      <c r="AO39" s="201">
        <f>Y39+AC39+AE39+AG39+AI39+AK39+AM39</f>
        <v>70.60000000000036</v>
      </c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</row>
    <row r="40" spans="1:77" s="206" customFormat="1" ht="15">
      <c r="A40" s="198">
        <v>29</v>
      </c>
      <c r="B40" s="199" t="s">
        <v>721</v>
      </c>
      <c r="C40" s="200">
        <f t="shared" si="0"/>
        <v>5389.5</v>
      </c>
      <c r="D40" s="200">
        <f t="shared" si="7"/>
        <v>5380.9</v>
      </c>
      <c r="E40" s="201">
        <v>3720</v>
      </c>
      <c r="F40" s="202">
        <v>3719.9</v>
      </c>
      <c r="G40" s="201">
        <v>870</v>
      </c>
      <c r="H40" s="201">
        <v>864</v>
      </c>
      <c r="I40" s="201">
        <v>590</v>
      </c>
      <c r="J40" s="201">
        <v>679.6</v>
      </c>
      <c r="K40" s="201">
        <v>0</v>
      </c>
      <c r="L40" s="201"/>
      <c r="M40" s="201"/>
      <c r="N40" s="201"/>
      <c r="O40" s="201"/>
      <c r="P40" s="201"/>
      <c r="Q40" s="201"/>
      <c r="R40" s="201"/>
      <c r="S40" s="201">
        <v>95</v>
      </c>
      <c r="T40" s="201">
        <v>2.9</v>
      </c>
      <c r="U40" s="90"/>
      <c r="V40" s="201">
        <f t="shared" si="6"/>
        <v>5275</v>
      </c>
      <c r="W40" s="201">
        <f t="shared" si="6"/>
        <v>5266.4</v>
      </c>
      <c r="X40" s="201">
        <v>214.5</v>
      </c>
      <c r="Y40" s="201">
        <v>114.5</v>
      </c>
      <c r="Z40" s="90"/>
      <c r="AA40" s="90"/>
      <c r="AB40" s="201"/>
      <c r="AC40" s="201"/>
      <c r="AD40" s="201"/>
      <c r="AE40" s="201"/>
      <c r="AF40" s="201"/>
      <c r="AG40" s="201"/>
      <c r="AH40" s="201">
        <v>-100</v>
      </c>
      <c r="AI40" s="90"/>
      <c r="AJ40" s="201"/>
      <c r="AK40" s="201"/>
      <c r="AL40" s="201"/>
      <c r="AM40" s="201"/>
      <c r="AN40" s="201">
        <f>X40+AB40+AD40+AF40+AH40+AJ40+AL40</f>
        <v>114.5</v>
      </c>
      <c r="AO40" s="201">
        <f>Y40+AC40+AE40+AG40+AI40+AK40+AM40</f>
        <v>114.5</v>
      </c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</row>
    <row r="41" spans="1:77" s="206" customFormat="1" ht="15">
      <c r="A41" s="198">
        <v>30</v>
      </c>
      <c r="B41" s="199" t="s">
        <v>722</v>
      </c>
      <c r="C41" s="200">
        <f t="shared" si="0"/>
        <v>6787.200000000001</v>
      </c>
      <c r="D41" s="200">
        <f t="shared" si="7"/>
        <v>6450</v>
      </c>
      <c r="E41" s="201">
        <v>2580</v>
      </c>
      <c r="F41" s="202">
        <v>2701.8</v>
      </c>
      <c r="G41" s="201">
        <v>627</v>
      </c>
      <c r="H41" s="201">
        <v>614.9</v>
      </c>
      <c r="I41" s="201">
        <v>1410</v>
      </c>
      <c r="J41" s="201">
        <v>1533.3</v>
      </c>
      <c r="K41" s="201">
        <v>0</v>
      </c>
      <c r="L41" s="201"/>
      <c r="M41" s="201">
        <v>0</v>
      </c>
      <c r="N41" s="201"/>
      <c r="O41" s="201"/>
      <c r="P41" s="201"/>
      <c r="Q41" s="201">
        <v>800</v>
      </c>
      <c r="R41" s="201">
        <v>800</v>
      </c>
      <c r="S41" s="201">
        <v>547.6</v>
      </c>
      <c r="T41" s="201">
        <v>800</v>
      </c>
      <c r="U41" s="90"/>
      <c r="V41" s="201">
        <f t="shared" si="6"/>
        <v>5964.6</v>
      </c>
      <c r="W41" s="201">
        <f t="shared" si="6"/>
        <v>6450</v>
      </c>
      <c r="X41" s="201">
        <v>822.6</v>
      </c>
      <c r="Y41" s="201">
        <v>800</v>
      </c>
      <c r="Z41" s="90"/>
      <c r="AA41" s="90"/>
      <c r="AB41" s="201"/>
      <c r="AC41" s="201"/>
      <c r="AD41" s="201"/>
      <c r="AE41" s="201"/>
      <c r="AF41" s="201"/>
      <c r="AG41" s="201"/>
      <c r="AH41" s="201"/>
      <c r="AI41" s="90"/>
      <c r="AJ41" s="201"/>
      <c r="AK41" s="201"/>
      <c r="AL41" s="201"/>
      <c r="AM41" s="201">
        <v>800</v>
      </c>
      <c r="AN41" s="201">
        <f>X41+AB41+AD41+AF41+AH41+AJ41+AL41-AL41</f>
        <v>822.6</v>
      </c>
      <c r="AO41" s="201">
        <f>Y41+AC41+AE41+AG41+AI41+AK41+AM41-AM41</f>
        <v>800</v>
      </c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</row>
    <row r="42" spans="1:77" s="206" customFormat="1" ht="15">
      <c r="A42" s="198">
        <v>31</v>
      </c>
      <c r="B42" s="199" t="s">
        <v>723</v>
      </c>
      <c r="C42" s="200">
        <f t="shared" si="0"/>
        <v>5634.5</v>
      </c>
      <c r="D42" s="200">
        <f t="shared" si="7"/>
        <v>4450.9</v>
      </c>
      <c r="E42" s="201">
        <v>3120</v>
      </c>
      <c r="F42" s="202">
        <v>3119.8</v>
      </c>
      <c r="G42" s="201">
        <v>770</v>
      </c>
      <c r="H42" s="201">
        <v>753.7</v>
      </c>
      <c r="I42" s="201">
        <v>642.9</v>
      </c>
      <c r="J42" s="201">
        <v>552.4</v>
      </c>
      <c r="K42" s="201">
        <v>0</v>
      </c>
      <c r="L42" s="201"/>
      <c r="M42" s="201"/>
      <c r="N42" s="201"/>
      <c r="O42" s="201"/>
      <c r="P42" s="201"/>
      <c r="Q42" s="201"/>
      <c r="R42" s="201"/>
      <c r="S42" s="201">
        <v>810</v>
      </c>
      <c r="T42" s="201">
        <v>25</v>
      </c>
      <c r="U42" s="90"/>
      <c r="V42" s="201">
        <f t="shared" si="6"/>
        <v>5342.9</v>
      </c>
      <c r="W42" s="201">
        <f t="shared" si="6"/>
        <v>4450.9</v>
      </c>
      <c r="X42" s="201">
        <v>291.6</v>
      </c>
      <c r="Y42" s="201"/>
      <c r="Z42" s="90"/>
      <c r="AA42" s="90"/>
      <c r="AB42" s="201"/>
      <c r="AC42" s="201"/>
      <c r="AD42" s="201"/>
      <c r="AE42" s="201"/>
      <c r="AF42" s="201"/>
      <c r="AG42" s="201"/>
      <c r="AH42" s="201"/>
      <c r="AI42" s="90"/>
      <c r="AJ42" s="201"/>
      <c r="AK42" s="201"/>
      <c r="AL42" s="201"/>
      <c r="AM42" s="201"/>
      <c r="AN42" s="201">
        <f>X42+AB42+AD42+AF42+AH42+AJ42+AL42</f>
        <v>291.6</v>
      </c>
      <c r="AO42" s="201">
        <f>Y42+AC42+AE42+AG42+AI42+AK42+AM42</f>
        <v>0</v>
      </c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</row>
    <row r="43" spans="1:77" s="206" customFormat="1" ht="15">
      <c r="A43" s="198">
        <v>32</v>
      </c>
      <c r="B43" s="199" t="s">
        <v>724</v>
      </c>
      <c r="C43" s="200">
        <f t="shared" si="0"/>
        <v>4984.5</v>
      </c>
      <c r="D43" s="200">
        <f t="shared" si="7"/>
        <v>4868.2</v>
      </c>
      <c r="E43" s="201">
        <v>3597</v>
      </c>
      <c r="F43" s="202">
        <v>3596.1</v>
      </c>
      <c r="G43" s="201">
        <v>887.7</v>
      </c>
      <c r="H43" s="201">
        <v>887.7</v>
      </c>
      <c r="I43" s="201">
        <v>139.8</v>
      </c>
      <c r="J43" s="201">
        <v>384.4</v>
      </c>
      <c r="K43" s="201"/>
      <c r="L43" s="201"/>
      <c r="M43" s="201"/>
      <c r="N43" s="201"/>
      <c r="O43" s="201"/>
      <c r="P43" s="201"/>
      <c r="Q43" s="201"/>
      <c r="R43" s="201"/>
      <c r="S43" s="201">
        <v>360</v>
      </c>
      <c r="T43" s="201"/>
      <c r="U43" s="90"/>
      <c r="V43" s="201">
        <f t="shared" si="6"/>
        <v>4984.5</v>
      </c>
      <c r="W43" s="201">
        <f t="shared" si="6"/>
        <v>4868.2</v>
      </c>
      <c r="X43" s="201"/>
      <c r="Y43" s="201"/>
      <c r="Z43" s="90"/>
      <c r="AA43" s="90"/>
      <c r="AB43" s="201"/>
      <c r="AC43" s="201"/>
      <c r="AD43" s="201"/>
      <c r="AE43" s="201"/>
      <c r="AF43" s="201"/>
      <c r="AG43" s="201"/>
      <c r="AH43" s="201"/>
      <c r="AI43" s="90"/>
      <c r="AJ43" s="201"/>
      <c r="AK43" s="201"/>
      <c r="AL43" s="201"/>
      <c r="AM43" s="201"/>
      <c r="AN43" s="201">
        <f>X43+AB43+AD43+AF43+AH43+AJ43+AL43</f>
        <v>0</v>
      </c>
      <c r="AO43" s="201">
        <f>Y43+AC43+AE43+AG43+AI43+AK43+AM43</f>
        <v>0</v>
      </c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</row>
    <row r="44" spans="1:77" s="206" customFormat="1" ht="15">
      <c r="A44" s="198">
        <v>33</v>
      </c>
      <c r="B44" s="199" t="s">
        <v>725</v>
      </c>
      <c r="C44" s="200">
        <f t="shared" si="0"/>
        <v>4955.9</v>
      </c>
      <c r="D44" s="200">
        <f t="shared" si="7"/>
        <v>4832.8</v>
      </c>
      <c r="E44" s="201">
        <v>3240</v>
      </c>
      <c r="F44" s="202">
        <v>3239.6</v>
      </c>
      <c r="G44" s="201">
        <v>817</v>
      </c>
      <c r="H44" s="201">
        <v>774.6</v>
      </c>
      <c r="I44" s="201">
        <v>289</v>
      </c>
      <c r="J44" s="201">
        <v>518.6</v>
      </c>
      <c r="K44" s="201">
        <v>0</v>
      </c>
      <c r="L44" s="201"/>
      <c r="M44" s="201"/>
      <c r="N44" s="201"/>
      <c r="O44" s="201"/>
      <c r="P44" s="201"/>
      <c r="Q44" s="201"/>
      <c r="R44" s="201"/>
      <c r="S44" s="201">
        <v>600</v>
      </c>
      <c r="T44" s="201">
        <v>300</v>
      </c>
      <c r="U44" s="90"/>
      <c r="V44" s="201">
        <f t="shared" si="6"/>
        <v>4946</v>
      </c>
      <c r="W44" s="201">
        <f t="shared" si="6"/>
        <v>4832.8</v>
      </c>
      <c r="X44" s="201">
        <v>309.9</v>
      </c>
      <c r="Y44" s="201">
        <v>300</v>
      </c>
      <c r="Z44" s="90"/>
      <c r="AA44" s="90"/>
      <c r="AB44" s="201"/>
      <c r="AC44" s="201"/>
      <c r="AD44" s="201"/>
      <c r="AE44" s="201"/>
      <c r="AF44" s="201"/>
      <c r="AG44" s="201"/>
      <c r="AH44" s="201"/>
      <c r="AI44" s="90"/>
      <c r="AJ44" s="201"/>
      <c r="AK44" s="201"/>
      <c r="AL44" s="201">
        <v>300</v>
      </c>
      <c r="AM44" s="201">
        <v>300</v>
      </c>
      <c r="AN44" s="201">
        <f>X44+AB44+AD44+AF44+AH44+AJ44+AL44-AL44</f>
        <v>309.9</v>
      </c>
      <c r="AO44" s="201">
        <f>Y44+AC44+AE44+AG44+AI44+AK44+AM44-AM44</f>
        <v>300</v>
      </c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</row>
    <row r="45" spans="1:77" s="206" customFormat="1" ht="15">
      <c r="A45" s="198">
        <v>34</v>
      </c>
      <c r="B45" s="199" t="s">
        <v>726</v>
      </c>
      <c r="C45" s="200">
        <f t="shared" si="0"/>
        <v>4647.099999999999</v>
      </c>
      <c r="D45" s="200">
        <f t="shared" si="7"/>
        <v>4296.9</v>
      </c>
      <c r="E45" s="201">
        <v>2964</v>
      </c>
      <c r="F45" s="202">
        <v>3126</v>
      </c>
      <c r="G45" s="201">
        <v>732</v>
      </c>
      <c r="H45" s="201">
        <v>750.9</v>
      </c>
      <c r="I45" s="201">
        <v>290</v>
      </c>
      <c r="J45" s="201">
        <v>420</v>
      </c>
      <c r="K45" s="201">
        <v>0</v>
      </c>
      <c r="L45" s="201"/>
      <c r="M45" s="201"/>
      <c r="N45" s="201"/>
      <c r="O45" s="201"/>
      <c r="P45" s="201"/>
      <c r="Q45" s="201"/>
      <c r="R45" s="201"/>
      <c r="S45" s="201">
        <v>641.7</v>
      </c>
      <c r="T45" s="201"/>
      <c r="U45" s="90"/>
      <c r="V45" s="201">
        <f t="shared" si="6"/>
        <v>4627.7</v>
      </c>
      <c r="W45" s="201">
        <f t="shared" si="6"/>
        <v>4296.9</v>
      </c>
      <c r="X45" s="201">
        <v>19.4</v>
      </c>
      <c r="Y45" s="201"/>
      <c r="Z45" s="90"/>
      <c r="AA45" s="90"/>
      <c r="AB45" s="201"/>
      <c r="AC45" s="201"/>
      <c r="AD45" s="201"/>
      <c r="AE45" s="201"/>
      <c r="AF45" s="201"/>
      <c r="AG45" s="201"/>
      <c r="AH45" s="201"/>
      <c r="AI45" s="90"/>
      <c r="AJ45" s="201"/>
      <c r="AK45" s="201"/>
      <c r="AL45" s="201"/>
      <c r="AM45" s="201"/>
      <c r="AN45" s="201">
        <f aca="true" t="shared" si="8" ref="AN45:AO55">X45+AB45+AD45+AF45+AH45+AJ45+AL45</f>
        <v>19.4</v>
      </c>
      <c r="AO45" s="201">
        <f t="shared" si="8"/>
        <v>0</v>
      </c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</row>
    <row r="46" spans="1:77" s="206" customFormat="1" ht="15">
      <c r="A46" s="198">
        <v>35</v>
      </c>
      <c r="B46" s="199" t="s">
        <v>727</v>
      </c>
      <c r="C46" s="200">
        <f t="shared" si="0"/>
        <v>5444</v>
      </c>
      <c r="D46" s="200">
        <f t="shared" si="7"/>
        <v>4328</v>
      </c>
      <c r="E46" s="201">
        <v>2820</v>
      </c>
      <c r="F46" s="202">
        <v>3012.6</v>
      </c>
      <c r="G46" s="201">
        <v>750.5</v>
      </c>
      <c r="H46" s="201">
        <v>754.9</v>
      </c>
      <c r="I46" s="201">
        <v>1260.5</v>
      </c>
      <c r="J46" s="201">
        <v>560.5</v>
      </c>
      <c r="K46" s="201">
        <v>0</v>
      </c>
      <c r="L46" s="201"/>
      <c r="M46" s="201"/>
      <c r="N46" s="201"/>
      <c r="O46" s="201"/>
      <c r="P46" s="201"/>
      <c r="Q46" s="201"/>
      <c r="R46" s="201"/>
      <c r="S46" s="201">
        <v>240</v>
      </c>
      <c r="T46" s="201"/>
      <c r="U46" s="90"/>
      <c r="V46" s="201">
        <f t="shared" si="6"/>
        <v>5071</v>
      </c>
      <c r="W46" s="201">
        <f t="shared" si="6"/>
        <v>4328</v>
      </c>
      <c r="X46" s="201">
        <v>373</v>
      </c>
      <c r="Y46" s="201"/>
      <c r="Z46" s="90"/>
      <c r="AA46" s="90"/>
      <c r="AB46" s="201"/>
      <c r="AC46" s="201"/>
      <c r="AD46" s="201"/>
      <c r="AE46" s="201"/>
      <c r="AF46" s="201"/>
      <c r="AG46" s="201"/>
      <c r="AH46" s="201"/>
      <c r="AI46" s="90"/>
      <c r="AJ46" s="201"/>
      <c r="AK46" s="201"/>
      <c r="AL46" s="201"/>
      <c r="AM46" s="201"/>
      <c r="AN46" s="201">
        <f t="shared" si="8"/>
        <v>373</v>
      </c>
      <c r="AO46" s="201">
        <f t="shared" si="8"/>
        <v>0</v>
      </c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</row>
    <row r="47" spans="1:77" s="206" customFormat="1" ht="15">
      <c r="A47" s="198">
        <v>36</v>
      </c>
      <c r="B47" s="199" t="s">
        <v>728</v>
      </c>
      <c r="C47" s="200">
        <f t="shared" si="0"/>
        <v>3638.9</v>
      </c>
      <c r="D47" s="200">
        <f t="shared" si="7"/>
        <v>3636.5</v>
      </c>
      <c r="E47" s="201">
        <v>2604</v>
      </c>
      <c r="F47" s="202">
        <v>2785</v>
      </c>
      <c r="G47" s="201">
        <v>633.9</v>
      </c>
      <c r="H47" s="201">
        <v>633.9</v>
      </c>
      <c r="I47" s="201">
        <v>60</v>
      </c>
      <c r="J47" s="201">
        <v>57.6</v>
      </c>
      <c r="K47" s="201">
        <v>0</v>
      </c>
      <c r="L47" s="201"/>
      <c r="M47" s="201"/>
      <c r="N47" s="201"/>
      <c r="O47" s="201"/>
      <c r="P47" s="201"/>
      <c r="Q47" s="201">
        <v>160</v>
      </c>
      <c r="R47" s="201">
        <v>160</v>
      </c>
      <c r="S47" s="201">
        <v>181</v>
      </c>
      <c r="T47" s="201"/>
      <c r="U47" s="90"/>
      <c r="V47" s="201">
        <f t="shared" si="6"/>
        <v>3638.9</v>
      </c>
      <c r="W47" s="201">
        <f t="shared" si="6"/>
        <v>3636.5</v>
      </c>
      <c r="X47" s="201"/>
      <c r="Y47" s="201"/>
      <c r="Z47" s="90"/>
      <c r="AA47" s="90"/>
      <c r="AB47" s="201"/>
      <c r="AC47" s="201"/>
      <c r="AD47" s="201"/>
      <c r="AE47" s="201"/>
      <c r="AF47" s="201"/>
      <c r="AG47" s="201"/>
      <c r="AH47" s="201"/>
      <c r="AI47" s="90"/>
      <c r="AJ47" s="201"/>
      <c r="AK47" s="201"/>
      <c r="AL47" s="201"/>
      <c r="AM47" s="201"/>
      <c r="AN47" s="201">
        <f t="shared" si="8"/>
        <v>0</v>
      </c>
      <c r="AO47" s="201">
        <f t="shared" si="8"/>
        <v>0</v>
      </c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</row>
    <row r="48" spans="1:77" s="206" customFormat="1" ht="15">
      <c r="A48" s="198">
        <v>37</v>
      </c>
      <c r="B48" s="199" t="s">
        <v>729</v>
      </c>
      <c r="C48" s="200">
        <f t="shared" si="0"/>
        <v>7068.8</v>
      </c>
      <c r="D48" s="200">
        <f t="shared" si="7"/>
        <v>5464.4</v>
      </c>
      <c r="E48" s="201">
        <v>4124</v>
      </c>
      <c r="F48" s="202">
        <v>4116.3</v>
      </c>
      <c r="G48" s="201">
        <v>940</v>
      </c>
      <c r="H48" s="201">
        <v>913.4</v>
      </c>
      <c r="I48" s="201">
        <v>548.7</v>
      </c>
      <c r="J48" s="201">
        <v>283</v>
      </c>
      <c r="K48" s="201">
        <v>0</v>
      </c>
      <c r="L48" s="201"/>
      <c r="M48" s="201"/>
      <c r="N48" s="201"/>
      <c r="O48" s="201"/>
      <c r="P48" s="201"/>
      <c r="Q48" s="201"/>
      <c r="R48" s="201"/>
      <c r="S48" s="201">
        <v>1304.4</v>
      </c>
      <c r="T48" s="201"/>
      <c r="U48" s="90"/>
      <c r="V48" s="201">
        <f t="shared" si="6"/>
        <v>6917.1</v>
      </c>
      <c r="W48" s="201">
        <f t="shared" si="6"/>
        <v>5312.7</v>
      </c>
      <c r="X48" s="201">
        <v>2122.6</v>
      </c>
      <c r="Y48" s="201">
        <v>2122.6</v>
      </c>
      <c r="Z48" s="90"/>
      <c r="AA48" s="90"/>
      <c r="AB48" s="201"/>
      <c r="AC48" s="201"/>
      <c r="AD48" s="201"/>
      <c r="AE48" s="201"/>
      <c r="AF48" s="201"/>
      <c r="AG48" s="201"/>
      <c r="AH48" s="201">
        <v>-1970.9</v>
      </c>
      <c r="AI48" s="90">
        <v>-1970.9</v>
      </c>
      <c r="AJ48" s="201"/>
      <c r="AK48" s="201"/>
      <c r="AL48" s="201"/>
      <c r="AM48" s="201"/>
      <c r="AN48" s="201">
        <f t="shared" si="8"/>
        <v>151.69999999999982</v>
      </c>
      <c r="AO48" s="201">
        <f t="shared" si="8"/>
        <v>151.69999999999982</v>
      </c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</row>
    <row r="49" spans="1:77" ht="15">
      <c r="A49" s="198">
        <v>38</v>
      </c>
      <c r="B49" s="208" t="s">
        <v>730</v>
      </c>
      <c r="C49" s="200">
        <f t="shared" si="0"/>
        <v>352317.1</v>
      </c>
      <c r="D49" s="200">
        <f t="shared" si="7"/>
        <v>323815.8</v>
      </c>
      <c r="E49" s="90">
        <v>36935.7</v>
      </c>
      <c r="F49" s="209">
        <v>36564.3</v>
      </c>
      <c r="G49" s="90">
        <v>8231</v>
      </c>
      <c r="H49" s="90">
        <v>8205.6</v>
      </c>
      <c r="I49" s="90">
        <v>76625.3</v>
      </c>
      <c r="J49" s="90">
        <v>73578.2</v>
      </c>
      <c r="K49" s="90"/>
      <c r="L49" s="90"/>
      <c r="M49" s="90">
        <v>171708.5</v>
      </c>
      <c r="N49" s="90">
        <v>165776.5</v>
      </c>
      <c r="O49" s="90">
        <v>2000</v>
      </c>
      <c r="P49" s="90">
        <v>3000</v>
      </c>
      <c r="Q49" s="90">
        <v>2300</v>
      </c>
      <c r="R49" s="90">
        <v>2095</v>
      </c>
      <c r="S49" s="90">
        <v>38420</v>
      </c>
      <c r="T49" s="90">
        <v>17908.7</v>
      </c>
      <c r="U49" s="90">
        <v>16914.8</v>
      </c>
      <c r="V49" s="90">
        <f t="shared" si="6"/>
        <v>336220.5</v>
      </c>
      <c r="W49" s="90">
        <f t="shared" si="6"/>
        <v>307128.3</v>
      </c>
      <c r="X49" s="90">
        <v>54596.6</v>
      </c>
      <c r="Y49" s="90">
        <v>51726.7</v>
      </c>
      <c r="Z49" s="90"/>
      <c r="AA49" s="90"/>
      <c r="AB49" s="90"/>
      <c r="AC49" s="90"/>
      <c r="AD49" s="90"/>
      <c r="AE49" s="90"/>
      <c r="AF49" s="90"/>
      <c r="AG49" s="90">
        <v>-2153</v>
      </c>
      <c r="AH49" s="90">
        <v>-14500</v>
      </c>
      <c r="AI49" s="90">
        <v>-15971.4</v>
      </c>
      <c r="AJ49" s="90"/>
      <c r="AK49" s="90"/>
      <c r="AL49" s="90">
        <v>24000</v>
      </c>
      <c r="AM49" s="90"/>
      <c r="AN49" s="90">
        <f>X49+AB49+AD49+AF49+AH49+AJ49</f>
        <v>40096.6</v>
      </c>
      <c r="AO49" s="90">
        <f t="shared" si="8"/>
        <v>33602.299999999996</v>
      </c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</row>
    <row r="50" spans="1:77" ht="15">
      <c r="A50" s="198">
        <v>39</v>
      </c>
      <c r="B50" s="199" t="s">
        <v>731</v>
      </c>
      <c r="C50" s="200">
        <f t="shared" si="0"/>
        <v>21470</v>
      </c>
      <c r="D50" s="200">
        <f t="shared" si="7"/>
        <v>20345.199999999997</v>
      </c>
      <c r="E50" s="90">
        <v>12393.2</v>
      </c>
      <c r="F50" s="209">
        <v>12833.6</v>
      </c>
      <c r="G50" s="90">
        <v>3031.8</v>
      </c>
      <c r="H50" s="90">
        <v>2788.9</v>
      </c>
      <c r="I50" s="90">
        <v>3450.2</v>
      </c>
      <c r="J50" s="90">
        <v>3281.1</v>
      </c>
      <c r="K50" s="90">
        <v>0</v>
      </c>
      <c r="L50" s="90"/>
      <c r="M50" s="90"/>
      <c r="N50" s="90"/>
      <c r="O50" s="90"/>
      <c r="P50" s="90"/>
      <c r="Q50" s="90">
        <v>1300</v>
      </c>
      <c r="R50" s="90">
        <v>1300</v>
      </c>
      <c r="S50" s="90">
        <v>1293.5</v>
      </c>
      <c r="T50" s="90">
        <v>141.6</v>
      </c>
      <c r="U50" s="90"/>
      <c r="V50" s="90">
        <f t="shared" si="6"/>
        <v>21468.7</v>
      </c>
      <c r="W50" s="90">
        <f t="shared" si="6"/>
        <v>20345.199999999997</v>
      </c>
      <c r="X50" s="90">
        <v>2001.3</v>
      </c>
      <c r="Y50" s="90"/>
      <c r="Z50" s="90"/>
      <c r="AA50" s="90"/>
      <c r="AB50" s="90"/>
      <c r="AC50" s="90"/>
      <c r="AD50" s="90"/>
      <c r="AE50" s="90"/>
      <c r="AF50" s="90"/>
      <c r="AG50" s="90"/>
      <c r="AH50" s="90">
        <v>-2000</v>
      </c>
      <c r="AI50" s="90"/>
      <c r="AJ50" s="90"/>
      <c r="AK50" s="90"/>
      <c r="AL50" s="90"/>
      <c r="AM50" s="90"/>
      <c r="AN50" s="90">
        <f aca="true" t="shared" si="9" ref="AN50:AN55">X50+AB50+AD50+AF50+AH50+AJ50+AL50</f>
        <v>1.2999999999999545</v>
      </c>
      <c r="AO50" s="90">
        <f t="shared" si="8"/>
        <v>0</v>
      </c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</row>
    <row r="51" spans="1:77" ht="15">
      <c r="A51" s="198">
        <v>40</v>
      </c>
      <c r="B51" s="199" t="s">
        <v>732</v>
      </c>
      <c r="C51" s="200">
        <f t="shared" si="0"/>
        <v>7648.4</v>
      </c>
      <c r="D51" s="200">
        <f t="shared" si="7"/>
        <v>6882.3</v>
      </c>
      <c r="E51" s="90">
        <v>5846.1</v>
      </c>
      <c r="F51" s="209">
        <v>5447.7</v>
      </c>
      <c r="G51" s="90">
        <v>896.5</v>
      </c>
      <c r="H51" s="90">
        <v>872.5</v>
      </c>
      <c r="I51" s="90">
        <v>563.4</v>
      </c>
      <c r="J51" s="90">
        <v>575.5</v>
      </c>
      <c r="K51" s="90"/>
      <c r="L51" s="90"/>
      <c r="M51" s="90"/>
      <c r="N51" s="90"/>
      <c r="O51" s="90"/>
      <c r="P51" s="90"/>
      <c r="Q51" s="90"/>
      <c r="R51" s="90"/>
      <c r="S51" s="90">
        <v>342.4</v>
      </c>
      <c r="T51" s="90"/>
      <c r="U51" s="90"/>
      <c r="V51" s="90">
        <f t="shared" si="6"/>
        <v>7648.4</v>
      </c>
      <c r="W51" s="90">
        <f t="shared" si="6"/>
        <v>6895.7</v>
      </c>
      <c r="X51" s="90"/>
      <c r="Y51" s="90"/>
      <c r="Z51" s="90"/>
      <c r="AA51" s="90"/>
      <c r="AB51" s="90"/>
      <c r="AC51" s="90"/>
      <c r="AD51" s="90"/>
      <c r="AE51" s="90"/>
      <c r="AF51" s="90"/>
      <c r="AG51" s="90">
        <v>-13.4</v>
      </c>
      <c r="AH51" s="90"/>
      <c r="AI51" s="90"/>
      <c r="AJ51" s="90"/>
      <c r="AK51" s="90"/>
      <c r="AL51" s="90"/>
      <c r="AM51" s="90"/>
      <c r="AN51" s="90">
        <f t="shared" si="9"/>
        <v>0</v>
      </c>
      <c r="AO51" s="90">
        <f t="shared" si="8"/>
        <v>-13.4</v>
      </c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</row>
    <row r="52" spans="1:77" ht="15">
      <c r="A52" s="198">
        <v>41</v>
      </c>
      <c r="B52" s="199" t="s">
        <v>733</v>
      </c>
      <c r="C52" s="200">
        <f t="shared" si="0"/>
        <v>8102.400000000001</v>
      </c>
      <c r="D52" s="200">
        <f t="shared" si="7"/>
        <v>6667.8</v>
      </c>
      <c r="E52" s="90">
        <v>5685.8</v>
      </c>
      <c r="F52" s="209">
        <v>5330.9</v>
      </c>
      <c r="G52" s="90">
        <v>1068.4</v>
      </c>
      <c r="H52" s="90">
        <v>1048.3</v>
      </c>
      <c r="I52" s="90">
        <v>929.3</v>
      </c>
      <c r="J52" s="90">
        <v>288.6</v>
      </c>
      <c r="K52" s="90">
        <v>0</v>
      </c>
      <c r="L52" s="90"/>
      <c r="M52" s="90"/>
      <c r="N52" s="90"/>
      <c r="O52" s="90"/>
      <c r="P52" s="90"/>
      <c r="Q52" s="90"/>
      <c r="R52" s="90"/>
      <c r="S52" s="90">
        <v>418.9</v>
      </c>
      <c r="T52" s="90"/>
      <c r="U52" s="90"/>
      <c r="V52" s="90">
        <f t="shared" si="6"/>
        <v>8102.400000000001</v>
      </c>
      <c r="W52" s="90">
        <f t="shared" si="6"/>
        <v>6667.8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>
        <f t="shared" si="9"/>
        <v>0</v>
      </c>
      <c r="AO52" s="90">
        <f t="shared" si="8"/>
        <v>0</v>
      </c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</row>
    <row r="53" spans="1:77" ht="15">
      <c r="A53" s="198">
        <v>42</v>
      </c>
      <c r="B53" s="199" t="s">
        <v>734</v>
      </c>
      <c r="C53" s="200">
        <f t="shared" si="0"/>
        <v>19781.7</v>
      </c>
      <c r="D53" s="200">
        <f t="shared" si="7"/>
        <v>18017.299999999996</v>
      </c>
      <c r="E53" s="90">
        <v>8830</v>
      </c>
      <c r="F53" s="209">
        <v>8825.3</v>
      </c>
      <c r="G53" s="90">
        <v>2020</v>
      </c>
      <c r="H53" s="90">
        <v>1827.3</v>
      </c>
      <c r="I53" s="90">
        <v>2500</v>
      </c>
      <c r="J53" s="90">
        <v>2051.1</v>
      </c>
      <c r="K53" s="90">
        <v>0</v>
      </c>
      <c r="L53" s="90"/>
      <c r="M53" s="90">
        <v>3800</v>
      </c>
      <c r="N53" s="90">
        <v>3800</v>
      </c>
      <c r="O53" s="90"/>
      <c r="P53" s="90"/>
      <c r="Q53" s="90">
        <v>300</v>
      </c>
      <c r="R53" s="90">
        <v>300</v>
      </c>
      <c r="S53" s="90">
        <v>1023.3</v>
      </c>
      <c r="T53" s="90">
        <v>11</v>
      </c>
      <c r="U53" s="90"/>
      <c r="V53" s="90">
        <f t="shared" si="6"/>
        <v>18473.3</v>
      </c>
      <c r="W53" s="90">
        <f t="shared" si="6"/>
        <v>16814.699999999997</v>
      </c>
      <c r="X53" s="90">
        <v>1308.4</v>
      </c>
      <c r="Y53" s="90">
        <v>1202.6</v>
      </c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>
        <f t="shared" si="9"/>
        <v>1308.4</v>
      </c>
      <c r="AO53" s="90">
        <f t="shared" si="8"/>
        <v>1202.6</v>
      </c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</row>
    <row r="54" spans="1:77" ht="15">
      <c r="A54" s="198">
        <v>43</v>
      </c>
      <c r="B54" s="199" t="s">
        <v>735</v>
      </c>
      <c r="C54" s="200">
        <f t="shared" si="0"/>
        <v>36828</v>
      </c>
      <c r="D54" s="200">
        <f t="shared" si="7"/>
        <v>31171.6</v>
      </c>
      <c r="E54" s="90">
        <v>11449.8</v>
      </c>
      <c r="F54" s="209">
        <v>11276.8</v>
      </c>
      <c r="G54" s="90">
        <v>2468.2</v>
      </c>
      <c r="H54" s="90">
        <v>2286.4</v>
      </c>
      <c r="I54" s="90">
        <v>3758.4</v>
      </c>
      <c r="J54" s="90">
        <v>2958.7</v>
      </c>
      <c r="K54" s="90"/>
      <c r="L54" s="90"/>
      <c r="M54" s="90">
        <v>15000</v>
      </c>
      <c r="N54" s="90">
        <v>13960</v>
      </c>
      <c r="O54" s="90"/>
      <c r="P54" s="90"/>
      <c r="Q54" s="90">
        <v>800</v>
      </c>
      <c r="R54" s="90">
        <v>540</v>
      </c>
      <c r="S54" s="90">
        <v>2499.9</v>
      </c>
      <c r="T54" s="90"/>
      <c r="U54" s="90"/>
      <c r="V54" s="90">
        <f t="shared" si="6"/>
        <v>35976.3</v>
      </c>
      <c r="W54" s="90">
        <f t="shared" si="6"/>
        <v>31021.899999999998</v>
      </c>
      <c r="X54" s="90">
        <v>3351.7</v>
      </c>
      <c r="Y54" s="90">
        <v>853.5</v>
      </c>
      <c r="Z54" s="90"/>
      <c r="AA54" s="90"/>
      <c r="AB54" s="90"/>
      <c r="AC54" s="90"/>
      <c r="AD54" s="90"/>
      <c r="AE54" s="90"/>
      <c r="AF54" s="90"/>
      <c r="AG54" s="90"/>
      <c r="AH54" s="90">
        <v>-2500</v>
      </c>
      <c r="AI54" s="90">
        <v>-703.8</v>
      </c>
      <c r="AJ54" s="90"/>
      <c r="AK54" s="90"/>
      <c r="AL54" s="90"/>
      <c r="AM54" s="90"/>
      <c r="AN54" s="90">
        <f t="shared" si="9"/>
        <v>851.6999999999998</v>
      </c>
      <c r="AO54" s="90">
        <f t="shared" si="8"/>
        <v>149.70000000000005</v>
      </c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</row>
    <row r="55" spans="1:77" ht="15">
      <c r="A55" s="198">
        <v>44</v>
      </c>
      <c r="B55" s="199" t="s">
        <v>736</v>
      </c>
      <c r="C55" s="200">
        <f t="shared" si="0"/>
        <v>8373.5</v>
      </c>
      <c r="D55" s="200">
        <f t="shared" si="7"/>
        <v>6300.1</v>
      </c>
      <c r="E55" s="90">
        <v>4756.8</v>
      </c>
      <c r="F55" s="209">
        <v>3993.9</v>
      </c>
      <c r="G55" s="90">
        <v>1266.4</v>
      </c>
      <c r="H55" s="90">
        <v>1186</v>
      </c>
      <c r="I55" s="90">
        <v>1154.3</v>
      </c>
      <c r="J55" s="90">
        <v>964.1</v>
      </c>
      <c r="K55" s="90"/>
      <c r="L55" s="90"/>
      <c r="M55" s="90"/>
      <c r="N55" s="90"/>
      <c r="O55" s="90"/>
      <c r="P55" s="90"/>
      <c r="Q55" s="90">
        <v>150</v>
      </c>
      <c r="R55" s="90">
        <v>150</v>
      </c>
      <c r="S55" s="90">
        <v>420</v>
      </c>
      <c r="T55" s="90">
        <v>6.1</v>
      </c>
      <c r="U55" s="90"/>
      <c r="V55" s="90">
        <f t="shared" si="6"/>
        <v>7747.500000000001</v>
      </c>
      <c r="W55" s="90">
        <f t="shared" si="6"/>
        <v>6300.1</v>
      </c>
      <c r="X55" s="90">
        <v>626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>
        <f t="shared" si="9"/>
        <v>626</v>
      </c>
      <c r="AO55" s="90">
        <f t="shared" si="8"/>
        <v>0</v>
      </c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</row>
    <row r="56" spans="1:77" ht="15">
      <c r="A56" s="198">
        <v>45</v>
      </c>
      <c r="B56" s="199" t="s">
        <v>737</v>
      </c>
      <c r="C56" s="200">
        <f t="shared" si="0"/>
        <v>21734.899999999998</v>
      </c>
      <c r="D56" s="200">
        <f t="shared" si="7"/>
        <v>20111</v>
      </c>
      <c r="E56" s="90">
        <v>9149.3</v>
      </c>
      <c r="F56" s="210">
        <v>9055.5</v>
      </c>
      <c r="G56" s="90">
        <v>1801.4</v>
      </c>
      <c r="H56" s="90">
        <v>1760.1</v>
      </c>
      <c r="I56" s="90">
        <v>1605.6</v>
      </c>
      <c r="J56" s="90">
        <v>1200</v>
      </c>
      <c r="K56" s="90"/>
      <c r="L56" s="90"/>
      <c r="M56" s="90">
        <v>2700</v>
      </c>
      <c r="N56" s="90">
        <v>2700</v>
      </c>
      <c r="O56" s="90"/>
      <c r="P56" s="90"/>
      <c r="Q56" s="90">
        <v>400</v>
      </c>
      <c r="R56" s="90">
        <v>380</v>
      </c>
      <c r="S56" s="90">
        <v>785.3</v>
      </c>
      <c r="T56" s="90">
        <v>835</v>
      </c>
      <c r="U56" s="90">
        <v>829</v>
      </c>
      <c r="V56" s="90">
        <f t="shared" si="6"/>
        <v>16441.6</v>
      </c>
      <c r="W56" s="90">
        <f t="shared" si="6"/>
        <v>15930.6</v>
      </c>
      <c r="X56" s="90">
        <v>5293.3</v>
      </c>
      <c r="Y56" s="90">
        <v>5009.4</v>
      </c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>
        <f>X56+AB56+AD56+AF56+AH56+AJ56+AL56-AL56</f>
        <v>5293.3</v>
      </c>
      <c r="AO56" s="90">
        <f>Y56+AC56+AE56+AG56+AI56+AK56+AM56-AM56</f>
        <v>5009.4</v>
      </c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</row>
    <row r="57" spans="1:77" ht="15">
      <c r="A57" s="198">
        <v>46</v>
      </c>
      <c r="B57" s="199" t="s">
        <v>738</v>
      </c>
      <c r="C57" s="200">
        <f t="shared" si="0"/>
        <v>30035.5</v>
      </c>
      <c r="D57" s="200">
        <f t="shared" si="7"/>
        <v>21262</v>
      </c>
      <c r="E57" s="90">
        <v>9569.2</v>
      </c>
      <c r="F57" s="209">
        <v>8791.4</v>
      </c>
      <c r="G57" s="90">
        <v>1803.3</v>
      </c>
      <c r="H57" s="90">
        <v>1562.9</v>
      </c>
      <c r="I57" s="90">
        <v>4397.7</v>
      </c>
      <c r="J57" s="90">
        <v>3603.2</v>
      </c>
      <c r="K57" s="90">
        <v>0</v>
      </c>
      <c r="L57" s="90"/>
      <c r="M57" s="90">
        <v>6000</v>
      </c>
      <c r="N57" s="90">
        <v>6000</v>
      </c>
      <c r="O57" s="90"/>
      <c r="P57" s="90"/>
      <c r="Q57" s="90">
        <v>600</v>
      </c>
      <c r="R57" s="90">
        <v>520</v>
      </c>
      <c r="S57" s="90">
        <v>1573.4</v>
      </c>
      <c r="T57" s="90">
        <v>2</v>
      </c>
      <c r="U57" s="90"/>
      <c r="V57" s="90">
        <f t="shared" si="6"/>
        <v>23943.600000000002</v>
      </c>
      <c r="W57" s="90">
        <f t="shared" si="6"/>
        <v>20479.5</v>
      </c>
      <c r="X57" s="90">
        <v>6091.9</v>
      </c>
      <c r="Y57" s="90">
        <v>782.5</v>
      </c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>
        <f aca="true" t="shared" si="10" ref="AN57:AO69">X57+AB57+AD57+AF57+AH57+AJ57+AL57</f>
        <v>6091.9</v>
      </c>
      <c r="AO57" s="90">
        <f t="shared" si="10"/>
        <v>782.5</v>
      </c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</row>
    <row r="58" spans="1:77" ht="15">
      <c r="A58" s="198">
        <v>47</v>
      </c>
      <c r="B58" s="199" t="s">
        <v>739</v>
      </c>
      <c r="C58" s="200">
        <f t="shared" si="0"/>
        <v>16170.8</v>
      </c>
      <c r="D58" s="200">
        <f t="shared" si="7"/>
        <v>12630.799999999997</v>
      </c>
      <c r="E58" s="90">
        <v>6909.9</v>
      </c>
      <c r="F58" s="209">
        <v>7177.5</v>
      </c>
      <c r="G58" s="90">
        <v>1020</v>
      </c>
      <c r="H58" s="90">
        <v>1116.3</v>
      </c>
      <c r="I58" s="90">
        <v>2020</v>
      </c>
      <c r="J58" s="90">
        <v>1847.8</v>
      </c>
      <c r="K58" s="90"/>
      <c r="L58" s="90"/>
      <c r="M58" s="90"/>
      <c r="N58" s="90"/>
      <c r="O58" s="90"/>
      <c r="P58" s="90"/>
      <c r="Q58" s="90">
        <v>500</v>
      </c>
      <c r="R58" s="90">
        <v>378</v>
      </c>
      <c r="S58" s="90">
        <v>1900</v>
      </c>
      <c r="T58" s="90">
        <v>6.3</v>
      </c>
      <c r="U58" s="90"/>
      <c r="V58" s="90">
        <f t="shared" si="6"/>
        <v>12349.9</v>
      </c>
      <c r="W58" s="90">
        <f t="shared" si="6"/>
        <v>10525.899999999998</v>
      </c>
      <c r="X58" s="90">
        <v>14320.9</v>
      </c>
      <c r="Y58" s="90">
        <v>10462.9</v>
      </c>
      <c r="Z58" s="211">
        <v>3820.9</v>
      </c>
      <c r="AA58" s="90">
        <v>3778</v>
      </c>
      <c r="AB58" s="90"/>
      <c r="AC58" s="90"/>
      <c r="AD58" s="90"/>
      <c r="AE58" s="90"/>
      <c r="AF58" s="90"/>
      <c r="AG58" s="90"/>
      <c r="AH58" s="90">
        <v>-10500</v>
      </c>
      <c r="AI58" s="90">
        <v>-8358</v>
      </c>
      <c r="AJ58" s="90"/>
      <c r="AK58" s="90"/>
      <c r="AL58" s="90"/>
      <c r="AM58" s="90"/>
      <c r="AN58" s="90">
        <f t="shared" si="10"/>
        <v>3820.8999999999996</v>
      </c>
      <c r="AO58" s="90">
        <f t="shared" si="10"/>
        <v>2104.8999999999996</v>
      </c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</row>
    <row r="59" spans="1:77" ht="15">
      <c r="A59" s="198">
        <v>48</v>
      </c>
      <c r="B59" s="199" t="s">
        <v>655</v>
      </c>
      <c r="C59" s="200">
        <f t="shared" si="0"/>
        <v>13342.5</v>
      </c>
      <c r="D59" s="200">
        <f t="shared" si="7"/>
        <v>11382.800000000001</v>
      </c>
      <c r="E59" s="90">
        <v>9121.6</v>
      </c>
      <c r="F59" s="209">
        <v>8118.9</v>
      </c>
      <c r="G59" s="90">
        <v>2056.1</v>
      </c>
      <c r="H59" s="90">
        <v>1694.1</v>
      </c>
      <c r="I59" s="90">
        <v>1308.4</v>
      </c>
      <c r="J59" s="90">
        <v>1618.1</v>
      </c>
      <c r="K59" s="90"/>
      <c r="L59" s="90"/>
      <c r="M59" s="90"/>
      <c r="N59" s="90"/>
      <c r="O59" s="90"/>
      <c r="P59" s="90"/>
      <c r="Q59" s="90"/>
      <c r="R59" s="90"/>
      <c r="S59" s="90">
        <v>672.4</v>
      </c>
      <c r="T59" s="90">
        <v>3.7</v>
      </c>
      <c r="U59" s="90"/>
      <c r="V59" s="90">
        <f t="shared" si="6"/>
        <v>13158.5</v>
      </c>
      <c r="W59" s="90">
        <f t="shared" si="6"/>
        <v>11434.800000000001</v>
      </c>
      <c r="X59" s="90">
        <v>184</v>
      </c>
      <c r="Y59" s="90"/>
      <c r="Z59" s="211"/>
      <c r="AA59" s="90"/>
      <c r="AB59" s="90"/>
      <c r="AC59" s="90"/>
      <c r="AD59" s="90"/>
      <c r="AE59" s="90"/>
      <c r="AF59" s="90"/>
      <c r="AG59" s="90"/>
      <c r="AH59" s="90"/>
      <c r="AI59" s="90">
        <v>-52</v>
      </c>
      <c r="AJ59" s="90"/>
      <c r="AK59" s="90"/>
      <c r="AL59" s="90"/>
      <c r="AM59" s="90"/>
      <c r="AN59" s="90">
        <f t="shared" si="10"/>
        <v>184</v>
      </c>
      <c r="AO59" s="90">
        <f t="shared" si="10"/>
        <v>-52</v>
      </c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</row>
    <row r="60" spans="1:77" ht="15">
      <c r="A60" s="198">
        <v>49</v>
      </c>
      <c r="B60" s="199" t="s">
        <v>740</v>
      </c>
      <c r="C60" s="200">
        <f t="shared" si="0"/>
        <v>17763.9</v>
      </c>
      <c r="D60" s="200">
        <f t="shared" si="7"/>
        <v>17291</v>
      </c>
      <c r="E60" s="90">
        <v>9226.5</v>
      </c>
      <c r="F60" s="209">
        <v>9510.7</v>
      </c>
      <c r="G60" s="90">
        <v>1796.2</v>
      </c>
      <c r="H60" s="90">
        <v>1752.8</v>
      </c>
      <c r="I60" s="90">
        <v>2112.5</v>
      </c>
      <c r="J60" s="90">
        <v>2136.2</v>
      </c>
      <c r="K60" s="90">
        <v>0</v>
      </c>
      <c r="L60" s="90"/>
      <c r="M60" s="90">
        <v>3000</v>
      </c>
      <c r="N60" s="90">
        <v>2785</v>
      </c>
      <c r="O60" s="90"/>
      <c r="P60" s="90"/>
      <c r="Q60" s="90">
        <v>400</v>
      </c>
      <c r="R60" s="90">
        <v>700</v>
      </c>
      <c r="S60" s="90">
        <v>822.4</v>
      </c>
      <c r="T60" s="90"/>
      <c r="U60" s="90"/>
      <c r="V60" s="90">
        <f t="shared" si="6"/>
        <v>17357.600000000002</v>
      </c>
      <c r="W60" s="90">
        <f t="shared" si="6"/>
        <v>16884.7</v>
      </c>
      <c r="X60" s="90">
        <v>406.3</v>
      </c>
      <c r="Y60" s="90">
        <v>406.3</v>
      </c>
      <c r="Z60" s="211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>
        <f t="shared" si="10"/>
        <v>406.3</v>
      </c>
      <c r="AO60" s="90">
        <f t="shared" si="10"/>
        <v>406.3</v>
      </c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</row>
    <row r="61" spans="1:77" ht="15">
      <c r="A61" s="198">
        <v>50</v>
      </c>
      <c r="B61" s="199" t="s">
        <v>741</v>
      </c>
      <c r="C61" s="200">
        <f t="shared" si="0"/>
        <v>6784.4</v>
      </c>
      <c r="D61" s="200">
        <f t="shared" si="7"/>
        <v>6139.599999999999</v>
      </c>
      <c r="E61" s="90">
        <v>3426.8</v>
      </c>
      <c r="F61" s="209">
        <v>3534.1</v>
      </c>
      <c r="G61" s="90">
        <v>821.4</v>
      </c>
      <c r="H61" s="90">
        <v>824.1</v>
      </c>
      <c r="I61" s="90">
        <v>1250</v>
      </c>
      <c r="J61" s="90">
        <v>930.4</v>
      </c>
      <c r="K61" s="90">
        <v>0</v>
      </c>
      <c r="L61" s="90"/>
      <c r="M61" s="90">
        <v>841.8</v>
      </c>
      <c r="N61" s="90">
        <v>841</v>
      </c>
      <c r="O61" s="90"/>
      <c r="P61" s="90"/>
      <c r="Q61" s="90"/>
      <c r="R61" s="90"/>
      <c r="S61" s="90">
        <v>338.8</v>
      </c>
      <c r="T61" s="90">
        <v>10</v>
      </c>
      <c r="U61" s="90"/>
      <c r="V61" s="90">
        <f t="shared" si="6"/>
        <v>6678.8</v>
      </c>
      <c r="W61" s="90">
        <f t="shared" si="6"/>
        <v>6139.599999999999</v>
      </c>
      <c r="X61" s="90">
        <v>3105.6</v>
      </c>
      <c r="Y61" s="90"/>
      <c r="Z61" s="211"/>
      <c r="AA61" s="90"/>
      <c r="AB61" s="90"/>
      <c r="AC61" s="90"/>
      <c r="AD61" s="90"/>
      <c r="AE61" s="90"/>
      <c r="AF61" s="90">
        <v>-3000</v>
      </c>
      <c r="AG61" s="90"/>
      <c r="AH61" s="90"/>
      <c r="AI61" s="90"/>
      <c r="AJ61" s="90"/>
      <c r="AK61" s="90"/>
      <c r="AL61" s="90"/>
      <c r="AM61" s="90"/>
      <c r="AN61" s="90">
        <f t="shared" si="10"/>
        <v>105.59999999999991</v>
      </c>
      <c r="AO61" s="90">
        <f t="shared" si="10"/>
        <v>0</v>
      </c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</row>
    <row r="62" spans="1:77" ht="15">
      <c r="A62" s="198">
        <v>51</v>
      </c>
      <c r="B62" s="199" t="s">
        <v>742</v>
      </c>
      <c r="C62" s="200">
        <f t="shared" si="0"/>
        <v>79893.5</v>
      </c>
      <c r="D62" s="200">
        <f t="shared" si="7"/>
        <v>59423</v>
      </c>
      <c r="E62" s="90">
        <v>12171.6</v>
      </c>
      <c r="F62" s="209">
        <v>10783.1</v>
      </c>
      <c r="G62" s="90">
        <v>2488.4</v>
      </c>
      <c r="H62" s="90">
        <v>2161.7</v>
      </c>
      <c r="I62" s="90">
        <v>6550</v>
      </c>
      <c r="J62" s="90">
        <v>3853.9</v>
      </c>
      <c r="K62" s="90">
        <v>0</v>
      </c>
      <c r="L62" s="90"/>
      <c r="M62" s="90">
        <v>12700</v>
      </c>
      <c r="N62" s="90">
        <v>12698.6</v>
      </c>
      <c r="O62" s="90"/>
      <c r="P62" s="90"/>
      <c r="Q62" s="90">
        <v>2200</v>
      </c>
      <c r="R62" s="90">
        <v>2000</v>
      </c>
      <c r="S62" s="90">
        <v>7470.6</v>
      </c>
      <c r="T62" s="90"/>
      <c r="U62" s="90"/>
      <c r="V62" s="90">
        <f t="shared" si="6"/>
        <v>43580.6</v>
      </c>
      <c r="W62" s="90">
        <f t="shared" si="6"/>
        <v>31497.300000000003</v>
      </c>
      <c r="X62" s="90">
        <v>36312.9</v>
      </c>
      <c r="Y62" s="90">
        <v>28750</v>
      </c>
      <c r="Z62" s="211">
        <v>28458.7</v>
      </c>
      <c r="AA62" s="90">
        <v>27760</v>
      </c>
      <c r="AB62" s="90"/>
      <c r="AC62" s="90"/>
      <c r="AD62" s="90"/>
      <c r="AE62" s="90"/>
      <c r="AF62" s="90"/>
      <c r="AG62" s="90">
        <v>-106.8</v>
      </c>
      <c r="AH62" s="90"/>
      <c r="AI62" s="90">
        <v>-717.5</v>
      </c>
      <c r="AJ62" s="90"/>
      <c r="AK62" s="90"/>
      <c r="AL62" s="90"/>
      <c r="AM62" s="90"/>
      <c r="AN62" s="90">
        <f t="shared" si="10"/>
        <v>36312.9</v>
      </c>
      <c r="AO62" s="90">
        <f t="shared" si="10"/>
        <v>27925.7</v>
      </c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</row>
    <row r="63" spans="1:77" ht="15">
      <c r="A63" s="198">
        <v>52</v>
      </c>
      <c r="B63" s="199" t="s">
        <v>743</v>
      </c>
      <c r="C63" s="200">
        <f t="shared" si="0"/>
        <v>5567.5</v>
      </c>
      <c r="D63" s="200">
        <f t="shared" si="7"/>
        <v>4625.2</v>
      </c>
      <c r="E63" s="90">
        <v>3220</v>
      </c>
      <c r="F63" s="209">
        <v>3486.7</v>
      </c>
      <c r="G63" s="90">
        <v>768.2</v>
      </c>
      <c r="H63" s="90">
        <v>791.9</v>
      </c>
      <c r="I63" s="90">
        <v>520.5</v>
      </c>
      <c r="J63" s="90">
        <v>346.6</v>
      </c>
      <c r="K63" s="90"/>
      <c r="L63" s="90"/>
      <c r="M63" s="90"/>
      <c r="N63" s="90"/>
      <c r="O63" s="90"/>
      <c r="P63" s="90"/>
      <c r="Q63" s="90"/>
      <c r="R63" s="90"/>
      <c r="S63" s="90">
        <v>358.8</v>
      </c>
      <c r="T63" s="90"/>
      <c r="U63" s="90"/>
      <c r="V63" s="90">
        <f t="shared" si="6"/>
        <v>4867.5</v>
      </c>
      <c r="W63" s="90">
        <f t="shared" si="6"/>
        <v>4625.2</v>
      </c>
      <c r="X63" s="90">
        <v>700</v>
      </c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>
        <f t="shared" si="10"/>
        <v>700</v>
      </c>
      <c r="AO63" s="90">
        <f t="shared" si="10"/>
        <v>0</v>
      </c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</row>
    <row r="64" spans="1:77" ht="15">
      <c r="A64" s="198">
        <v>53</v>
      </c>
      <c r="B64" s="199" t="s">
        <v>744</v>
      </c>
      <c r="C64" s="200">
        <f t="shared" si="0"/>
        <v>4709.6</v>
      </c>
      <c r="D64" s="200">
        <f t="shared" si="7"/>
        <v>4267.3</v>
      </c>
      <c r="E64" s="90">
        <v>3156</v>
      </c>
      <c r="F64" s="209">
        <v>3152</v>
      </c>
      <c r="G64" s="90">
        <v>666</v>
      </c>
      <c r="H64" s="90">
        <v>628.4</v>
      </c>
      <c r="I64" s="90">
        <v>611</v>
      </c>
      <c r="J64" s="90">
        <v>486.9</v>
      </c>
      <c r="K64" s="90"/>
      <c r="L64" s="90"/>
      <c r="M64" s="90"/>
      <c r="N64" s="90"/>
      <c r="O64" s="90"/>
      <c r="P64" s="90"/>
      <c r="Q64" s="90"/>
      <c r="R64" s="90"/>
      <c r="S64" s="90">
        <v>276.6</v>
      </c>
      <c r="T64" s="90"/>
      <c r="U64" s="90"/>
      <c r="V64" s="90">
        <f t="shared" si="6"/>
        <v>4709.6</v>
      </c>
      <c r="W64" s="90">
        <f t="shared" si="6"/>
        <v>4267.3</v>
      </c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>
        <f t="shared" si="10"/>
        <v>0</v>
      </c>
      <c r="AO64" s="90">
        <f t="shared" si="10"/>
        <v>0</v>
      </c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</row>
    <row r="65" spans="1:77" ht="15">
      <c r="A65" s="198">
        <v>54</v>
      </c>
      <c r="B65" s="199" t="s">
        <v>745</v>
      </c>
      <c r="C65" s="200">
        <f t="shared" si="0"/>
        <v>5217.500000000001</v>
      </c>
      <c r="D65" s="200">
        <f t="shared" si="7"/>
        <v>5079.799999999999</v>
      </c>
      <c r="E65" s="90">
        <v>3519.1</v>
      </c>
      <c r="F65" s="209">
        <v>3445.5</v>
      </c>
      <c r="G65" s="90">
        <v>778.7</v>
      </c>
      <c r="H65" s="90">
        <v>770.4</v>
      </c>
      <c r="I65" s="90">
        <v>637.6</v>
      </c>
      <c r="J65" s="90">
        <v>823.9</v>
      </c>
      <c r="K65" s="90">
        <v>0</v>
      </c>
      <c r="L65" s="90"/>
      <c r="M65" s="90"/>
      <c r="N65" s="90"/>
      <c r="O65" s="90"/>
      <c r="P65" s="90"/>
      <c r="Q65" s="90"/>
      <c r="R65" s="90">
        <v>40</v>
      </c>
      <c r="S65" s="90">
        <v>260</v>
      </c>
      <c r="T65" s="90"/>
      <c r="U65" s="90"/>
      <c r="V65" s="90">
        <f t="shared" si="6"/>
        <v>5195.400000000001</v>
      </c>
      <c r="W65" s="90">
        <f t="shared" si="6"/>
        <v>5079.799999999999</v>
      </c>
      <c r="X65" s="90">
        <v>22.1</v>
      </c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>
        <f t="shared" si="10"/>
        <v>22.1</v>
      </c>
      <c r="AO65" s="90">
        <f t="shared" si="10"/>
        <v>0</v>
      </c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</row>
    <row r="66" spans="1:77" ht="15">
      <c r="A66" s="198">
        <v>55</v>
      </c>
      <c r="B66" s="199" t="s">
        <v>746</v>
      </c>
      <c r="C66" s="200">
        <f t="shared" si="0"/>
        <v>9244.7</v>
      </c>
      <c r="D66" s="200">
        <f t="shared" si="7"/>
        <v>8374.4</v>
      </c>
      <c r="E66" s="90">
        <v>5991.6</v>
      </c>
      <c r="F66" s="209">
        <v>5815.5</v>
      </c>
      <c r="G66" s="90">
        <v>1192.8</v>
      </c>
      <c r="H66" s="90">
        <v>1184.4</v>
      </c>
      <c r="I66" s="90">
        <v>1396.1</v>
      </c>
      <c r="J66" s="90">
        <v>1069.5</v>
      </c>
      <c r="K66" s="90">
        <v>0</v>
      </c>
      <c r="L66" s="90"/>
      <c r="M66" s="90"/>
      <c r="N66" s="90"/>
      <c r="O66" s="90"/>
      <c r="P66" s="90"/>
      <c r="Q66" s="90">
        <v>230</v>
      </c>
      <c r="R66" s="90">
        <v>180</v>
      </c>
      <c r="S66" s="90">
        <v>304.2</v>
      </c>
      <c r="T66" s="90">
        <v>125</v>
      </c>
      <c r="U66" s="90">
        <v>125</v>
      </c>
      <c r="V66" s="90">
        <f aca="true" t="shared" si="11" ref="V66:W97">E66+G66+I66+K66+M66+O66+Q66+S66</f>
        <v>9114.7</v>
      </c>
      <c r="W66" s="90">
        <f t="shared" si="11"/>
        <v>8374.4</v>
      </c>
      <c r="X66" s="90">
        <v>130</v>
      </c>
      <c r="Y66" s="90">
        <v>125</v>
      </c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>
        <f t="shared" si="10"/>
        <v>130</v>
      </c>
      <c r="AO66" s="90">
        <f t="shared" si="10"/>
        <v>125</v>
      </c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</row>
    <row r="67" spans="1:77" ht="15">
      <c r="A67" s="198">
        <v>56</v>
      </c>
      <c r="B67" s="199" t="s">
        <v>747</v>
      </c>
      <c r="C67" s="200">
        <f t="shared" si="0"/>
        <v>38418.200000000004</v>
      </c>
      <c r="D67" s="200">
        <f t="shared" si="7"/>
        <v>35935.4</v>
      </c>
      <c r="E67" s="90">
        <v>16282.2</v>
      </c>
      <c r="F67" s="209">
        <v>15842.8</v>
      </c>
      <c r="G67" s="90">
        <v>3517.6</v>
      </c>
      <c r="H67" s="90">
        <v>3352</v>
      </c>
      <c r="I67" s="90">
        <v>5507</v>
      </c>
      <c r="J67" s="90">
        <v>5230.2</v>
      </c>
      <c r="K67" s="90">
        <v>0</v>
      </c>
      <c r="L67" s="90"/>
      <c r="M67" s="90">
        <v>9700</v>
      </c>
      <c r="N67" s="90">
        <v>9500</v>
      </c>
      <c r="O67" s="90"/>
      <c r="P67" s="90"/>
      <c r="Q67" s="90">
        <v>1000</v>
      </c>
      <c r="R67" s="90">
        <v>1638.3</v>
      </c>
      <c r="S67" s="90">
        <v>2122.5</v>
      </c>
      <c r="T67" s="90">
        <v>334.1</v>
      </c>
      <c r="U67" s="90">
        <v>120</v>
      </c>
      <c r="V67" s="90">
        <f t="shared" si="11"/>
        <v>38129.3</v>
      </c>
      <c r="W67" s="90">
        <f t="shared" si="11"/>
        <v>35897.4</v>
      </c>
      <c r="X67" s="90">
        <v>288.9</v>
      </c>
      <c r="Y67" s="90">
        <v>300</v>
      </c>
      <c r="Z67" s="90"/>
      <c r="AA67" s="90"/>
      <c r="AB67" s="90"/>
      <c r="AC67" s="90"/>
      <c r="AD67" s="90"/>
      <c r="AE67" s="90"/>
      <c r="AF67" s="90"/>
      <c r="AG67" s="90">
        <v>-142</v>
      </c>
      <c r="AH67" s="90"/>
      <c r="AI67" s="90"/>
      <c r="AJ67" s="90"/>
      <c r="AK67" s="90"/>
      <c r="AL67" s="90"/>
      <c r="AM67" s="90"/>
      <c r="AN67" s="90">
        <f t="shared" si="10"/>
        <v>288.9</v>
      </c>
      <c r="AO67" s="90">
        <f t="shared" si="10"/>
        <v>158</v>
      </c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</row>
    <row r="68" spans="1:77" ht="15">
      <c r="A68" s="198">
        <v>57</v>
      </c>
      <c r="B68" s="199" t="s">
        <v>748</v>
      </c>
      <c r="C68" s="200">
        <f t="shared" si="0"/>
        <v>23299.6</v>
      </c>
      <c r="D68" s="200">
        <f t="shared" si="7"/>
        <v>8360.800000000001</v>
      </c>
      <c r="E68" s="90">
        <v>8314.5</v>
      </c>
      <c r="F68" s="209">
        <v>8314.4</v>
      </c>
      <c r="G68" s="90">
        <v>2035</v>
      </c>
      <c r="H68" s="90">
        <v>1993.5</v>
      </c>
      <c r="I68" s="90">
        <v>4200</v>
      </c>
      <c r="J68" s="90">
        <v>3893.3</v>
      </c>
      <c r="K68" s="90">
        <v>0</v>
      </c>
      <c r="L68" s="90"/>
      <c r="M68" s="90"/>
      <c r="N68" s="90"/>
      <c r="O68" s="90"/>
      <c r="P68" s="90"/>
      <c r="Q68" s="90">
        <v>300</v>
      </c>
      <c r="R68" s="90">
        <v>300</v>
      </c>
      <c r="S68" s="90">
        <v>912.9</v>
      </c>
      <c r="T68" s="90">
        <v>10</v>
      </c>
      <c r="U68" s="90"/>
      <c r="V68" s="90">
        <f t="shared" si="11"/>
        <v>15762.4</v>
      </c>
      <c r="W68" s="90">
        <f t="shared" si="11"/>
        <v>14511.2</v>
      </c>
      <c r="X68" s="90">
        <v>7537.2</v>
      </c>
      <c r="Y68" s="90">
        <v>4554.5</v>
      </c>
      <c r="Z68" s="90"/>
      <c r="AA68" s="90"/>
      <c r="AB68" s="90"/>
      <c r="AC68" s="90"/>
      <c r="AD68" s="90"/>
      <c r="AE68" s="90"/>
      <c r="AF68" s="90"/>
      <c r="AG68" s="90">
        <v>-3628.2</v>
      </c>
      <c r="AH68" s="90"/>
      <c r="AI68" s="90">
        <v>-7076.7</v>
      </c>
      <c r="AJ68" s="90"/>
      <c r="AK68" s="90"/>
      <c r="AL68" s="90"/>
      <c r="AM68" s="90"/>
      <c r="AN68" s="90">
        <f t="shared" si="10"/>
        <v>7537.2</v>
      </c>
      <c r="AO68" s="90">
        <f t="shared" si="10"/>
        <v>-6150.4</v>
      </c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</row>
    <row r="69" spans="1:77" ht="15">
      <c r="A69" s="198">
        <v>58</v>
      </c>
      <c r="B69" s="199" t="s">
        <v>749</v>
      </c>
      <c r="C69" s="200">
        <f t="shared" si="0"/>
        <v>4899.5</v>
      </c>
      <c r="D69" s="200">
        <f t="shared" si="7"/>
        <v>4699.2</v>
      </c>
      <c r="E69" s="90">
        <v>3000</v>
      </c>
      <c r="F69" s="209">
        <v>2999.9</v>
      </c>
      <c r="G69" s="90">
        <v>738</v>
      </c>
      <c r="H69" s="90">
        <v>738</v>
      </c>
      <c r="I69" s="90">
        <v>904.2</v>
      </c>
      <c r="J69" s="90">
        <v>961.3</v>
      </c>
      <c r="K69" s="90">
        <v>0</v>
      </c>
      <c r="L69" s="90"/>
      <c r="M69" s="90"/>
      <c r="N69" s="90"/>
      <c r="O69" s="90"/>
      <c r="P69" s="90"/>
      <c r="Q69" s="90"/>
      <c r="R69" s="90"/>
      <c r="S69" s="90">
        <v>245</v>
      </c>
      <c r="T69" s="90"/>
      <c r="U69" s="90"/>
      <c r="V69" s="90">
        <f t="shared" si="11"/>
        <v>4887.2</v>
      </c>
      <c r="W69" s="90">
        <f t="shared" si="11"/>
        <v>4699.2</v>
      </c>
      <c r="X69" s="90">
        <v>12.3</v>
      </c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>
        <f t="shared" si="10"/>
        <v>12.3</v>
      </c>
      <c r="AO69" s="90">
        <f t="shared" si="10"/>
        <v>0</v>
      </c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</row>
    <row r="70" spans="1:77" ht="15">
      <c r="A70" s="198">
        <v>59</v>
      </c>
      <c r="B70" s="199" t="s">
        <v>750</v>
      </c>
      <c r="C70" s="200">
        <f t="shared" si="0"/>
        <v>41092.200000000004</v>
      </c>
      <c r="D70" s="200">
        <f t="shared" si="7"/>
        <v>32703.699999999997</v>
      </c>
      <c r="E70" s="90">
        <v>16539.2</v>
      </c>
      <c r="F70" s="209">
        <v>15180.2</v>
      </c>
      <c r="G70" s="90">
        <v>3923.7</v>
      </c>
      <c r="H70" s="90">
        <v>3233.2</v>
      </c>
      <c r="I70" s="90">
        <v>3182</v>
      </c>
      <c r="J70" s="90">
        <v>1848.8</v>
      </c>
      <c r="K70" s="90">
        <v>0</v>
      </c>
      <c r="L70" s="90"/>
      <c r="M70" s="90">
        <v>12500</v>
      </c>
      <c r="N70" s="90">
        <v>12460</v>
      </c>
      <c r="O70" s="90"/>
      <c r="P70" s="90"/>
      <c r="Q70" s="90">
        <v>400</v>
      </c>
      <c r="R70" s="90">
        <v>370</v>
      </c>
      <c r="S70" s="90">
        <v>80</v>
      </c>
      <c r="T70" s="90">
        <v>11</v>
      </c>
      <c r="U70" s="90"/>
      <c r="V70" s="90">
        <f t="shared" si="11"/>
        <v>36624.9</v>
      </c>
      <c r="W70" s="90">
        <f t="shared" si="11"/>
        <v>33103.2</v>
      </c>
      <c r="X70" s="90">
        <v>4667.3</v>
      </c>
      <c r="Y70" s="90"/>
      <c r="Z70" s="90"/>
      <c r="AA70" s="90"/>
      <c r="AB70" s="90"/>
      <c r="AC70" s="90"/>
      <c r="AD70" s="90"/>
      <c r="AE70" s="90"/>
      <c r="AF70" s="90">
        <v>-200</v>
      </c>
      <c r="AG70" s="90"/>
      <c r="AH70" s="90"/>
      <c r="AI70" s="90">
        <v>-399.5</v>
      </c>
      <c r="AJ70" s="90"/>
      <c r="AK70" s="90"/>
      <c r="AL70" s="90"/>
      <c r="AM70" s="90"/>
      <c r="AN70" s="90">
        <f>X70+AB70+AD70+AF70+AH70+AJ70+AL70</f>
        <v>4467.3</v>
      </c>
      <c r="AO70" s="90">
        <f>Y70+AC70+AE70+AG70+AI70+AK70+AM70-AM70</f>
        <v>-399.5</v>
      </c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</row>
    <row r="71" spans="1:77" ht="15">
      <c r="A71" s="198">
        <v>60</v>
      </c>
      <c r="B71" s="199" t="s">
        <v>751</v>
      </c>
      <c r="C71" s="200">
        <f t="shared" si="0"/>
        <v>3754.1</v>
      </c>
      <c r="D71" s="200">
        <f t="shared" si="7"/>
        <v>3716.6</v>
      </c>
      <c r="E71" s="90">
        <v>2387.5</v>
      </c>
      <c r="F71" s="209">
        <v>2555.5</v>
      </c>
      <c r="G71" s="90">
        <v>570</v>
      </c>
      <c r="H71" s="90">
        <v>559.4</v>
      </c>
      <c r="I71" s="90">
        <v>575.8</v>
      </c>
      <c r="J71" s="90">
        <v>569.3</v>
      </c>
      <c r="K71" s="90">
        <v>0</v>
      </c>
      <c r="L71" s="90"/>
      <c r="M71" s="90"/>
      <c r="N71" s="90"/>
      <c r="O71" s="90"/>
      <c r="P71" s="90"/>
      <c r="Q71" s="90"/>
      <c r="R71" s="90"/>
      <c r="S71" s="90">
        <v>188.7</v>
      </c>
      <c r="T71" s="90">
        <v>0.3</v>
      </c>
      <c r="U71" s="90"/>
      <c r="V71" s="90">
        <f t="shared" si="11"/>
        <v>3722</v>
      </c>
      <c r="W71" s="90">
        <f t="shared" si="11"/>
        <v>3684.5</v>
      </c>
      <c r="X71" s="90">
        <v>32.1</v>
      </c>
      <c r="Y71" s="90">
        <v>32.1</v>
      </c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>
        <f>X71+AB71+AD71+AF71+AH71+AJ71+AL71</f>
        <v>32.1</v>
      </c>
      <c r="AO71" s="90">
        <f>Y71+AC71+AE71+AG71+AI71+AK71+AM71</f>
        <v>32.1</v>
      </c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</row>
    <row r="72" spans="1:77" s="206" customFormat="1" ht="15">
      <c r="A72" s="198">
        <v>61</v>
      </c>
      <c r="B72" s="199" t="s">
        <v>752</v>
      </c>
      <c r="C72" s="200">
        <f t="shared" si="0"/>
        <v>21427.800000000003</v>
      </c>
      <c r="D72" s="200">
        <f t="shared" si="7"/>
        <v>19781.399999999998</v>
      </c>
      <c r="E72" s="201">
        <v>8860</v>
      </c>
      <c r="F72" s="202">
        <v>8893.8</v>
      </c>
      <c r="G72" s="201">
        <v>1815.1</v>
      </c>
      <c r="H72" s="201">
        <v>1820</v>
      </c>
      <c r="I72" s="201">
        <v>3242</v>
      </c>
      <c r="J72" s="201">
        <v>2604.3</v>
      </c>
      <c r="K72" s="201">
        <v>0</v>
      </c>
      <c r="L72" s="201"/>
      <c r="M72" s="201">
        <v>5370.3</v>
      </c>
      <c r="N72" s="201">
        <v>5302.3</v>
      </c>
      <c r="O72" s="201"/>
      <c r="P72" s="201"/>
      <c r="Q72" s="201">
        <v>980</v>
      </c>
      <c r="R72" s="201">
        <v>980</v>
      </c>
      <c r="S72" s="201">
        <v>992</v>
      </c>
      <c r="T72" s="201">
        <v>13</v>
      </c>
      <c r="U72" s="201"/>
      <c r="V72" s="201">
        <f t="shared" si="11"/>
        <v>21259.4</v>
      </c>
      <c r="W72" s="201">
        <f t="shared" si="11"/>
        <v>19613.399999999998</v>
      </c>
      <c r="X72" s="201">
        <v>3168.4</v>
      </c>
      <c r="Y72" s="201">
        <v>771</v>
      </c>
      <c r="Z72" s="90"/>
      <c r="AA72" s="90"/>
      <c r="AB72" s="201">
        <v>-3000</v>
      </c>
      <c r="AC72" s="201">
        <v>-154.1</v>
      </c>
      <c r="AD72" s="201"/>
      <c r="AE72" s="201"/>
      <c r="AF72" s="201"/>
      <c r="AG72" s="201"/>
      <c r="AH72" s="201"/>
      <c r="AI72" s="90">
        <v>-448.9</v>
      </c>
      <c r="AJ72" s="201"/>
      <c r="AK72" s="201"/>
      <c r="AL72" s="201"/>
      <c r="AM72" s="201"/>
      <c r="AN72" s="201">
        <f>X72+AB72+AD72+AF72+AH72+AJ72+AL72</f>
        <v>168.4000000000001</v>
      </c>
      <c r="AO72" s="201">
        <f>Y72+AC72+AE72+AG72+AI72+AK72+AM72</f>
        <v>168</v>
      </c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</row>
    <row r="73" spans="1:77" ht="15">
      <c r="A73" s="198">
        <v>62</v>
      </c>
      <c r="B73" s="199" t="s">
        <v>753</v>
      </c>
      <c r="C73" s="200">
        <f t="shared" si="0"/>
        <v>11381.5</v>
      </c>
      <c r="D73" s="200">
        <f t="shared" si="7"/>
        <v>7566.999999999999</v>
      </c>
      <c r="E73" s="90">
        <v>7031.6</v>
      </c>
      <c r="F73" s="209">
        <v>7356.4</v>
      </c>
      <c r="G73" s="90">
        <v>1428.4</v>
      </c>
      <c r="H73" s="90">
        <v>1685.5</v>
      </c>
      <c r="I73" s="90">
        <v>1105</v>
      </c>
      <c r="J73" s="90">
        <v>1007.8</v>
      </c>
      <c r="K73" s="90">
        <v>0</v>
      </c>
      <c r="L73" s="90"/>
      <c r="M73" s="90"/>
      <c r="N73" s="90"/>
      <c r="O73" s="90"/>
      <c r="P73" s="90"/>
      <c r="Q73" s="90"/>
      <c r="R73" s="90"/>
      <c r="S73" s="90">
        <v>1351</v>
      </c>
      <c r="T73" s="90"/>
      <c r="U73" s="90"/>
      <c r="V73" s="90">
        <f t="shared" si="11"/>
        <v>10916</v>
      </c>
      <c r="W73" s="90">
        <f t="shared" si="11"/>
        <v>10049.699999999999</v>
      </c>
      <c r="X73" s="90">
        <v>465.5</v>
      </c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>
        <v>-2482.7</v>
      </c>
      <c r="AJ73" s="90"/>
      <c r="AK73" s="90"/>
      <c r="AL73" s="90"/>
      <c r="AM73" s="90"/>
      <c r="AN73" s="90">
        <f>X73+AB73+AD73+AF73+AH73+AJ73+AL73</f>
        <v>465.5</v>
      </c>
      <c r="AO73" s="90">
        <f>Y73+AC73+AE73+AG73+AI73+AK73+AM73</f>
        <v>-2482.7</v>
      </c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</row>
    <row r="74" spans="1:77" ht="15">
      <c r="A74" s="198">
        <v>63</v>
      </c>
      <c r="B74" s="199" t="s">
        <v>754</v>
      </c>
      <c r="C74" s="200">
        <f t="shared" si="0"/>
        <v>268208</v>
      </c>
      <c r="D74" s="200">
        <f t="shared" si="7"/>
        <v>259670.5</v>
      </c>
      <c r="E74" s="212">
        <v>52624.5</v>
      </c>
      <c r="F74" s="210">
        <v>52458.7</v>
      </c>
      <c r="G74" s="212">
        <v>10469.1</v>
      </c>
      <c r="H74" s="212">
        <v>10458.3</v>
      </c>
      <c r="I74" s="212">
        <v>33338.9</v>
      </c>
      <c r="J74" s="212">
        <v>32403</v>
      </c>
      <c r="K74" s="212">
        <v>0</v>
      </c>
      <c r="L74" s="212">
        <v>0</v>
      </c>
      <c r="M74" s="212">
        <v>141819.5</v>
      </c>
      <c r="N74" s="212">
        <v>141819.5</v>
      </c>
      <c r="O74" s="212"/>
      <c r="P74" s="212"/>
      <c r="Q74" s="212">
        <v>398.5</v>
      </c>
      <c r="R74" s="212">
        <v>398.5</v>
      </c>
      <c r="S74" s="212">
        <v>24598</v>
      </c>
      <c r="T74" s="212">
        <v>18693.2</v>
      </c>
      <c r="U74" s="90">
        <v>17826.5</v>
      </c>
      <c r="V74" s="90">
        <f t="shared" si="11"/>
        <v>263248.5</v>
      </c>
      <c r="W74" s="90">
        <f t="shared" si="11"/>
        <v>256231.2</v>
      </c>
      <c r="X74" s="212">
        <v>33659.5</v>
      </c>
      <c r="Y74" s="212">
        <v>27164.1</v>
      </c>
      <c r="Z74" s="90">
        <v>2410</v>
      </c>
      <c r="AA74" s="90">
        <v>3595.5</v>
      </c>
      <c r="AB74" s="212"/>
      <c r="AC74" s="212"/>
      <c r="AD74" s="212"/>
      <c r="AE74" s="212"/>
      <c r="AF74" s="212">
        <v>-2000</v>
      </c>
      <c r="AG74" s="212">
        <v>-5898.3</v>
      </c>
      <c r="AH74" s="212">
        <v>-3000</v>
      </c>
      <c r="AI74" s="90"/>
      <c r="AJ74" s="212"/>
      <c r="AK74" s="212"/>
      <c r="AL74" s="212">
        <v>23700</v>
      </c>
      <c r="AM74" s="90"/>
      <c r="AN74" s="90">
        <f>X74+AB74+AD74+AF74+AH74+AJ74+AL74-AL74</f>
        <v>28659.5</v>
      </c>
      <c r="AO74" s="90">
        <f>Y74+AC74+AE74+AG74+AI74+AK74+AM74-AM74</f>
        <v>21265.8</v>
      </c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</row>
    <row r="75" spans="1:77" ht="15">
      <c r="A75" s="198">
        <v>64</v>
      </c>
      <c r="B75" s="199" t="s">
        <v>755</v>
      </c>
      <c r="C75" s="200">
        <f t="shared" si="0"/>
        <v>11472.2</v>
      </c>
      <c r="D75" s="200">
        <f t="shared" si="7"/>
        <v>7762.200000000001</v>
      </c>
      <c r="E75" s="212">
        <v>4486.6</v>
      </c>
      <c r="F75" s="210">
        <v>4486.5</v>
      </c>
      <c r="G75" s="212">
        <v>1198.2</v>
      </c>
      <c r="H75" s="212">
        <v>1187.1</v>
      </c>
      <c r="I75" s="212">
        <v>1899.2</v>
      </c>
      <c r="J75" s="212">
        <v>1822.3</v>
      </c>
      <c r="K75" s="212">
        <v>0</v>
      </c>
      <c r="L75" s="212">
        <v>0</v>
      </c>
      <c r="M75" s="212"/>
      <c r="N75" s="212"/>
      <c r="O75" s="212">
        <v>80</v>
      </c>
      <c r="P75" s="212">
        <v>80</v>
      </c>
      <c r="Q75" s="212"/>
      <c r="R75" s="212"/>
      <c r="S75" s="212">
        <v>21.7</v>
      </c>
      <c r="T75" s="212"/>
      <c r="U75" s="90"/>
      <c r="V75" s="90">
        <f t="shared" si="11"/>
        <v>7685.7</v>
      </c>
      <c r="W75" s="90">
        <f t="shared" si="11"/>
        <v>7575.900000000001</v>
      </c>
      <c r="X75" s="212">
        <v>3786.5</v>
      </c>
      <c r="Y75" s="212">
        <v>186.3</v>
      </c>
      <c r="Z75" s="90"/>
      <c r="AA75" s="90"/>
      <c r="AB75" s="212"/>
      <c r="AC75" s="212"/>
      <c r="AD75" s="212"/>
      <c r="AE75" s="212"/>
      <c r="AF75" s="212"/>
      <c r="AG75" s="212"/>
      <c r="AH75" s="212"/>
      <c r="AI75" s="90"/>
      <c r="AJ75" s="212"/>
      <c r="AK75" s="212"/>
      <c r="AL75" s="212">
        <v>0</v>
      </c>
      <c r="AM75" s="90"/>
      <c r="AN75" s="90">
        <f aca="true" t="shared" si="12" ref="AN75:AO80">X75+AB75+AD75+AF75+AH75+AJ75+AL75</f>
        <v>3786.5</v>
      </c>
      <c r="AO75" s="90">
        <f t="shared" si="12"/>
        <v>186.3</v>
      </c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</row>
    <row r="76" spans="1:77" ht="15">
      <c r="A76" s="198">
        <v>65</v>
      </c>
      <c r="B76" s="199" t="s">
        <v>756</v>
      </c>
      <c r="C76" s="200">
        <f aca="true" t="shared" si="13" ref="C76:D108">V76+AN76-AL76</f>
        <v>13209.7</v>
      </c>
      <c r="D76" s="200">
        <f t="shared" si="7"/>
        <v>11979.6</v>
      </c>
      <c r="E76" s="212">
        <v>8004</v>
      </c>
      <c r="F76" s="210">
        <v>8003.8</v>
      </c>
      <c r="G76" s="212">
        <v>1543.8</v>
      </c>
      <c r="H76" s="212">
        <v>1522.2</v>
      </c>
      <c r="I76" s="212">
        <v>980</v>
      </c>
      <c r="J76" s="212">
        <v>833.6</v>
      </c>
      <c r="K76" s="212">
        <v>0</v>
      </c>
      <c r="L76" s="212">
        <v>0</v>
      </c>
      <c r="M76" s="212"/>
      <c r="N76" s="212"/>
      <c r="O76" s="212">
        <v>1800</v>
      </c>
      <c r="P76" s="212">
        <v>1800</v>
      </c>
      <c r="Q76" s="212"/>
      <c r="R76" s="212"/>
      <c r="S76" s="212">
        <v>259.2</v>
      </c>
      <c r="T76" s="212"/>
      <c r="U76" s="90"/>
      <c r="V76" s="90">
        <f t="shared" si="11"/>
        <v>12587</v>
      </c>
      <c r="W76" s="90">
        <f t="shared" si="11"/>
        <v>12159.6</v>
      </c>
      <c r="X76" s="212">
        <v>622.7</v>
      </c>
      <c r="Y76" s="212"/>
      <c r="Z76" s="90"/>
      <c r="AA76" s="90"/>
      <c r="AB76" s="212"/>
      <c r="AC76" s="212">
        <v>-180</v>
      </c>
      <c r="AD76" s="212"/>
      <c r="AE76" s="212"/>
      <c r="AF76" s="212"/>
      <c r="AG76" s="212"/>
      <c r="AH76" s="212"/>
      <c r="AI76" s="90"/>
      <c r="AJ76" s="212"/>
      <c r="AK76" s="212"/>
      <c r="AL76" s="212">
        <v>0</v>
      </c>
      <c r="AM76" s="90"/>
      <c r="AN76" s="90">
        <f t="shared" si="12"/>
        <v>622.7</v>
      </c>
      <c r="AO76" s="90">
        <f t="shared" si="12"/>
        <v>-180</v>
      </c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</row>
    <row r="77" spans="1:77" ht="15">
      <c r="A77" s="198">
        <v>66</v>
      </c>
      <c r="B77" s="199" t="s">
        <v>757</v>
      </c>
      <c r="C77" s="200">
        <f t="shared" si="13"/>
        <v>8908.9</v>
      </c>
      <c r="D77" s="200">
        <f t="shared" si="7"/>
        <v>7505.6</v>
      </c>
      <c r="E77" s="212">
        <v>4731.6</v>
      </c>
      <c r="F77" s="210">
        <v>4052.2</v>
      </c>
      <c r="G77" s="212">
        <v>1278.4</v>
      </c>
      <c r="H77" s="212">
        <v>1025.9</v>
      </c>
      <c r="I77" s="212">
        <v>2480</v>
      </c>
      <c r="J77" s="212">
        <v>2193.3</v>
      </c>
      <c r="K77" s="212">
        <v>0</v>
      </c>
      <c r="L77" s="212">
        <v>0</v>
      </c>
      <c r="M77" s="212"/>
      <c r="N77" s="212"/>
      <c r="O77" s="212">
        <v>245</v>
      </c>
      <c r="P77" s="212">
        <v>200</v>
      </c>
      <c r="Q77" s="212"/>
      <c r="R77" s="212"/>
      <c r="S77" s="212">
        <v>172.8</v>
      </c>
      <c r="T77" s="212">
        <v>34.2</v>
      </c>
      <c r="U77" s="90"/>
      <c r="V77" s="90">
        <f t="shared" si="11"/>
        <v>8907.8</v>
      </c>
      <c r="W77" s="90">
        <f t="shared" si="11"/>
        <v>7505.6</v>
      </c>
      <c r="X77" s="212">
        <v>1.1</v>
      </c>
      <c r="Y77" s="212"/>
      <c r="Z77" s="90"/>
      <c r="AA77" s="90"/>
      <c r="AB77" s="212"/>
      <c r="AC77" s="212"/>
      <c r="AD77" s="212"/>
      <c r="AE77" s="212"/>
      <c r="AF77" s="212"/>
      <c r="AG77" s="212"/>
      <c r="AH77" s="212"/>
      <c r="AI77" s="90"/>
      <c r="AJ77" s="212"/>
      <c r="AK77" s="212"/>
      <c r="AL77" s="212">
        <v>0</v>
      </c>
      <c r="AM77" s="90"/>
      <c r="AN77" s="90">
        <f t="shared" si="12"/>
        <v>1.1</v>
      </c>
      <c r="AO77" s="90">
        <f t="shared" si="12"/>
        <v>0</v>
      </c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</row>
    <row r="78" spans="1:77" ht="15">
      <c r="A78" s="198">
        <v>67</v>
      </c>
      <c r="B78" s="199" t="s">
        <v>758</v>
      </c>
      <c r="C78" s="200">
        <f t="shared" si="13"/>
        <v>32401.100000000002</v>
      </c>
      <c r="D78" s="200">
        <f t="shared" si="7"/>
        <v>29883.1</v>
      </c>
      <c r="E78" s="212">
        <v>16670</v>
      </c>
      <c r="F78" s="210">
        <v>16653.8</v>
      </c>
      <c r="G78" s="212">
        <v>3288.9</v>
      </c>
      <c r="H78" s="212">
        <v>3230</v>
      </c>
      <c r="I78" s="212">
        <v>5168.8</v>
      </c>
      <c r="J78" s="212">
        <v>4081.4</v>
      </c>
      <c r="K78" s="212">
        <v>0</v>
      </c>
      <c r="L78" s="212">
        <v>0</v>
      </c>
      <c r="M78" s="212">
        <v>5600</v>
      </c>
      <c r="N78" s="212">
        <v>5417.9</v>
      </c>
      <c r="O78" s="212">
        <v>550</v>
      </c>
      <c r="P78" s="212">
        <v>490</v>
      </c>
      <c r="Q78" s="212"/>
      <c r="R78" s="212"/>
      <c r="S78" s="212">
        <v>1123.4</v>
      </c>
      <c r="T78" s="212">
        <v>10</v>
      </c>
      <c r="U78" s="90"/>
      <c r="V78" s="90">
        <f t="shared" si="11"/>
        <v>32401.100000000002</v>
      </c>
      <c r="W78" s="90">
        <f t="shared" si="11"/>
        <v>29883.1</v>
      </c>
      <c r="X78" s="212">
        <v>0</v>
      </c>
      <c r="Y78" s="212"/>
      <c r="Z78" s="90"/>
      <c r="AA78" s="90"/>
      <c r="AB78" s="212"/>
      <c r="AC78" s="212"/>
      <c r="AD78" s="212"/>
      <c r="AE78" s="212"/>
      <c r="AF78" s="212"/>
      <c r="AG78" s="212"/>
      <c r="AH78" s="212"/>
      <c r="AI78" s="90"/>
      <c r="AJ78" s="212"/>
      <c r="AK78" s="212"/>
      <c r="AL78" s="212">
        <v>0</v>
      </c>
      <c r="AM78" s="90"/>
      <c r="AN78" s="90">
        <f t="shared" si="12"/>
        <v>0</v>
      </c>
      <c r="AO78" s="90">
        <f t="shared" si="12"/>
        <v>0</v>
      </c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</row>
    <row r="79" spans="1:77" ht="15">
      <c r="A79" s="198">
        <v>68</v>
      </c>
      <c r="B79" s="199" t="s">
        <v>759</v>
      </c>
      <c r="C79" s="200">
        <f t="shared" si="13"/>
        <v>10359.4</v>
      </c>
      <c r="D79" s="200">
        <f t="shared" si="7"/>
        <v>9396.6</v>
      </c>
      <c r="E79" s="212">
        <v>5332</v>
      </c>
      <c r="F79" s="210">
        <v>5312.6</v>
      </c>
      <c r="G79" s="212">
        <v>1680</v>
      </c>
      <c r="H79" s="212">
        <v>1680</v>
      </c>
      <c r="I79" s="212">
        <v>1100.6</v>
      </c>
      <c r="J79" s="212">
        <v>987.7</v>
      </c>
      <c r="K79" s="212">
        <v>0</v>
      </c>
      <c r="L79" s="212">
        <v>0</v>
      </c>
      <c r="M79" s="212">
        <v>1750</v>
      </c>
      <c r="N79" s="212">
        <v>1416.3</v>
      </c>
      <c r="O79" s="212"/>
      <c r="P79" s="212"/>
      <c r="Q79" s="212"/>
      <c r="R79" s="212"/>
      <c r="S79" s="212">
        <v>200.8</v>
      </c>
      <c r="T79" s="212"/>
      <c r="U79" s="90"/>
      <c r="V79" s="90">
        <f t="shared" si="11"/>
        <v>10063.4</v>
      </c>
      <c r="W79" s="90">
        <f t="shared" si="11"/>
        <v>9396.6</v>
      </c>
      <c r="X79" s="212">
        <v>296</v>
      </c>
      <c r="Y79" s="212"/>
      <c r="Z79" s="90"/>
      <c r="AA79" s="90"/>
      <c r="AB79" s="212"/>
      <c r="AC79" s="212"/>
      <c r="AD79" s="212"/>
      <c r="AE79" s="212"/>
      <c r="AF79" s="212"/>
      <c r="AG79" s="212"/>
      <c r="AH79" s="212"/>
      <c r="AI79" s="90"/>
      <c r="AJ79" s="212"/>
      <c r="AK79" s="212"/>
      <c r="AL79" s="212">
        <v>0</v>
      </c>
      <c r="AM79" s="90"/>
      <c r="AN79" s="90">
        <f t="shared" si="12"/>
        <v>296</v>
      </c>
      <c r="AO79" s="90">
        <f t="shared" si="12"/>
        <v>0</v>
      </c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</row>
    <row r="80" spans="1:77" ht="15">
      <c r="A80" s="198">
        <v>69</v>
      </c>
      <c r="B80" s="199" t="s">
        <v>760</v>
      </c>
      <c r="C80" s="200">
        <f t="shared" si="13"/>
        <v>5091.700000000001</v>
      </c>
      <c r="D80" s="200">
        <f t="shared" si="7"/>
        <v>4837.7</v>
      </c>
      <c r="E80" s="212">
        <v>3173.6</v>
      </c>
      <c r="F80" s="210">
        <v>3121.7</v>
      </c>
      <c r="G80" s="212">
        <v>716.4</v>
      </c>
      <c r="H80" s="212">
        <v>708</v>
      </c>
      <c r="I80" s="212">
        <v>1048.1</v>
      </c>
      <c r="J80" s="212">
        <v>1008</v>
      </c>
      <c r="K80" s="212">
        <v>0</v>
      </c>
      <c r="L80" s="212">
        <v>0</v>
      </c>
      <c r="M80" s="212"/>
      <c r="N80" s="212"/>
      <c r="O80" s="212"/>
      <c r="P80" s="212"/>
      <c r="Q80" s="212"/>
      <c r="R80" s="212"/>
      <c r="S80" s="212">
        <v>46.3</v>
      </c>
      <c r="T80" s="212"/>
      <c r="U80" s="90"/>
      <c r="V80" s="90">
        <f t="shared" si="11"/>
        <v>4984.400000000001</v>
      </c>
      <c r="W80" s="90">
        <f t="shared" si="11"/>
        <v>4837.7</v>
      </c>
      <c r="X80" s="212">
        <v>107.3</v>
      </c>
      <c r="Y80" s="212"/>
      <c r="Z80" s="90"/>
      <c r="AA80" s="90"/>
      <c r="AB80" s="212"/>
      <c r="AC80" s="212"/>
      <c r="AD80" s="212"/>
      <c r="AE80" s="212"/>
      <c r="AF80" s="212"/>
      <c r="AG80" s="212"/>
      <c r="AH80" s="212"/>
      <c r="AI80" s="90"/>
      <c r="AJ80" s="212"/>
      <c r="AK80" s="212"/>
      <c r="AL80" s="212">
        <v>0</v>
      </c>
      <c r="AM80" s="90"/>
      <c r="AN80" s="90">
        <f t="shared" si="12"/>
        <v>107.3</v>
      </c>
      <c r="AO80" s="90">
        <f t="shared" si="12"/>
        <v>0</v>
      </c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</row>
    <row r="81" spans="1:77" ht="15">
      <c r="A81" s="198">
        <v>70</v>
      </c>
      <c r="B81" s="199" t="s">
        <v>761</v>
      </c>
      <c r="C81" s="200">
        <f t="shared" si="13"/>
        <v>5471.3</v>
      </c>
      <c r="D81" s="200">
        <f t="shared" si="7"/>
        <v>4972.2</v>
      </c>
      <c r="E81" s="212">
        <v>3000</v>
      </c>
      <c r="F81" s="210">
        <v>2952.2</v>
      </c>
      <c r="G81" s="212">
        <v>1161.2</v>
      </c>
      <c r="H81" s="212">
        <v>1160</v>
      </c>
      <c r="I81" s="212">
        <v>1060.8</v>
      </c>
      <c r="J81" s="212">
        <v>750</v>
      </c>
      <c r="K81" s="212">
        <v>0</v>
      </c>
      <c r="L81" s="212">
        <v>0</v>
      </c>
      <c r="M81" s="212"/>
      <c r="N81" s="212"/>
      <c r="O81" s="212"/>
      <c r="P81" s="212"/>
      <c r="Q81" s="212"/>
      <c r="R81" s="212"/>
      <c r="S81" s="212">
        <v>78.5</v>
      </c>
      <c r="T81" s="212">
        <v>60</v>
      </c>
      <c r="U81" s="90"/>
      <c r="V81" s="90">
        <f t="shared" si="11"/>
        <v>5300.5</v>
      </c>
      <c r="W81" s="90">
        <f t="shared" si="11"/>
        <v>4922.2</v>
      </c>
      <c r="X81" s="212">
        <v>230.8</v>
      </c>
      <c r="Y81" s="212">
        <v>110</v>
      </c>
      <c r="Z81" s="90"/>
      <c r="AA81" s="90"/>
      <c r="AB81" s="212"/>
      <c r="AC81" s="212"/>
      <c r="AD81" s="212"/>
      <c r="AE81" s="212"/>
      <c r="AF81" s="212"/>
      <c r="AG81" s="212"/>
      <c r="AH81" s="212"/>
      <c r="AI81" s="90"/>
      <c r="AJ81" s="212"/>
      <c r="AK81" s="212"/>
      <c r="AL81" s="212">
        <v>60</v>
      </c>
      <c r="AM81" s="90">
        <v>60</v>
      </c>
      <c r="AN81" s="90">
        <f>X81+AB81+AD81+AF81+AH81+AJ81+AL81-AL81</f>
        <v>230.8</v>
      </c>
      <c r="AO81" s="90">
        <f>Y81+AC81+AE81+AG81+AI81+AK81+AM81-AM81</f>
        <v>110</v>
      </c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</row>
    <row r="82" spans="1:77" ht="15">
      <c r="A82" s="198">
        <v>71</v>
      </c>
      <c r="B82" s="199" t="s">
        <v>762</v>
      </c>
      <c r="C82" s="200">
        <f t="shared" si="13"/>
        <v>9691.1</v>
      </c>
      <c r="D82" s="200">
        <f t="shared" si="7"/>
        <v>7482</v>
      </c>
      <c r="E82" s="212">
        <v>5528</v>
      </c>
      <c r="F82" s="210">
        <v>5422.2</v>
      </c>
      <c r="G82" s="212">
        <v>1302</v>
      </c>
      <c r="H82" s="212">
        <v>1270</v>
      </c>
      <c r="I82" s="212">
        <v>1040</v>
      </c>
      <c r="J82" s="212">
        <v>489.8</v>
      </c>
      <c r="K82" s="212">
        <v>0</v>
      </c>
      <c r="L82" s="212">
        <v>0</v>
      </c>
      <c r="M82" s="212"/>
      <c r="N82" s="212"/>
      <c r="O82" s="212"/>
      <c r="P82" s="212"/>
      <c r="Q82" s="212"/>
      <c r="R82" s="212"/>
      <c r="S82" s="212">
        <v>1201.1</v>
      </c>
      <c r="T82" s="212"/>
      <c r="U82" s="90"/>
      <c r="V82" s="90">
        <f t="shared" si="11"/>
        <v>9071.1</v>
      </c>
      <c r="W82" s="90">
        <f t="shared" si="11"/>
        <v>7182</v>
      </c>
      <c r="X82" s="212">
        <v>620</v>
      </c>
      <c r="Y82" s="212">
        <v>300</v>
      </c>
      <c r="Z82" s="90"/>
      <c r="AA82" s="90"/>
      <c r="AB82" s="212"/>
      <c r="AC82" s="212"/>
      <c r="AD82" s="212"/>
      <c r="AE82" s="212"/>
      <c r="AF82" s="212"/>
      <c r="AG82" s="212"/>
      <c r="AH82" s="212"/>
      <c r="AI82" s="90"/>
      <c r="AJ82" s="212"/>
      <c r="AK82" s="212"/>
      <c r="AL82" s="212"/>
      <c r="AM82" s="90"/>
      <c r="AN82" s="90">
        <f aca="true" t="shared" si="14" ref="AN82:AO86">X82+AB82+AD82+AF82+AH82+AJ82+AL82</f>
        <v>620</v>
      </c>
      <c r="AO82" s="90">
        <f t="shared" si="14"/>
        <v>300</v>
      </c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</row>
    <row r="83" spans="1:77" ht="15">
      <c r="A83" s="198">
        <v>72</v>
      </c>
      <c r="B83" s="199" t="s">
        <v>763</v>
      </c>
      <c r="C83" s="200">
        <f t="shared" si="13"/>
        <v>44203</v>
      </c>
      <c r="D83" s="200">
        <f t="shared" si="7"/>
        <v>36380.9</v>
      </c>
      <c r="E83" s="212">
        <v>14160</v>
      </c>
      <c r="F83" s="210">
        <v>14159.8</v>
      </c>
      <c r="G83" s="212">
        <v>2914.7</v>
      </c>
      <c r="H83" s="212">
        <v>2914.7</v>
      </c>
      <c r="I83" s="212">
        <v>11016.6</v>
      </c>
      <c r="J83" s="212">
        <v>6031.7</v>
      </c>
      <c r="K83" s="212">
        <v>0</v>
      </c>
      <c r="L83" s="212">
        <v>0</v>
      </c>
      <c r="M83" s="212">
        <v>5900</v>
      </c>
      <c r="N83" s="212">
        <v>5900</v>
      </c>
      <c r="O83" s="212"/>
      <c r="P83" s="212"/>
      <c r="Q83" s="212">
        <v>480</v>
      </c>
      <c r="R83" s="212">
        <v>479</v>
      </c>
      <c r="S83" s="212">
        <v>1862.5</v>
      </c>
      <c r="T83" s="212">
        <v>200</v>
      </c>
      <c r="U83" s="90"/>
      <c r="V83" s="90">
        <f t="shared" si="11"/>
        <v>36333.8</v>
      </c>
      <c r="W83" s="90">
        <f t="shared" si="11"/>
        <v>29685.2</v>
      </c>
      <c r="X83" s="212">
        <v>7869.2</v>
      </c>
      <c r="Y83" s="212">
        <v>7800</v>
      </c>
      <c r="Z83" s="90"/>
      <c r="AA83" s="90"/>
      <c r="AB83" s="212"/>
      <c r="AC83" s="212"/>
      <c r="AD83" s="212"/>
      <c r="AE83" s="212"/>
      <c r="AF83" s="212"/>
      <c r="AG83" s="212">
        <v>-1104.3</v>
      </c>
      <c r="AH83" s="212"/>
      <c r="AI83" s="90"/>
      <c r="AJ83" s="212"/>
      <c r="AK83" s="212"/>
      <c r="AL83" s="212"/>
      <c r="AM83" s="90"/>
      <c r="AN83" s="90">
        <f t="shared" si="14"/>
        <v>7869.2</v>
      </c>
      <c r="AO83" s="90">
        <f t="shared" si="14"/>
        <v>6695.7</v>
      </c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</row>
    <row r="84" spans="1:77" ht="15">
      <c r="A84" s="198">
        <v>73</v>
      </c>
      <c r="B84" s="199" t="s">
        <v>764</v>
      </c>
      <c r="C84" s="200">
        <f t="shared" si="13"/>
        <v>4739.7</v>
      </c>
      <c r="D84" s="200">
        <f t="shared" si="7"/>
        <v>4673.1</v>
      </c>
      <c r="E84" s="212">
        <v>3047</v>
      </c>
      <c r="F84" s="210">
        <v>3046.9</v>
      </c>
      <c r="G84" s="212">
        <v>838</v>
      </c>
      <c r="H84" s="212">
        <v>838</v>
      </c>
      <c r="I84" s="212">
        <v>840</v>
      </c>
      <c r="J84" s="212">
        <v>788.2</v>
      </c>
      <c r="K84" s="212">
        <v>0</v>
      </c>
      <c r="L84" s="212">
        <v>0</v>
      </c>
      <c r="M84" s="212"/>
      <c r="N84" s="212"/>
      <c r="O84" s="212"/>
      <c r="P84" s="212"/>
      <c r="Q84" s="212"/>
      <c r="R84" s="212"/>
      <c r="S84" s="212">
        <v>14.7</v>
      </c>
      <c r="T84" s="212"/>
      <c r="U84" s="90"/>
      <c r="V84" s="90">
        <f t="shared" si="11"/>
        <v>4739.7</v>
      </c>
      <c r="W84" s="90">
        <f t="shared" si="11"/>
        <v>4673.1</v>
      </c>
      <c r="X84" s="212"/>
      <c r="Y84" s="212"/>
      <c r="Z84" s="90"/>
      <c r="AA84" s="90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90"/>
      <c r="AN84" s="90">
        <f t="shared" si="14"/>
        <v>0</v>
      </c>
      <c r="AO84" s="90">
        <f t="shared" si="14"/>
        <v>0</v>
      </c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</row>
    <row r="85" spans="1:77" ht="15">
      <c r="A85" s="198">
        <v>74</v>
      </c>
      <c r="B85" s="199" t="s">
        <v>765</v>
      </c>
      <c r="C85" s="200">
        <f t="shared" si="13"/>
        <v>15064.400000000001</v>
      </c>
      <c r="D85" s="200">
        <f t="shared" si="7"/>
        <v>12597.599999999999</v>
      </c>
      <c r="E85" s="212">
        <v>8038</v>
      </c>
      <c r="F85" s="210">
        <v>8037.3</v>
      </c>
      <c r="G85" s="212">
        <v>2503.1</v>
      </c>
      <c r="H85" s="212">
        <v>2500</v>
      </c>
      <c r="I85" s="212">
        <v>3357.8</v>
      </c>
      <c r="J85" s="212">
        <v>2004</v>
      </c>
      <c r="K85" s="212">
        <v>0</v>
      </c>
      <c r="L85" s="212">
        <v>0</v>
      </c>
      <c r="M85" s="212"/>
      <c r="N85" s="212"/>
      <c r="O85" s="212"/>
      <c r="P85" s="212"/>
      <c r="Q85" s="212"/>
      <c r="R85" s="212"/>
      <c r="S85" s="212">
        <v>996.6</v>
      </c>
      <c r="T85" s="212"/>
      <c r="U85" s="90"/>
      <c r="V85" s="90">
        <f t="shared" si="11"/>
        <v>14895.500000000002</v>
      </c>
      <c r="W85" s="90">
        <f t="shared" si="11"/>
        <v>12541.3</v>
      </c>
      <c r="X85" s="212">
        <v>168.9</v>
      </c>
      <c r="Y85" s="212">
        <v>56.3</v>
      </c>
      <c r="Z85" s="90"/>
      <c r="AA85" s="90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90"/>
      <c r="AN85" s="90">
        <f t="shared" si="14"/>
        <v>168.9</v>
      </c>
      <c r="AO85" s="90">
        <f t="shared" si="14"/>
        <v>56.3</v>
      </c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</row>
    <row r="86" spans="1:77" ht="15">
      <c r="A86" s="198">
        <v>75</v>
      </c>
      <c r="B86" s="199" t="s">
        <v>766</v>
      </c>
      <c r="C86" s="200">
        <f t="shared" si="13"/>
        <v>27901.9</v>
      </c>
      <c r="D86" s="200">
        <f t="shared" si="7"/>
        <v>16060.300000000001</v>
      </c>
      <c r="E86" s="212">
        <v>11443.2</v>
      </c>
      <c r="F86" s="210">
        <v>10765.5</v>
      </c>
      <c r="G86" s="212">
        <v>2370.3</v>
      </c>
      <c r="H86" s="212">
        <v>2155</v>
      </c>
      <c r="I86" s="212">
        <v>4150</v>
      </c>
      <c r="J86" s="212">
        <v>2787.6</v>
      </c>
      <c r="K86" s="212">
        <v>0</v>
      </c>
      <c r="L86" s="212">
        <v>0</v>
      </c>
      <c r="M86" s="212"/>
      <c r="N86" s="212"/>
      <c r="O86" s="212">
        <v>400</v>
      </c>
      <c r="P86" s="212">
        <v>400</v>
      </c>
      <c r="Q86" s="212">
        <v>529</v>
      </c>
      <c r="R86" s="212"/>
      <c r="S86" s="212">
        <v>1579</v>
      </c>
      <c r="T86" s="212"/>
      <c r="U86" s="90"/>
      <c r="V86" s="90">
        <f t="shared" si="11"/>
        <v>20471.5</v>
      </c>
      <c r="W86" s="90">
        <f t="shared" si="11"/>
        <v>16108.1</v>
      </c>
      <c r="X86" s="212">
        <v>7430.4</v>
      </c>
      <c r="Y86" s="212"/>
      <c r="Z86" s="90"/>
      <c r="AA86" s="90"/>
      <c r="AB86" s="212"/>
      <c r="AC86" s="212"/>
      <c r="AD86" s="212"/>
      <c r="AE86" s="212"/>
      <c r="AF86" s="212"/>
      <c r="AG86" s="212"/>
      <c r="AH86" s="212"/>
      <c r="AI86" s="90">
        <v>-47.8</v>
      </c>
      <c r="AJ86" s="212"/>
      <c r="AK86" s="212"/>
      <c r="AL86" s="212"/>
      <c r="AM86" s="90"/>
      <c r="AN86" s="90">
        <f t="shared" si="14"/>
        <v>7430.4</v>
      </c>
      <c r="AO86" s="90">
        <f t="shared" si="14"/>
        <v>-47.8</v>
      </c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</row>
    <row r="87" spans="1:77" ht="15">
      <c r="A87" s="198">
        <v>76</v>
      </c>
      <c r="B87" s="199" t="s">
        <v>767</v>
      </c>
      <c r="C87" s="200">
        <f t="shared" si="13"/>
        <v>3972.6</v>
      </c>
      <c r="D87" s="200">
        <f t="shared" si="7"/>
        <v>3597.3</v>
      </c>
      <c r="E87" s="212">
        <v>2360</v>
      </c>
      <c r="F87" s="210">
        <v>2018.5</v>
      </c>
      <c r="G87" s="212">
        <v>507.6</v>
      </c>
      <c r="H87" s="212">
        <v>499.8</v>
      </c>
      <c r="I87" s="212">
        <v>1075</v>
      </c>
      <c r="J87" s="212">
        <v>1049</v>
      </c>
      <c r="K87" s="212">
        <v>0</v>
      </c>
      <c r="L87" s="212">
        <v>0</v>
      </c>
      <c r="M87" s="212"/>
      <c r="N87" s="212"/>
      <c r="O87" s="212"/>
      <c r="P87" s="212"/>
      <c r="Q87" s="212"/>
      <c r="R87" s="212"/>
      <c r="S87" s="212">
        <v>30</v>
      </c>
      <c r="T87" s="212">
        <v>30</v>
      </c>
      <c r="U87" s="90"/>
      <c r="V87" s="90">
        <f t="shared" si="11"/>
        <v>3972.6</v>
      </c>
      <c r="W87" s="90">
        <f t="shared" si="11"/>
        <v>3597.3</v>
      </c>
      <c r="X87" s="212">
        <v>30</v>
      </c>
      <c r="Y87" s="212">
        <v>30</v>
      </c>
      <c r="Z87" s="90"/>
      <c r="AA87" s="90"/>
      <c r="AB87" s="212"/>
      <c r="AC87" s="212"/>
      <c r="AD87" s="212"/>
      <c r="AE87" s="212"/>
      <c r="AF87" s="212"/>
      <c r="AG87" s="212"/>
      <c r="AH87" s="212"/>
      <c r="AI87" s="90"/>
      <c r="AJ87" s="212"/>
      <c r="AK87" s="212"/>
      <c r="AL87" s="212">
        <v>30</v>
      </c>
      <c r="AM87" s="90">
        <v>30</v>
      </c>
      <c r="AN87" s="90">
        <f>X87+AB87+AD87+AF87+AH87+AJ87+AL87-AL87</f>
        <v>30</v>
      </c>
      <c r="AO87" s="90">
        <f>Y87+AC87+AE87+AG87+AI87+AK87+AM87-AM87</f>
        <v>30</v>
      </c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</row>
    <row r="88" spans="1:77" ht="15">
      <c r="A88" s="198">
        <v>77</v>
      </c>
      <c r="B88" s="199" t="s">
        <v>768</v>
      </c>
      <c r="C88" s="200">
        <f t="shared" si="13"/>
        <v>8719</v>
      </c>
      <c r="D88" s="200">
        <f t="shared" si="7"/>
        <v>7839</v>
      </c>
      <c r="E88" s="212">
        <v>5792.5</v>
      </c>
      <c r="F88" s="210">
        <v>5535.9</v>
      </c>
      <c r="G88" s="212">
        <v>1249</v>
      </c>
      <c r="H88" s="212">
        <v>1198.3</v>
      </c>
      <c r="I88" s="212">
        <v>1184</v>
      </c>
      <c r="J88" s="212">
        <v>954.8</v>
      </c>
      <c r="K88" s="212">
        <v>0</v>
      </c>
      <c r="L88" s="212">
        <v>0</v>
      </c>
      <c r="M88" s="212"/>
      <c r="N88" s="212"/>
      <c r="O88" s="212"/>
      <c r="P88" s="212"/>
      <c r="Q88" s="212"/>
      <c r="R88" s="212"/>
      <c r="S88" s="212">
        <v>450.3</v>
      </c>
      <c r="T88" s="212">
        <v>130</v>
      </c>
      <c r="U88" s="90"/>
      <c r="V88" s="90">
        <f t="shared" si="11"/>
        <v>8675.8</v>
      </c>
      <c r="W88" s="90">
        <f t="shared" si="11"/>
        <v>7819</v>
      </c>
      <c r="X88" s="212">
        <v>173.2</v>
      </c>
      <c r="Y88" s="212">
        <v>150</v>
      </c>
      <c r="Z88" s="90"/>
      <c r="AA88" s="90"/>
      <c r="AB88" s="212"/>
      <c r="AC88" s="212"/>
      <c r="AD88" s="212"/>
      <c r="AE88" s="212"/>
      <c r="AF88" s="212"/>
      <c r="AG88" s="212"/>
      <c r="AH88" s="212"/>
      <c r="AI88" s="90"/>
      <c r="AJ88" s="212"/>
      <c r="AK88" s="212"/>
      <c r="AL88" s="212">
        <v>130</v>
      </c>
      <c r="AM88" s="90">
        <v>130</v>
      </c>
      <c r="AN88" s="90">
        <f>X88+AB88+AD88+AF88+AH88+AJ88+AL88-AL88</f>
        <v>173.2</v>
      </c>
      <c r="AO88" s="90">
        <f>Y88+AC88+AE88+AG88+AI88+AK88+AM88-AM88</f>
        <v>150</v>
      </c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</row>
    <row r="89" spans="1:77" ht="15">
      <c r="A89" s="198">
        <v>78</v>
      </c>
      <c r="B89" s="199" t="s">
        <v>769</v>
      </c>
      <c r="C89" s="200">
        <f t="shared" si="13"/>
        <v>7244.199999999999</v>
      </c>
      <c r="D89" s="200">
        <f t="shared" si="7"/>
        <v>4666.5</v>
      </c>
      <c r="E89" s="212">
        <v>3681.6</v>
      </c>
      <c r="F89" s="210">
        <v>3150</v>
      </c>
      <c r="G89" s="212">
        <v>856.8</v>
      </c>
      <c r="H89" s="212">
        <v>713.4</v>
      </c>
      <c r="I89" s="212">
        <v>653.9</v>
      </c>
      <c r="J89" s="212">
        <v>653.1</v>
      </c>
      <c r="K89" s="212">
        <v>0</v>
      </c>
      <c r="L89" s="212">
        <v>0</v>
      </c>
      <c r="M89" s="212"/>
      <c r="N89" s="212"/>
      <c r="O89" s="212"/>
      <c r="P89" s="212"/>
      <c r="Q89" s="212"/>
      <c r="R89" s="212"/>
      <c r="S89" s="212">
        <v>166.4</v>
      </c>
      <c r="T89" s="212"/>
      <c r="U89" s="90"/>
      <c r="V89" s="90">
        <f t="shared" si="11"/>
        <v>5358.699999999999</v>
      </c>
      <c r="W89" s="90">
        <f t="shared" si="11"/>
        <v>4516.5</v>
      </c>
      <c r="X89" s="212">
        <v>1885.5</v>
      </c>
      <c r="Y89" s="212">
        <v>150</v>
      </c>
      <c r="Z89" s="90"/>
      <c r="AA89" s="90"/>
      <c r="AB89" s="212"/>
      <c r="AC89" s="212"/>
      <c r="AD89" s="212"/>
      <c r="AE89" s="212"/>
      <c r="AF89" s="212"/>
      <c r="AG89" s="212"/>
      <c r="AH89" s="212"/>
      <c r="AI89" s="90"/>
      <c r="AJ89" s="212"/>
      <c r="AK89" s="212"/>
      <c r="AL89" s="212"/>
      <c r="AM89" s="90"/>
      <c r="AN89" s="90">
        <f aca="true" t="shared" si="15" ref="AN89:AO95">X89+AB89+AD89+AF89+AH89+AJ89+AL89</f>
        <v>1885.5</v>
      </c>
      <c r="AO89" s="90">
        <f t="shared" si="15"/>
        <v>150</v>
      </c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</row>
    <row r="90" spans="1:77" ht="15">
      <c r="A90" s="198">
        <v>79</v>
      </c>
      <c r="B90" s="199" t="s">
        <v>770</v>
      </c>
      <c r="C90" s="200">
        <f t="shared" si="13"/>
        <v>9808.4</v>
      </c>
      <c r="D90" s="200">
        <f t="shared" si="7"/>
        <v>8597.2</v>
      </c>
      <c r="E90" s="212">
        <v>4874.6</v>
      </c>
      <c r="F90" s="210">
        <v>4823</v>
      </c>
      <c r="G90" s="212">
        <v>1105.9</v>
      </c>
      <c r="H90" s="212">
        <v>1032.5</v>
      </c>
      <c r="I90" s="212">
        <v>2746.1</v>
      </c>
      <c r="J90" s="212">
        <v>2191.7</v>
      </c>
      <c r="K90" s="212">
        <v>0</v>
      </c>
      <c r="L90" s="212">
        <v>0</v>
      </c>
      <c r="M90" s="212"/>
      <c r="N90" s="212"/>
      <c r="O90" s="212"/>
      <c r="P90" s="212"/>
      <c r="Q90" s="212"/>
      <c r="R90" s="212"/>
      <c r="S90" s="212">
        <v>41.8</v>
      </c>
      <c r="T90" s="212"/>
      <c r="U90" s="90"/>
      <c r="V90" s="90">
        <f t="shared" si="11"/>
        <v>8768.4</v>
      </c>
      <c r="W90" s="90">
        <f t="shared" si="11"/>
        <v>8047.2</v>
      </c>
      <c r="X90" s="212">
        <v>1040</v>
      </c>
      <c r="Y90" s="212">
        <v>550</v>
      </c>
      <c r="Z90" s="90"/>
      <c r="AA90" s="90"/>
      <c r="AB90" s="212"/>
      <c r="AC90" s="212"/>
      <c r="AD90" s="212"/>
      <c r="AE90" s="212"/>
      <c r="AF90" s="212"/>
      <c r="AG90" s="212"/>
      <c r="AH90" s="212"/>
      <c r="AI90" s="90"/>
      <c r="AJ90" s="212"/>
      <c r="AK90" s="212"/>
      <c r="AL90" s="212"/>
      <c r="AM90" s="90"/>
      <c r="AN90" s="90">
        <f t="shared" si="15"/>
        <v>1040</v>
      </c>
      <c r="AO90" s="90">
        <f t="shared" si="15"/>
        <v>550</v>
      </c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</row>
    <row r="91" spans="1:77" ht="15">
      <c r="A91" s="198">
        <v>80</v>
      </c>
      <c r="B91" s="199" t="s">
        <v>771</v>
      </c>
      <c r="C91" s="200">
        <f t="shared" si="13"/>
        <v>10977.8</v>
      </c>
      <c r="D91" s="200">
        <f t="shared" si="7"/>
        <v>9504.8</v>
      </c>
      <c r="E91" s="212">
        <v>7097.7</v>
      </c>
      <c r="F91" s="210">
        <v>6991.7</v>
      </c>
      <c r="G91" s="212">
        <v>1200.6</v>
      </c>
      <c r="H91" s="212">
        <v>945.2</v>
      </c>
      <c r="I91" s="212">
        <v>2091</v>
      </c>
      <c r="J91" s="212">
        <v>1289.1</v>
      </c>
      <c r="K91" s="212">
        <v>0</v>
      </c>
      <c r="L91" s="212">
        <v>0</v>
      </c>
      <c r="M91" s="212"/>
      <c r="N91" s="212"/>
      <c r="O91" s="212"/>
      <c r="P91" s="212"/>
      <c r="Q91" s="212"/>
      <c r="R91" s="212"/>
      <c r="S91" s="212">
        <v>233.9</v>
      </c>
      <c r="T91" s="212"/>
      <c r="U91" s="90"/>
      <c r="V91" s="90">
        <f t="shared" si="11"/>
        <v>10623.199999999999</v>
      </c>
      <c r="W91" s="90">
        <f t="shared" si="11"/>
        <v>9226</v>
      </c>
      <c r="X91" s="212">
        <v>675.8</v>
      </c>
      <c r="Y91" s="212">
        <v>600</v>
      </c>
      <c r="Z91" s="90"/>
      <c r="AA91" s="90"/>
      <c r="AB91" s="212"/>
      <c r="AC91" s="212"/>
      <c r="AD91" s="212"/>
      <c r="AE91" s="212"/>
      <c r="AF91" s="212"/>
      <c r="AG91" s="212"/>
      <c r="AH91" s="212">
        <v>-321.2</v>
      </c>
      <c r="AI91" s="90">
        <v>-321.2</v>
      </c>
      <c r="AJ91" s="212"/>
      <c r="AK91" s="212"/>
      <c r="AL91" s="212"/>
      <c r="AM91" s="90"/>
      <c r="AN91" s="90">
        <f t="shared" si="15"/>
        <v>354.59999999999997</v>
      </c>
      <c r="AO91" s="90">
        <f t="shared" si="15"/>
        <v>278.8</v>
      </c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</row>
    <row r="92" spans="1:77" ht="15">
      <c r="A92" s="198">
        <v>81</v>
      </c>
      <c r="B92" s="199" t="s">
        <v>772</v>
      </c>
      <c r="C92" s="200">
        <f t="shared" si="13"/>
        <v>8642.5</v>
      </c>
      <c r="D92" s="200">
        <f t="shared" si="7"/>
        <v>7765.8</v>
      </c>
      <c r="E92" s="212">
        <v>5249</v>
      </c>
      <c r="F92" s="210">
        <v>5039</v>
      </c>
      <c r="G92" s="212">
        <v>1829</v>
      </c>
      <c r="H92" s="212">
        <v>1625.6</v>
      </c>
      <c r="I92" s="212">
        <v>1293</v>
      </c>
      <c r="J92" s="212">
        <v>1001.2</v>
      </c>
      <c r="K92" s="212">
        <v>0</v>
      </c>
      <c r="L92" s="212">
        <v>0</v>
      </c>
      <c r="M92" s="212"/>
      <c r="N92" s="212"/>
      <c r="O92" s="212">
        <v>100</v>
      </c>
      <c r="P92" s="212">
        <v>100</v>
      </c>
      <c r="Q92" s="212"/>
      <c r="R92" s="212"/>
      <c r="S92" s="212">
        <v>171.5</v>
      </c>
      <c r="T92" s="212"/>
      <c r="U92" s="90"/>
      <c r="V92" s="90">
        <f t="shared" si="11"/>
        <v>8642.5</v>
      </c>
      <c r="W92" s="90">
        <f t="shared" si="11"/>
        <v>7765.8</v>
      </c>
      <c r="X92" s="212"/>
      <c r="Y92" s="212"/>
      <c r="Z92" s="90"/>
      <c r="AA92" s="90"/>
      <c r="AB92" s="212"/>
      <c r="AC92" s="212"/>
      <c r="AD92" s="212"/>
      <c r="AE92" s="212"/>
      <c r="AF92" s="212"/>
      <c r="AG92" s="212"/>
      <c r="AH92" s="212"/>
      <c r="AI92" s="90"/>
      <c r="AJ92" s="212"/>
      <c r="AK92" s="212"/>
      <c r="AL92" s="212"/>
      <c r="AM92" s="90"/>
      <c r="AN92" s="90">
        <f t="shared" si="15"/>
        <v>0</v>
      </c>
      <c r="AO92" s="90">
        <f t="shared" si="15"/>
        <v>0</v>
      </c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</row>
    <row r="93" spans="1:77" ht="15">
      <c r="A93" s="198">
        <v>82</v>
      </c>
      <c r="B93" s="199" t="s">
        <v>773</v>
      </c>
      <c r="C93" s="200">
        <f t="shared" si="13"/>
        <v>7700.6</v>
      </c>
      <c r="D93" s="200">
        <f t="shared" si="7"/>
        <v>7157.299999999999</v>
      </c>
      <c r="E93" s="212">
        <v>4900</v>
      </c>
      <c r="F93" s="210">
        <v>4772.7</v>
      </c>
      <c r="G93" s="212">
        <v>1264.6</v>
      </c>
      <c r="H93" s="212">
        <v>1259.2</v>
      </c>
      <c r="I93" s="212">
        <v>1154.3</v>
      </c>
      <c r="J93" s="212">
        <v>1029.4</v>
      </c>
      <c r="K93" s="212">
        <v>0</v>
      </c>
      <c r="L93" s="212">
        <v>0</v>
      </c>
      <c r="M93" s="212"/>
      <c r="N93" s="212"/>
      <c r="O93" s="212"/>
      <c r="P93" s="212"/>
      <c r="Q93" s="212"/>
      <c r="R93" s="212"/>
      <c r="S93" s="212">
        <v>354.2</v>
      </c>
      <c r="T93" s="212">
        <v>96</v>
      </c>
      <c r="U93" s="90"/>
      <c r="V93" s="90">
        <f t="shared" si="11"/>
        <v>7673.1</v>
      </c>
      <c r="W93" s="90">
        <f t="shared" si="11"/>
        <v>7157.299999999999</v>
      </c>
      <c r="X93" s="212">
        <v>27.5</v>
      </c>
      <c r="Y93" s="212"/>
      <c r="Z93" s="90"/>
      <c r="AA93" s="90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90"/>
      <c r="AN93" s="90">
        <f t="shared" si="15"/>
        <v>27.5</v>
      </c>
      <c r="AO93" s="90">
        <f t="shared" si="15"/>
        <v>0</v>
      </c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</row>
    <row r="94" spans="1:77" ht="15">
      <c r="A94" s="198">
        <v>83</v>
      </c>
      <c r="B94" s="199" t="s">
        <v>774</v>
      </c>
      <c r="C94" s="200">
        <f t="shared" si="13"/>
        <v>5461.3</v>
      </c>
      <c r="D94" s="200">
        <f t="shared" si="7"/>
        <v>4530.7</v>
      </c>
      <c r="E94" s="212">
        <v>3550.3</v>
      </c>
      <c r="F94" s="210">
        <v>3497.7</v>
      </c>
      <c r="G94" s="212">
        <v>687.4</v>
      </c>
      <c r="H94" s="212">
        <v>668.8</v>
      </c>
      <c r="I94" s="212">
        <v>940</v>
      </c>
      <c r="J94" s="212">
        <v>364.2</v>
      </c>
      <c r="K94" s="212">
        <v>0</v>
      </c>
      <c r="L94" s="212">
        <v>0</v>
      </c>
      <c r="M94" s="212"/>
      <c r="N94" s="212"/>
      <c r="O94" s="212"/>
      <c r="P94" s="212"/>
      <c r="Q94" s="212"/>
      <c r="R94" s="212"/>
      <c r="S94" s="212">
        <v>283.6</v>
      </c>
      <c r="T94" s="212"/>
      <c r="U94" s="90"/>
      <c r="V94" s="90">
        <f t="shared" si="11"/>
        <v>5461.3</v>
      </c>
      <c r="W94" s="90">
        <f t="shared" si="11"/>
        <v>4530.7</v>
      </c>
      <c r="X94" s="212"/>
      <c r="Y94" s="212"/>
      <c r="Z94" s="90"/>
      <c r="AA94" s="90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90"/>
      <c r="AN94" s="90">
        <f t="shared" si="15"/>
        <v>0</v>
      </c>
      <c r="AO94" s="90">
        <f t="shared" si="15"/>
        <v>0</v>
      </c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</row>
    <row r="95" spans="1:77" ht="15">
      <c r="A95" s="198">
        <v>84</v>
      </c>
      <c r="B95" s="199" t="s">
        <v>775</v>
      </c>
      <c r="C95" s="200">
        <f t="shared" si="13"/>
        <v>11505.400000000001</v>
      </c>
      <c r="D95" s="200">
        <f t="shared" si="7"/>
        <v>9920.8</v>
      </c>
      <c r="E95" s="212">
        <v>6842.2</v>
      </c>
      <c r="F95" s="210">
        <v>6300.6</v>
      </c>
      <c r="G95" s="212">
        <v>1385</v>
      </c>
      <c r="H95" s="212">
        <v>1283.5</v>
      </c>
      <c r="I95" s="212">
        <v>2626</v>
      </c>
      <c r="J95" s="212">
        <v>2127.9</v>
      </c>
      <c r="K95" s="212">
        <v>0</v>
      </c>
      <c r="L95" s="212">
        <v>0</v>
      </c>
      <c r="M95" s="212"/>
      <c r="N95" s="212"/>
      <c r="O95" s="212">
        <v>150</v>
      </c>
      <c r="P95" s="212">
        <v>130</v>
      </c>
      <c r="Q95" s="212"/>
      <c r="R95" s="212"/>
      <c r="S95" s="212">
        <v>502.2</v>
      </c>
      <c r="T95" s="212">
        <v>78.8</v>
      </c>
      <c r="U95" s="90"/>
      <c r="V95" s="90">
        <f t="shared" si="11"/>
        <v>11505.400000000001</v>
      </c>
      <c r="W95" s="90">
        <f t="shared" si="11"/>
        <v>9920.8</v>
      </c>
      <c r="X95" s="212"/>
      <c r="Y95" s="212"/>
      <c r="Z95" s="90"/>
      <c r="AA95" s="90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90"/>
      <c r="AN95" s="90">
        <f t="shared" si="15"/>
        <v>0</v>
      </c>
      <c r="AO95" s="90">
        <f t="shared" si="15"/>
        <v>0</v>
      </c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</row>
    <row r="96" spans="1:77" ht="15">
      <c r="A96" s="198">
        <v>85</v>
      </c>
      <c r="B96" s="199" t="s">
        <v>776</v>
      </c>
      <c r="C96" s="200">
        <f t="shared" si="13"/>
        <v>21400.3</v>
      </c>
      <c r="D96" s="200">
        <f t="shared" si="7"/>
        <v>20093.7</v>
      </c>
      <c r="E96" s="212">
        <v>11335</v>
      </c>
      <c r="F96" s="210">
        <v>10925.4</v>
      </c>
      <c r="G96" s="212">
        <v>2165.4</v>
      </c>
      <c r="H96" s="212">
        <v>2165.4</v>
      </c>
      <c r="I96" s="212">
        <v>3533.7</v>
      </c>
      <c r="J96" s="212">
        <v>2910.1</v>
      </c>
      <c r="K96" s="212">
        <v>0</v>
      </c>
      <c r="L96" s="212">
        <v>0</v>
      </c>
      <c r="M96" s="212">
        <v>3664</v>
      </c>
      <c r="N96" s="212">
        <v>3662</v>
      </c>
      <c r="O96" s="212">
        <v>120</v>
      </c>
      <c r="P96" s="212">
        <v>114</v>
      </c>
      <c r="Q96" s="212">
        <v>200</v>
      </c>
      <c r="R96" s="212">
        <v>150</v>
      </c>
      <c r="S96" s="212">
        <v>382.2</v>
      </c>
      <c r="T96" s="212">
        <v>166.8</v>
      </c>
      <c r="U96" s="90">
        <v>163.8</v>
      </c>
      <c r="V96" s="90">
        <f t="shared" si="11"/>
        <v>21400.3</v>
      </c>
      <c r="W96" s="90">
        <f t="shared" si="11"/>
        <v>20093.7</v>
      </c>
      <c r="X96" s="212">
        <v>200</v>
      </c>
      <c r="Y96" s="212">
        <v>163.8</v>
      </c>
      <c r="Z96" s="90"/>
      <c r="AA96" s="90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>
        <v>200</v>
      </c>
      <c r="AM96" s="90"/>
      <c r="AN96" s="90">
        <f>X96+AB96+AD96+AF96+AH96+AJ96+AL96-AL96</f>
        <v>200</v>
      </c>
      <c r="AO96" s="90">
        <f>Y96+AC96+AE96+AG96+AI96+AK96+AM96-AM96</f>
        <v>163.8</v>
      </c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</row>
    <row r="97" spans="1:77" ht="15">
      <c r="A97" s="198">
        <v>86</v>
      </c>
      <c r="B97" s="199" t="s">
        <v>777</v>
      </c>
      <c r="C97" s="200">
        <f t="shared" si="13"/>
        <v>37902.9</v>
      </c>
      <c r="D97" s="200">
        <f t="shared" si="7"/>
        <v>25928</v>
      </c>
      <c r="E97" s="212">
        <v>9856.6</v>
      </c>
      <c r="F97" s="210">
        <v>9651</v>
      </c>
      <c r="G97" s="212">
        <v>1878.4</v>
      </c>
      <c r="H97" s="212">
        <v>1440</v>
      </c>
      <c r="I97" s="212">
        <v>3393.9</v>
      </c>
      <c r="J97" s="212">
        <v>2732.8</v>
      </c>
      <c r="K97" s="212">
        <v>0</v>
      </c>
      <c r="L97" s="212">
        <v>0</v>
      </c>
      <c r="M97" s="212">
        <v>3500</v>
      </c>
      <c r="N97" s="212">
        <v>3500</v>
      </c>
      <c r="O97" s="212">
        <v>1200</v>
      </c>
      <c r="P97" s="212">
        <v>820</v>
      </c>
      <c r="Q97" s="212"/>
      <c r="R97" s="212"/>
      <c r="S97" s="212">
        <v>11556.5</v>
      </c>
      <c r="T97" s="212">
        <v>7474.2</v>
      </c>
      <c r="U97" s="90"/>
      <c r="V97" s="90">
        <f t="shared" si="11"/>
        <v>31385.4</v>
      </c>
      <c r="W97" s="90">
        <f t="shared" si="11"/>
        <v>25618</v>
      </c>
      <c r="X97" s="212">
        <v>6517.5</v>
      </c>
      <c r="Y97" s="212">
        <v>310</v>
      </c>
      <c r="Z97" s="90"/>
      <c r="AA97" s="90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90"/>
      <c r="AN97" s="90">
        <f>X97+AB97+AD97+AF97+AH97+AJ97+AL97</f>
        <v>6517.5</v>
      </c>
      <c r="AO97" s="90">
        <f>Y97+AC97+AE97+AG97+AI97+AK97+AM97</f>
        <v>310</v>
      </c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</row>
    <row r="98" spans="1:77" s="214" customFormat="1" ht="15">
      <c r="A98" s="198">
        <v>87</v>
      </c>
      <c r="B98" s="199" t="s">
        <v>778</v>
      </c>
      <c r="C98" s="200">
        <f t="shared" si="13"/>
        <v>25106.8</v>
      </c>
      <c r="D98" s="200">
        <f t="shared" si="7"/>
        <v>22135.1</v>
      </c>
      <c r="E98" s="212">
        <v>9856.6</v>
      </c>
      <c r="F98" s="210">
        <v>9651</v>
      </c>
      <c r="G98" s="212">
        <v>1878.4</v>
      </c>
      <c r="H98" s="212">
        <v>1440</v>
      </c>
      <c r="I98" s="212">
        <v>2829.4</v>
      </c>
      <c r="J98" s="212">
        <v>2732.8</v>
      </c>
      <c r="K98" s="212">
        <v>0</v>
      </c>
      <c r="L98" s="212">
        <v>0</v>
      </c>
      <c r="M98" s="212"/>
      <c r="N98" s="212"/>
      <c r="O98" s="212"/>
      <c r="P98" s="212"/>
      <c r="Q98" s="212">
        <v>600</v>
      </c>
      <c r="R98" s="212"/>
      <c r="S98" s="212">
        <v>932.4</v>
      </c>
      <c r="T98" s="212">
        <v>1381.8</v>
      </c>
      <c r="U98" s="90">
        <v>1381.8</v>
      </c>
      <c r="V98" s="212">
        <f aca="true" t="shared" si="16" ref="V98:W120">E98+G98+I98+K98+M98+O98+Q98+S98</f>
        <v>16096.8</v>
      </c>
      <c r="W98" s="212">
        <f t="shared" si="16"/>
        <v>15205.599999999999</v>
      </c>
      <c r="X98" s="212">
        <v>9010</v>
      </c>
      <c r="Y98" s="212">
        <v>8311.3</v>
      </c>
      <c r="Z98" s="90"/>
      <c r="AA98" s="90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90"/>
      <c r="AN98" s="212">
        <f>X98+AB98+AD98+AF98+AH98+AJ98+AL98-AL98</f>
        <v>9010</v>
      </c>
      <c r="AO98" s="212">
        <f>Y98+AC98+AE98+AG98+AI98+AK98+AM98-AM98</f>
        <v>8311.3</v>
      </c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</row>
    <row r="99" spans="1:77" ht="15">
      <c r="A99" s="198">
        <v>88</v>
      </c>
      <c r="B99" s="199" t="s">
        <v>744</v>
      </c>
      <c r="C99" s="200">
        <f t="shared" si="13"/>
        <v>5878.7</v>
      </c>
      <c r="D99" s="200">
        <f t="shared" si="7"/>
        <v>5444.4</v>
      </c>
      <c r="E99" s="212">
        <v>4865.8</v>
      </c>
      <c r="F99" s="210">
        <v>4740.9</v>
      </c>
      <c r="G99" s="212">
        <v>675</v>
      </c>
      <c r="H99" s="212">
        <v>639</v>
      </c>
      <c r="I99" s="212">
        <v>65</v>
      </c>
      <c r="J99" s="212">
        <v>29.5</v>
      </c>
      <c r="K99" s="212">
        <v>0</v>
      </c>
      <c r="L99" s="212">
        <v>0</v>
      </c>
      <c r="M99" s="212"/>
      <c r="N99" s="212"/>
      <c r="O99" s="212"/>
      <c r="P99" s="212"/>
      <c r="Q99" s="212"/>
      <c r="R99" s="212"/>
      <c r="S99" s="212">
        <v>272.9</v>
      </c>
      <c r="T99" s="212">
        <v>35</v>
      </c>
      <c r="U99" s="90"/>
      <c r="V99" s="90">
        <f t="shared" si="16"/>
        <v>5878.7</v>
      </c>
      <c r="W99" s="90">
        <f t="shared" si="16"/>
        <v>5444.4</v>
      </c>
      <c r="X99" s="212"/>
      <c r="Y99" s="212"/>
      <c r="Z99" s="90"/>
      <c r="AA99" s="90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90"/>
      <c r="AN99" s="90">
        <f aca="true" t="shared" si="17" ref="AN99:AO114">X99+AB99+AD99+AF99+AH99+AJ99+AL99</f>
        <v>0</v>
      </c>
      <c r="AO99" s="90">
        <f t="shared" si="17"/>
        <v>0</v>
      </c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</row>
    <row r="100" spans="1:77" s="214" customFormat="1" ht="15">
      <c r="A100" s="198">
        <v>89</v>
      </c>
      <c r="B100" s="199" t="s">
        <v>779</v>
      </c>
      <c r="C100" s="200">
        <f t="shared" si="13"/>
        <v>8167</v>
      </c>
      <c r="D100" s="200">
        <f t="shared" si="7"/>
        <v>7614.1</v>
      </c>
      <c r="E100" s="212">
        <v>4885.5</v>
      </c>
      <c r="F100" s="210">
        <v>4833.7</v>
      </c>
      <c r="G100" s="212">
        <v>1386.6</v>
      </c>
      <c r="H100" s="212">
        <v>1249</v>
      </c>
      <c r="I100" s="212">
        <v>1894.7</v>
      </c>
      <c r="J100" s="212">
        <v>1531.4</v>
      </c>
      <c r="K100" s="212">
        <v>0</v>
      </c>
      <c r="L100" s="212">
        <v>0</v>
      </c>
      <c r="M100" s="212"/>
      <c r="N100" s="212"/>
      <c r="O100" s="212"/>
      <c r="P100" s="212"/>
      <c r="Q100" s="212"/>
      <c r="R100" s="212"/>
      <c r="S100" s="212">
        <v>0.2</v>
      </c>
      <c r="T100" s="212"/>
      <c r="U100" s="90"/>
      <c r="V100" s="212">
        <f t="shared" si="16"/>
        <v>8167</v>
      </c>
      <c r="W100" s="212">
        <f t="shared" si="16"/>
        <v>7614.1</v>
      </c>
      <c r="X100" s="212"/>
      <c r="Y100" s="212"/>
      <c r="Z100" s="90"/>
      <c r="AA100" s="90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90"/>
      <c r="AN100" s="212">
        <f t="shared" si="17"/>
        <v>0</v>
      </c>
      <c r="AO100" s="212">
        <f t="shared" si="17"/>
        <v>0</v>
      </c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 s="213"/>
      <c r="BS100" s="213"/>
      <c r="BT100" s="213"/>
      <c r="BU100" s="213"/>
      <c r="BV100" s="213"/>
      <c r="BW100" s="213"/>
      <c r="BX100" s="213"/>
      <c r="BY100" s="213"/>
    </row>
    <row r="101" spans="1:77" ht="15">
      <c r="A101" s="198">
        <v>90</v>
      </c>
      <c r="B101" s="199" t="s">
        <v>780</v>
      </c>
      <c r="C101" s="200">
        <f t="shared" si="13"/>
        <v>11829.1</v>
      </c>
      <c r="D101" s="200">
        <f t="shared" si="7"/>
        <v>9971.800000000001</v>
      </c>
      <c r="E101" s="212">
        <v>5972.4</v>
      </c>
      <c r="F101" s="210">
        <v>5818.1</v>
      </c>
      <c r="G101" s="212">
        <v>2097.8</v>
      </c>
      <c r="H101" s="212">
        <v>2096.6</v>
      </c>
      <c r="I101" s="212">
        <v>2725.4</v>
      </c>
      <c r="J101" s="212">
        <v>1198</v>
      </c>
      <c r="K101" s="212">
        <v>0</v>
      </c>
      <c r="L101" s="212">
        <v>0</v>
      </c>
      <c r="M101" s="212"/>
      <c r="N101" s="212"/>
      <c r="O101" s="212"/>
      <c r="P101" s="212"/>
      <c r="Q101" s="212">
        <v>750</v>
      </c>
      <c r="R101" s="212">
        <v>750</v>
      </c>
      <c r="S101" s="212">
        <v>283.5</v>
      </c>
      <c r="T101" s="212">
        <v>195.2</v>
      </c>
      <c r="U101" s="90"/>
      <c r="V101" s="90">
        <f t="shared" si="16"/>
        <v>11829.1</v>
      </c>
      <c r="W101" s="90">
        <f t="shared" si="16"/>
        <v>10057.900000000001</v>
      </c>
      <c r="X101" s="212"/>
      <c r="Y101" s="212"/>
      <c r="Z101" s="90"/>
      <c r="AA101" s="90"/>
      <c r="AB101" s="212"/>
      <c r="AC101" s="212"/>
      <c r="AD101" s="212"/>
      <c r="AE101" s="212"/>
      <c r="AF101" s="212"/>
      <c r="AG101" s="212"/>
      <c r="AH101" s="212"/>
      <c r="AI101" s="90">
        <v>-86.1</v>
      </c>
      <c r="AJ101" s="212"/>
      <c r="AK101" s="212"/>
      <c r="AL101" s="212"/>
      <c r="AM101" s="90"/>
      <c r="AN101" s="90">
        <f t="shared" si="17"/>
        <v>0</v>
      </c>
      <c r="AO101" s="90">
        <f t="shared" si="17"/>
        <v>-86.1</v>
      </c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</row>
    <row r="102" spans="1:77" ht="15">
      <c r="A102" s="198">
        <v>91</v>
      </c>
      <c r="B102" s="199" t="s">
        <v>781</v>
      </c>
      <c r="C102" s="200">
        <f t="shared" si="13"/>
        <v>8271.5</v>
      </c>
      <c r="D102" s="200">
        <f aca="true" t="shared" si="18" ref="D102:D107">W102+AO102-AM102-U102</f>
        <v>5376</v>
      </c>
      <c r="E102" s="212">
        <v>3026.4</v>
      </c>
      <c r="F102" s="210">
        <v>2987.4</v>
      </c>
      <c r="G102" s="212">
        <v>889.6</v>
      </c>
      <c r="H102" s="212">
        <v>798</v>
      </c>
      <c r="I102" s="212">
        <v>831.6</v>
      </c>
      <c r="J102" s="212">
        <v>365.4</v>
      </c>
      <c r="K102" s="212">
        <v>0</v>
      </c>
      <c r="L102" s="212">
        <v>0</v>
      </c>
      <c r="M102" s="212"/>
      <c r="N102" s="212"/>
      <c r="O102" s="212">
        <v>50</v>
      </c>
      <c r="P102" s="212">
        <v>50</v>
      </c>
      <c r="Q102" s="212"/>
      <c r="R102" s="212"/>
      <c r="S102" s="212">
        <v>70</v>
      </c>
      <c r="T102" s="212"/>
      <c r="U102" s="90"/>
      <c r="V102" s="90">
        <f t="shared" si="16"/>
        <v>4867.6</v>
      </c>
      <c r="W102" s="90">
        <f t="shared" si="16"/>
        <v>4200.8</v>
      </c>
      <c r="X102" s="212">
        <v>3403.9</v>
      </c>
      <c r="Y102" s="212">
        <v>1465.2</v>
      </c>
      <c r="Z102" s="90"/>
      <c r="AA102" s="90"/>
      <c r="AB102" s="212"/>
      <c r="AC102" s="212"/>
      <c r="AD102" s="212"/>
      <c r="AE102" s="212"/>
      <c r="AF102" s="212"/>
      <c r="AG102" s="212">
        <v>-290</v>
      </c>
      <c r="AH102" s="212"/>
      <c r="AI102" s="212"/>
      <c r="AJ102" s="212"/>
      <c r="AK102" s="212"/>
      <c r="AL102" s="212"/>
      <c r="AM102" s="90"/>
      <c r="AN102" s="90">
        <f t="shared" si="17"/>
        <v>3403.9</v>
      </c>
      <c r="AO102" s="90">
        <f t="shared" si="17"/>
        <v>1175.2</v>
      </c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</row>
    <row r="103" spans="1:77" ht="15">
      <c r="A103" s="198">
        <v>92</v>
      </c>
      <c r="B103" s="199" t="s">
        <v>602</v>
      </c>
      <c r="C103" s="200">
        <f t="shared" si="13"/>
        <v>8813.2</v>
      </c>
      <c r="D103" s="200">
        <f t="shared" si="18"/>
        <v>8344.599999999999</v>
      </c>
      <c r="E103" s="212">
        <v>4510</v>
      </c>
      <c r="F103" s="210">
        <v>4367.4</v>
      </c>
      <c r="G103" s="212">
        <v>1477.6</v>
      </c>
      <c r="H103" s="212">
        <v>1270.9</v>
      </c>
      <c r="I103" s="212">
        <v>1599.5</v>
      </c>
      <c r="J103" s="212">
        <v>1556.3</v>
      </c>
      <c r="K103" s="212">
        <v>0</v>
      </c>
      <c r="L103" s="212">
        <v>0</v>
      </c>
      <c r="M103" s="212"/>
      <c r="N103" s="212"/>
      <c r="O103" s="212"/>
      <c r="P103" s="212"/>
      <c r="Q103" s="212">
        <v>1150</v>
      </c>
      <c r="R103" s="212">
        <v>1150</v>
      </c>
      <c r="S103" s="212">
        <v>27.1</v>
      </c>
      <c r="T103" s="212"/>
      <c r="U103" s="90"/>
      <c r="V103" s="90">
        <f t="shared" si="16"/>
        <v>8764.2</v>
      </c>
      <c r="W103" s="90">
        <f t="shared" si="16"/>
        <v>8344.599999999999</v>
      </c>
      <c r="X103" s="212">
        <v>49</v>
      </c>
      <c r="Y103" s="212"/>
      <c r="Z103" s="90"/>
      <c r="AA103" s="90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90"/>
      <c r="AN103" s="90">
        <f t="shared" si="17"/>
        <v>49</v>
      </c>
      <c r="AO103" s="90">
        <f t="shared" si="17"/>
        <v>0</v>
      </c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</row>
    <row r="104" spans="1:77" ht="15">
      <c r="A104" s="198">
        <v>93</v>
      </c>
      <c r="B104" s="199" t="s">
        <v>782</v>
      </c>
      <c r="C104" s="200">
        <f t="shared" si="13"/>
        <v>15809.5</v>
      </c>
      <c r="D104" s="200">
        <f t="shared" si="18"/>
        <v>13242.6</v>
      </c>
      <c r="E104" s="212">
        <v>6271.6</v>
      </c>
      <c r="F104" s="210">
        <v>6173.5</v>
      </c>
      <c r="G104" s="212">
        <v>1828.4</v>
      </c>
      <c r="H104" s="212">
        <v>1542.6</v>
      </c>
      <c r="I104" s="212">
        <v>3312.4</v>
      </c>
      <c r="J104" s="212">
        <v>2575.5</v>
      </c>
      <c r="K104" s="212">
        <v>0</v>
      </c>
      <c r="L104" s="212"/>
      <c r="M104" s="212"/>
      <c r="N104" s="212"/>
      <c r="O104" s="212"/>
      <c r="P104" s="212"/>
      <c r="Q104" s="212">
        <v>2646.5</v>
      </c>
      <c r="R104" s="212">
        <v>2646</v>
      </c>
      <c r="S104" s="212">
        <v>39.7</v>
      </c>
      <c r="T104" s="212">
        <v>5</v>
      </c>
      <c r="U104" s="90"/>
      <c r="V104" s="90">
        <f t="shared" si="16"/>
        <v>14098.6</v>
      </c>
      <c r="W104" s="90">
        <f t="shared" si="16"/>
        <v>12942.6</v>
      </c>
      <c r="X104" s="212">
        <v>1710.9</v>
      </c>
      <c r="Y104" s="212">
        <v>300</v>
      </c>
      <c r="Z104" s="90"/>
      <c r="AA104" s="90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90"/>
      <c r="AN104" s="90">
        <f t="shared" si="17"/>
        <v>1710.9</v>
      </c>
      <c r="AO104" s="90">
        <f>Y104+AC104+AE104+AG104+AI104+AK104+AM104-AM104</f>
        <v>300</v>
      </c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</row>
    <row r="105" spans="1:77" ht="15">
      <c r="A105" s="198">
        <v>94</v>
      </c>
      <c r="B105" s="199" t="s">
        <v>783</v>
      </c>
      <c r="C105" s="200">
        <f t="shared" si="13"/>
        <v>10775</v>
      </c>
      <c r="D105" s="200">
        <f t="shared" si="18"/>
        <v>8436.2</v>
      </c>
      <c r="E105" s="212">
        <v>6032.3</v>
      </c>
      <c r="F105" s="210">
        <v>5639.6</v>
      </c>
      <c r="G105" s="212">
        <v>2132.7</v>
      </c>
      <c r="H105" s="212">
        <v>2055.9</v>
      </c>
      <c r="I105" s="212">
        <v>1354</v>
      </c>
      <c r="J105" s="212">
        <v>625.7</v>
      </c>
      <c r="K105" s="212">
        <v>0</v>
      </c>
      <c r="L105" s="212">
        <v>0</v>
      </c>
      <c r="M105" s="212"/>
      <c r="N105" s="212"/>
      <c r="O105" s="212"/>
      <c r="P105" s="212"/>
      <c r="Q105" s="212"/>
      <c r="R105" s="212"/>
      <c r="S105" s="212">
        <v>756</v>
      </c>
      <c r="T105" s="212">
        <v>145</v>
      </c>
      <c r="U105" s="90">
        <v>145</v>
      </c>
      <c r="V105" s="90">
        <f t="shared" si="16"/>
        <v>10275</v>
      </c>
      <c r="W105" s="90">
        <f t="shared" si="16"/>
        <v>8466.2</v>
      </c>
      <c r="X105" s="212">
        <v>500</v>
      </c>
      <c r="Y105" s="212">
        <v>225</v>
      </c>
      <c r="Z105" s="90"/>
      <c r="AA105" s="90"/>
      <c r="AB105" s="212"/>
      <c r="AC105" s="212"/>
      <c r="AD105" s="212"/>
      <c r="AE105" s="212"/>
      <c r="AF105" s="212"/>
      <c r="AG105" s="212">
        <v>-110</v>
      </c>
      <c r="AH105" s="212"/>
      <c r="AI105" s="212"/>
      <c r="AJ105" s="212"/>
      <c r="AK105" s="212"/>
      <c r="AL105" s="212"/>
      <c r="AM105" s="90"/>
      <c r="AN105" s="90">
        <f t="shared" si="17"/>
        <v>500</v>
      </c>
      <c r="AO105" s="90">
        <f t="shared" si="17"/>
        <v>115</v>
      </c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</row>
    <row r="106" spans="1:77" ht="15">
      <c r="A106" s="198">
        <v>95</v>
      </c>
      <c r="B106" s="199" t="s">
        <v>784</v>
      </c>
      <c r="C106" s="200">
        <f t="shared" si="13"/>
        <v>5242.4</v>
      </c>
      <c r="D106" s="200">
        <f t="shared" si="18"/>
        <v>4844.700000000001</v>
      </c>
      <c r="E106" s="212">
        <v>3343.9</v>
      </c>
      <c r="F106" s="210">
        <v>3290</v>
      </c>
      <c r="G106" s="212">
        <v>928.6</v>
      </c>
      <c r="H106" s="212">
        <v>928.6</v>
      </c>
      <c r="I106" s="212">
        <v>669.9</v>
      </c>
      <c r="J106" s="212">
        <v>516.1</v>
      </c>
      <c r="K106" s="212">
        <v>0</v>
      </c>
      <c r="L106" s="212">
        <v>0</v>
      </c>
      <c r="M106" s="212"/>
      <c r="N106" s="212"/>
      <c r="O106" s="212"/>
      <c r="P106" s="212"/>
      <c r="Q106" s="212">
        <v>180</v>
      </c>
      <c r="R106" s="212">
        <v>60</v>
      </c>
      <c r="S106" s="212">
        <v>120</v>
      </c>
      <c r="T106" s="212">
        <v>50</v>
      </c>
      <c r="U106" s="90">
        <v>50</v>
      </c>
      <c r="V106" s="90">
        <f t="shared" si="16"/>
        <v>5242.4</v>
      </c>
      <c r="W106" s="90">
        <f t="shared" si="16"/>
        <v>4844.700000000001</v>
      </c>
      <c r="X106" s="212"/>
      <c r="Y106" s="212">
        <v>50</v>
      </c>
      <c r="Z106" s="90"/>
      <c r="AA106" s="90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>
        <v>50</v>
      </c>
      <c r="AM106" s="90"/>
      <c r="AN106" s="90">
        <f t="shared" si="17"/>
        <v>50</v>
      </c>
      <c r="AO106" s="90">
        <f t="shared" si="17"/>
        <v>50</v>
      </c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</row>
    <row r="107" spans="1:77" s="214" customFormat="1" ht="15">
      <c r="A107" s="198">
        <v>96</v>
      </c>
      <c r="B107" s="199" t="s">
        <v>785</v>
      </c>
      <c r="C107" s="200">
        <f t="shared" si="13"/>
        <v>12895.900000000001</v>
      </c>
      <c r="D107" s="200">
        <f t="shared" si="18"/>
        <v>10209.300000000001</v>
      </c>
      <c r="E107" s="212">
        <v>5236.4</v>
      </c>
      <c r="F107" s="210">
        <v>5235.5</v>
      </c>
      <c r="G107" s="212">
        <v>1599.3</v>
      </c>
      <c r="H107" s="212">
        <v>945</v>
      </c>
      <c r="I107" s="212">
        <v>1640</v>
      </c>
      <c r="J107" s="212">
        <v>1379.7</v>
      </c>
      <c r="K107" s="212">
        <v>0</v>
      </c>
      <c r="L107" s="212">
        <v>0</v>
      </c>
      <c r="M107" s="212">
        <v>4070</v>
      </c>
      <c r="N107" s="212">
        <v>2863</v>
      </c>
      <c r="O107" s="212">
        <v>100</v>
      </c>
      <c r="P107" s="212">
        <v>50</v>
      </c>
      <c r="Q107" s="212"/>
      <c r="R107" s="212"/>
      <c r="S107" s="212">
        <v>250.2</v>
      </c>
      <c r="T107" s="212">
        <v>75</v>
      </c>
      <c r="U107" s="90"/>
      <c r="V107" s="212">
        <f t="shared" si="16"/>
        <v>12895.900000000001</v>
      </c>
      <c r="W107" s="212">
        <f t="shared" si="16"/>
        <v>10548.2</v>
      </c>
      <c r="X107" s="212"/>
      <c r="Y107" s="212"/>
      <c r="Z107" s="90"/>
      <c r="AA107" s="90"/>
      <c r="AB107" s="212"/>
      <c r="AC107" s="212"/>
      <c r="AD107" s="212"/>
      <c r="AE107" s="212"/>
      <c r="AF107" s="212"/>
      <c r="AG107" s="212">
        <v>-338.9</v>
      </c>
      <c r="AH107" s="212"/>
      <c r="AI107" s="212"/>
      <c r="AJ107" s="212"/>
      <c r="AK107" s="212"/>
      <c r="AL107" s="212"/>
      <c r="AM107" s="90"/>
      <c r="AN107" s="212">
        <f t="shared" si="17"/>
        <v>0</v>
      </c>
      <c r="AO107" s="212">
        <f t="shared" si="17"/>
        <v>-338.9</v>
      </c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</row>
    <row r="108" spans="1:77" s="206" customFormat="1" ht="15">
      <c r="A108" s="198">
        <v>97</v>
      </c>
      <c r="B108" s="215" t="s">
        <v>786</v>
      </c>
      <c r="C108" s="200">
        <f t="shared" si="13"/>
        <v>107633</v>
      </c>
      <c r="D108" s="200">
        <f t="shared" si="13"/>
        <v>93930.7</v>
      </c>
      <c r="E108" s="201">
        <v>36700</v>
      </c>
      <c r="F108" s="202">
        <v>34282.7</v>
      </c>
      <c r="G108" s="201">
        <v>10657.7</v>
      </c>
      <c r="H108" s="201">
        <v>9253.8</v>
      </c>
      <c r="I108" s="201">
        <v>21568.8</v>
      </c>
      <c r="J108" s="201">
        <v>19245.6</v>
      </c>
      <c r="K108" s="201"/>
      <c r="L108" s="201"/>
      <c r="M108" s="201"/>
      <c r="N108" s="201"/>
      <c r="O108" s="201">
        <v>33158.1</v>
      </c>
      <c r="P108" s="201">
        <v>30699.5</v>
      </c>
      <c r="Q108" s="201">
        <v>990</v>
      </c>
      <c r="R108" s="201">
        <v>719</v>
      </c>
      <c r="S108" s="201">
        <v>3568.9</v>
      </c>
      <c r="T108" s="201">
        <v>440.5</v>
      </c>
      <c r="U108" s="201"/>
      <c r="V108" s="201">
        <f t="shared" si="16"/>
        <v>106643.5</v>
      </c>
      <c r="W108" s="201">
        <f t="shared" si="16"/>
        <v>94641.1</v>
      </c>
      <c r="X108" s="201">
        <v>19435.6</v>
      </c>
      <c r="Y108" s="201">
        <v>18927.8</v>
      </c>
      <c r="Z108" s="90"/>
      <c r="AA108" s="90"/>
      <c r="AB108" s="201"/>
      <c r="AC108" s="201"/>
      <c r="AD108" s="201">
        <v>3000</v>
      </c>
      <c r="AE108" s="201">
        <v>2700</v>
      </c>
      <c r="AF108" s="201">
        <v>-19300</v>
      </c>
      <c r="AG108" s="201">
        <v>-21434.9</v>
      </c>
      <c r="AH108" s="201">
        <v>-2146.1</v>
      </c>
      <c r="AI108" s="90">
        <v>-903.3</v>
      </c>
      <c r="AJ108" s="201"/>
      <c r="AK108" s="201"/>
      <c r="AL108" s="201"/>
      <c r="AM108" s="201"/>
      <c r="AN108" s="201">
        <f t="shared" si="17"/>
        <v>989.4999999999986</v>
      </c>
      <c r="AO108" s="201">
        <f t="shared" si="17"/>
        <v>-710.4000000000021</v>
      </c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</row>
    <row r="109" spans="1:77" s="206" customFormat="1" ht="15">
      <c r="A109" s="198">
        <v>98</v>
      </c>
      <c r="B109" s="215" t="s">
        <v>787</v>
      </c>
      <c r="C109" s="200">
        <f aca="true" t="shared" si="19" ref="C109:D120">V109+AN109-AL109</f>
        <v>121508.29999999999</v>
      </c>
      <c r="D109" s="200">
        <f t="shared" si="19"/>
        <v>102552.7</v>
      </c>
      <c r="E109" s="201">
        <v>15480</v>
      </c>
      <c r="F109" s="202">
        <v>13312.8</v>
      </c>
      <c r="G109" s="201">
        <v>3120</v>
      </c>
      <c r="H109" s="201">
        <v>2821.5</v>
      </c>
      <c r="I109" s="201">
        <v>20970</v>
      </c>
      <c r="J109" s="201">
        <v>19517</v>
      </c>
      <c r="K109" s="201"/>
      <c r="L109" s="201"/>
      <c r="M109" s="201">
        <v>3000</v>
      </c>
      <c r="N109" s="201">
        <v>3000</v>
      </c>
      <c r="O109" s="201">
        <v>65094.4</v>
      </c>
      <c r="P109" s="201">
        <v>63656.1</v>
      </c>
      <c r="Q109" s="201">
        <v>1500</v>
      </c>
      <c r="R109" s="201">
        <v>1800</v>
      </c>
      <c r="S109" s="201">
        <v>4944.3</v>
      </c>
      <c r="T109" s="201">
        <v>748.5</v>
      </c>
      <c r="U109" s="201"/>
      <c r="V109" s="201">
        <f t="shared" si="16"/>
        <v>114108.7</v>
      </c>
      <c r="W109" s="201">
        <f t="shared" si="16"/>
        <v>104855.9</v>
      </c>
      <c r="X109" s="201">
        <v>18399.6</v>
      </c>
      <c r="Y109" s="201">
        <v>8649.8</v>
      </c>
      <c r="Z109" s="90">
        <v>20499</v>
      </c>
      <c r="AA109" s="90">
        <v>20478.2</v>
      </c>
      <c r="AB109" s="201"/>
      <c r="AC109" s="201"/>
      <c r="AD109" s="201"/>
      <c r="AE109" s="201"/>
      <c r="AF109" s="201">
        <v>-1000</v>
      </c>
      <c r="AG109" s="201">
        <v>-58.8</v>
      </c>
      <c r="AH109" s="201">
        <v>-10000</v>
      </c>
      <c r="AI109" s="90">
        <v>-10894.2</v>
      </c>
      <c r="AJ109" s="201"/>
      <c r="AK109" s="201"/>
      <c r="AL109" s="201"/>
      <c r="AM109" s="201"/>
      <c r="AN109" s="201">
        <f t="shared" si="17"/>
        <v>7399.5999999999985</v>
      </c>
      <c r="AO109" s="201">
        <f t="shared" si="17"/>
        <v>-2303.2000000000007</v>
      </c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</row>
    <row r="110" spans="1:77" s="206" customFormat="1" ht="15">
      <c r="A110" s="198">
        <v>99</v>
      </c>
      <c r="B110" s="215" t="s">
        <v>788</v>
      </c>
      <c r="C110" s="200">
        <f t="shared" si="19"/>
        <v>13086.7</v>
      </c>
      <c r="D110" s="200">
        <f t="shared" si="19"/>
        <v>8303.6</v>
      </c>
      <c r="E110" s="201">
        <v>6208.6</v>
      </c>
      <c r="F110" s="202">
        <v>6208.6</v>
      </c>
      <c r="G110" s="201">
        <v>1249.8</v>
      </c>
      <c r="H110" s="201">
        <v>1249.2</v>
      </c>
      <c r="I110" s="201">
        <v>1698.8</v>
      </c>
      <c r="J110" s="201">
        <v>1236.4</v>
      </c>
      <c r="K110" s="201"/>
      <c r="L110" s="201"/>
      <c r="M110" s="201"/>
      <c r="N110" s="201"/>
      <c r="O110" s="201">
        <v>80</v>
      </c>
      <c r="P110" s="201">
        <v>3.6</v>
      </c>
      <c r="Q110" s="201"/>
      <c r="R110" s="201"/>
      <c r="S110" s="201">
        <v>898.8</v>
      </c>
      <c r="T110" s="201"/>
      <c r="U110" s="201"/>
      <c r="V110" s="201">
        <f t="shared" si="16"/>
        <v>10136</v>
      </c>
      <c r="W110" s="201">
        <f t="shared" si="16"/>
        <v>8697.800000000001</v>
      </c>
      <c r="X110" s="201">
        <v>2950.7</v>
      </c>
      <c r="Y110" s="201">
        <v>647</v>
      </c>
      <c r="Z110" s="90"/>
      <c r="AA110" s="90"/>
      <c r="AB110" s="201"/>
      <c r="AC110" s="201"/>
      <c r="AD110" s="201"/>
      <c r="AE110" s="201"/>
      <c r="AF110" s="201"/>
      <c r="AG110" s="201"/>
      <c r="AH110" s="201"/>
      <c r="AI110" s="90">
        <v>-1041.2</v>
      </c>
      <c r="AJ110" s="201"/>
      <c r="AK110" s="201"/>
      <c r="AL110" s="201"/>
      <c r="AM110" s="201"/>
      <c r="AN110" s="201">
        <f t="shared" si="17"/>
        <v>2950.7</v>
      </c>
      <c r="AO110" s="201">
        <f t="shared" si="17"/>
        <v>-394.20000000000005</v>
      </c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</row>
    <row r="111" spans="1:77" s="206" customFormat="1" ht="15">
      <c r="A111" s="198">
        <v>100</v>
      </c>
      <c r="B111" s="215" t="s">
        <v>789</v>
      </c>
      <c r="C111" s="200">
        <f t="shared" si="19"/>
        <v>5261.3</v>
      </c>
      <c r="D111" s="200">
        <f t="shared" si="19"/>
        <v>4093.5</v>
      </c>
      <c r="E111" s="201">
        <v>3170.1</v>
      </c>
      <c r="F111" s="202">
        <v>3169.3</v>
      </c>
      <c r="G111" s="201">
        <v>759.7</v>
      </c>
      <c r="H111" s="201">
        <v>759.7</v>
      </c>
      <c r="I111" s="201">
        <v>170</v>
      </c>
      <c r="J111" s="201">
        <v>164</v>
      </c>
      <c r="K111" s="201"/>
      <c r="L111" s="201"/>
      <c r="M111" s="201"/>
      <c r="N111" s="201"/>
      <c r="O111" s="201">
        <v>15.5</v>
      </c>
      <c r="P111" s="201">
        <v>0.5</v>
      </c>
      <c r="Q111" s="201"/>
      <c r="R111" s="201"/>
      <c r="S111" s="201"/>
      <c r="T111" s="201"/>
      <c r="U111" s="201"/>
      <c r="V111" s="201">
        <f t="shared" si="16"/>
        <v>4115.3</v>
      </c>
      <c r="W111" s="201">
        <f t="shared" si="16"/>
        <v>4093.5</v>
      </c>
      <c r="X111" s="201">
        <v>1146</v>
      </c>
      <c r="Y111" s="201"/>
      <c r="Z111" s="90"/>
      <c r="AA111" s="90"/>
      <c r="AB111" s="201"/>
      <c r="AC111" s="201"/>
      <c r="AD111" s="201"/>
      <c r="AE111" s="201"/>
      <c r="AF111" s="201"/>
      <c r="AG111" s="201"/>
      <c r="AH111" s="201"/>
      <c r="AI111" s="90"/>
      <c r="AJ111" s="201"/>
      <c r="AK111" s="201"/>
      <c r="AL111" s="201"/>
      <c r="AM111" s="201"/>
      <c r="AN111" s="201">
        <f t="shared" si="17"/>
        <v>1146</v>
      </c>
      <c r="AO111" s="201">
        <f t="shared" si="17"/>
        <v>0</v>
      </c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</row>
    <row r="112" spans="1:77" s="206" customFormat="1" ht="15">
      <c r="A112" s="198">
        <v>101</v>
      </c>
      <c r="B112" s="215" t="s">
        <v>790</v>
      </c>
      <c r="C112" s="200">
        <f t="shared" si="19"/>
        <v>12848.599999999999</v>
      </c>
      <c r="D112" s="200">
        <f t="shared" si="19"/>
        <v>11036.5</v>
      </c>
      <c r="E112" s="201">
        <v>6434.2</v>
      </c>
      <c r="F112" s="202">
        <v>6179.7</v>
      </c>
      <c r="G112" s="201">
        <v>1444.9</v>
      </c>
      <c r="H112" s="201">
        <v>1423.5</v>
      </c>
      <c r="I112" s="201">
        <v>1845.3</v>
      </c>
      <c r="J112" s="201">
        <v>2083</v>
      </c>
      <c r="K112" s="201"/>
      <c r="L112" s="201"/>
      <c r="M112" s="201"/>
      <c r="N112" s="201"/>
      <c r="O112" s="201">
        <v>21.4</v>
      </c>
      <c r="P112" s="201">
        <v>6.4</v>
      </c>
      <c r="Q112" s="201">
        <v>200</v>
      </c>
      <c r="R112" s="201">
        <v>150</v>
      </c>
      <c r="S112" s="201">
        <v>731.3</v>
      </c>
      <c r="T112" s="201">
        <v>0</v>
      </c>
      <c r="U112" s="201"/>
      <c r="V112" s="201">
        <f t="shared" si="16"/>
        <v>10677.099999999999</v>
      </c>
      <c r="W112" s="201">
        <f t="shared" si="16"/>
        <v>9842.6</v>
      </c>
      <c r="X112" s="201">
        <v>2171.5</v>
      </c>
      <c r="Y112" s="201">
        <v>1289.9</v>
      </c>
      <c r="Z112" s="90"/>
      <c r="AA112" s="90"/>
      <c r="AB112" s="201"/>
      <c r="AC112" s="201"/>
      <c r="AD112" s="201"/>
      <c r="AE112" s="201"/>
      <c r="AF112" s="201"/>
      <c r="AG112" s="201"/>
      <c r="AH112" s="201"/>
      <c r="AI112" s="90">
        <v>-96</v>
      </c>
      <c r="AJ112" s="201"/>
      <c r="AK112" s="201"/>
      <c r="AL112" s="201"/>
      <c r="AM112" s="201"/>
      <c r="AN112" s="201">
        <f t="shared" si="17"/>
        <v>2171.5</v>
      </c>
      <c r="AO112" s="201">
        <f t="shared" si="17"/>
        <v>1193.9</v>
      </c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</row>
    <row r="113" spans="1:77" s="206" customFormat="1" ht="18" customHeight="1">
      <c r="A113" s="198">
        <v>102</v>
      </c>
      <c r="B113" s="215" t="s">
        <v>534</v>
      </c>
      <c r="C113" s="200">
        <f t="shared" si="19"/>
        <v>9649.8</v>
      </c>
      <c r="D113" s="200">
        <f t="shared" si="19"/>
        <v>7522.799999999999</v>
      </c>
      <c r="E113" s="201">
        <v>4738</v>
      </c>
      <c r="F113" s="202">
        <v>4666.5</v>
      </c>
      <c r="G113" s="201">
        <v>980</v>
      </c>
      <c r="H113" s="201">
        <v>943.7</v>
      </c>
      <c r="I113" s="201">
        <v>1572</v>
      </c>
      <c r="J113" s="201">
        <v>941</v>
      </c>
      <c r="K113" s="201"/>
      <c r="L113" s="201"/>
      <c r="M113" s="201"/>
      <c r="N113" s="201"/>
      <c r="O113" s="201">
        <v>20</v>
      </c>
      <c r="P113" s="201">
        <v>1.4</v>
      </c>
      <c r="Q113" s="201">
        <v>400</v>
      </c>
      <c r="R113" s="201">
        <v>400</v>
      </c>
      <c r="S113" s="201">
        <v>1369.5</v>
      </c>
      <c r="T113" s="201"/>
      <c r="U113" s="201"/>
      <c r="V113" s="201">
        <f t="shared" si="16"/>
        <v>9079.5</v>
      </c>
      <c r="W113" s="201">
        <f t="shared" si="16"/>
        <v>6952.599999999999</v>
      </c>
      <c r="X113" s="201">
        <v>570.3</v>
      </c>
      <c r="Y113" s="201">
        <v>570.2</v>
      </c>
      <c r="Z113" s="90"/>
      <c r="AA113" s="90"/>
      <c r="AB113" s="201"/>
      <c r="AC113" s="201"/>
      <c r="AD113" s="201"/>
      <c r="AE113" s="201"/>
      <c r="AF113" s="201"/>
      <c r="AG113" s="201"/>
      <c r="AH113" s="201"/>
      <c r="AI113" s="90"/>
      <c r="AJ113" s="201"/>
      <c r="AK113" s="201"/>
      <c r="AL113" s="201"/>
      <c r="AM113" s="201"/>
      <c r="AN113" s="201">
        <f t="shared" si="17"/>
        <v>570.3</v>
      </c>
      <c r="AO113" s="201">
        <f t="shared" si="17"/>
        <v>570.2</v>
      </c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</row>
    <row r="114" spans="1:77" s="206" customFormat="1" ht="18.75" customHeight="1">
      <c r="A114" s="198">
        <v>103</v>
      </c>
      <c r="B114" s="215" t="s">
        <v>791</v>
      </c>
      <c r="C114" s="200">
        <f t="shared" si="19"/>
        <v>7348.9</v>
      </c>
      <c r="D114" s="200">
        <f t="shared" si="19"/>
        <v>7040.9</v>
      </c>
      <c r="E114" s="201">
        <v>4330</v>
      </c>
      <c r="F114" s="202">
        <v>4306.9</v>
      </c>
      <c r="G114" s="201">
        <v>1220</v>
      </c>
      <c r="H114" s="201">
        <v>1143.4</v>
      </c>
      <c r="I114" s="201">
        <v>1413</v>
      </c>
      <c r="J114" s="201">
        <v>1117.8</v>
      </c>
      <c r="K114" s="201"/>
      <c r="L114" s="201"/>
      <c r="M114" s="201"/>
      <c r="N114" s="201"/>
      <c r="O114" s="201">
        <v>20</v>
      </c>
      <c r="P114" s="201">
        <v>2.7</v>
      </c>
      <c r="Q114" s="201">
        <v>30</v>
      </c>
      <c r="R114" s="201">
        <v>30</v>
      </c>
      <c r="S114" s="201">
        <v>194</v>
      </c>
      <c r="T114" s="201">
        <v>2.5</v>
      </c>
      <c r="U114" s="201"/>
      <c r="V114" s="201">
        <f t="shared" si="16"/>
        <v>7207</v>
      </c>
      <c r="W114" s="201">
        <f t="shared" si="16"/>
        <v>6603.299999999999</v>
      </c>
      <c r="X114" s="201">
        <v>441.9</v>
      </c>
      <c r="Y114" s="201">
        <v>437.6</v>
      </c>
      <c r="Z114" s="90"/>
      <c r="AA114" s="90"/>
      <c r="AB114" s="201"/>
      <c r="AC114" s="201"/>
      <c r="AD114" s="201"/>
      <c r="AE114" s="201"/>
      <c r="AF114" s="201"/>
      <c r="AG114" s="201"/>
      <c r="AH114" s="201">
        <v>-300</v>
      </c>
      <c r="AI114" s="90"/>
      <c r="AJ114" s="201"/>
      <c r="AK114" s="201"/>
      <c r="AL114" s="201"/>
      <c r="AM114" s="201"/>
      <c r="AN114" s="201">
        <f t="shared" si="17"/>
        <v>141.89999999999998</v>
      </c>
      <c r="AO114" s="201">
        <f t="shared" si="17"/>
        <v>437.6</v>
      </c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</row>
    <row r="115" spans="1:77" s="206" customFormat="1" ht="18" customHeight="1">
      <c r="A115" s="198">
        <v>104</v>
      </c>
      <c r="B115" s="215" t="s">
        <v>792</v>
      </c>
      <c r="C115" s="200">
        <f t="shared" si="19"/>
        <v>4797.8</v>
      </c>
      <c r="D115" s="200">
        <f t="shared" si="19"/>
        <v>4431.5</v>
      </c>
      <c r="E115" s="201">
        <v>3319.7</v>
      </c>
      <c r="F115" s="202">
        <v>3313.3</v>
      </c>
      <c r="G115" s="201">
        <v>757.8</v>
      </c>
      <c r="H115" s="201">
        <v>757.8</v>
      </c>
      <c r="I115" s="201">
        <v>270</v>
      </c>
      <c r="J115" s="201">
        <v>239.4</v>
      </c>
      <c r="K115" s="201"/>
      <c r="L115" s="201"/>
      <c r="M115" s="201"/>
      <c r="N115" s="201"/>
      <c r="O115" s="201">
        <v>16</v>
      </c>
      <c r="P115" s="201">
        <v>1</v>
      </c>
      <c r="Q115" s="201">
        <v>0</v>
      </c>
      <c r="R115" s="201">
        <v>120</v>
      </c>
      <c r="S115" s="201">
        <v>209</v>
      </c>
      <c r="T115" s="201"/>
      <c r="U115" s="201"/>
      <c r="V115" s="201">
        <f t="shared" si="16"/>
        <v>4572.5</v>
      </c>
      <c r="W115" s="201">
        <f t="shared" si="16"/>
        <v>4431.5</v>
      </c>
      <c r="X115" s="201">
        <v>225.3</v>
      </c>
      <c r="Y115" s="201"/>
      <c r="Z115" s="90"/>
      <c r="AA115" s="90"/>
      <c r="AB115" s="201"/>
      <c r="AC115" s="201"/>
      <c r="AD115" s="201"/>
      <c r="AE115" s="201"/>
      <c r="AF115" s="201"/>
      <c r="AG115" s="201"/>
      <c r="AH115" s="201"/>
      <c r="AI115" s="90"/>
      <c r="AJ115" s="201"/>
      <c r="AK115" s="201"/>
      <c r="AL115" s="201"/>
      <c r="AM115" s="201"/>
      <c r="AN115" s="201">
        <f aca="true" t="shared" si="20" ref="AN115:AO120">X115+AB115+AD115+AF115+AH115+AJ115+AL115</f>
        <v>225.3</v>
      </c>
      <c r="AO115" s="201">
        <f t="shared" si="20"/>
        <v>0</v>
      </c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</row>
    <row r="116" spans="1:77" s="206" customFormat="1" ht="17.25" customHeight="1">
      <c r="A116" s="198">
        <v>105</v>
      </c>
      <c r="B116" s="215" t="s">
        <v>793</v>
      </c>
      <c r="C116" s="200">
        <f t="shared" si="19"/>
        <v>29125.200000000004</v>
      </c>
      <c r="D116" s="200">
        <f t="shared" si="19"/>
        <v>16918.3</v>
      </c>
      <c r="E116" s="201">
        <v>9403.8</v>
      </c>
      <c r="F116" s="202">
        <v>8540.9</v>
      </c>
      <c r="G116" s="201">
        <v>1505.6</v>
      </c>
      <c r="H116" s="201">
        <v>1315.9</v>
      </c>
      <c r="I116" s="201">
        <v>4026.5</v>
      </c>
      <c r="J116" s="201">
        <v>1554.9</v>
      </c>
      <c r="K116" s="201"/>
      <c r="L116" s="201"/>
      <c r="M116" s="201"/>
      <c r="N116" s="201"/>
      <c r="O116" s="201"/>
      <c r="P116" s="201"/>
      <c r="Q116" s="201">
        <v>1500</v>
      </c>
      <c r="R116" s="201">
        <v>350</v>
      </c>
      <c r="S116" s="201">
        <v>3906.7</v>
      </c>
      <c r="T116" s="201"/>
      <c r="U116" s="201"/>
      <c r="V116" s="201">
        <f t="shared" si="16"/>
        <v>20342.600000000002</v>
      </c>
      <c r="W116" s="201">
        <f t="shared" si="16"/>
        <v>11761.699999999999</v>
      </c>
      <c r="X116" s="201">
        <v>8782.6</v>
      </c>
      <c r="Y116" s="201">
        <v>5238</v>
      </c>
      <c r="Z116" s="90"/>
      <c r="AA116" s="90"/>
      <c r="AB116" s="201"/>
      <c r="AC116" s="201"/>
      <c r="AD116" s="201"/>
      <c r="AE116" s="201"/>
      <c r="AF116" s="201"/>
      <c r="AG116" s="201"/>
      <c r="AH116" s="201"/>
      <c r="AI116" s="90">
        <v>-81.4</v>
      </c>
      <c r="AJ116" s="201"/>
      <c r="AK116" s="201"/>
      <c r="AL116" s="201"/>
      <c r="AM116" s="201"/>
      <c r="AN116" s="201">
        <f t="shared" si="20"/>
        <v>8782.6</v>
      </c>
      <c r="AO116" s="201">
        <f t="shared" si="20"/>
        <v>5156.6</v>
      </c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</row>
    <row r="117" spans="1:77" s="216" customFormat="1" ht="20.25" customHeight="1">
      <c r="A117" s="198">
        <v>106</v>
      </c>
      <c r="B117" s="215" t="s">
        <v>794</v>
      </c>
      <c r="C117" s="200">
        <f t="shared" si="19"/>
        <v>9346.8</v>
      </c>
      <c r="D117" s="200">
        <f t="shared" si="19"/>
        <v>7479.8</v>
      </c>
      <c r="E117" s="201">
        <v>5680</v>
      </c>
      <c r="F117" s="202">
        <v>5302.3</v>
      </c>
      <c r="G117" s="201">
        <v>1400</v>
      </c>
      <c r="H117" s="201">
        <v>1400</v>
      </c>
      <c r="I117" s="201">
        <v>616</v>
      </c>
      <c r="J117" s="201">
        <v>657.7</v>
      </c>
      <c r="K117" s="201"/>
      <c r="L117" s="201"/>
      <c r="M117" s="201"/>
      <c r="N117" s="201"/>
      <c r="O117" s="201">
        <v>18</v>
      </c>
      <c r="P117" s="201">
        <v>17.8</v>
      </c>
      <c r="Q117" s="201">
        <v>50</v>
      </c>
      <c r="R117" s="201">
        <v>100</v>
      </c>
      <c r="S117" s="201">
        <v>177.8</v>
      </c>
      <c r="T117" s="201">
        <v>2</v>
      </c>
      <c r="U117" s="201"/>
      <c r="V117" s="201">
        <f t="shared" si="16"/>
        <v>7941.8</v>
      </c>
      <c r="W117" s="201">
        <f t="shared" si="16"/>
        <v>7479.8</v>
      </c>
      <c r="X117" s="201">
        <v>1405</v>
      </c>
      <c r="Y117" s="201"/>
      <c r="Z117" s="90"/>
      <c r="AA117" s="90"/>
      <c r="AB117" s="201"/>
      <c r="AC117" s="201"/>
      <c r="AD117" s="201"/>
      <c r="AE117" s="201"/>
      <c r="AF117" s="201"/>
      <c r="AG117" s="201"/>
      <c r="AH117" s="201"/>
      <c r="AI117" s="90"/>
      <c r="AJ117" s="201"/>
      <c r="AK117" s="201"/>
      <c r="AL117" s="201"/>
      <c r="AM117" s="201"/>
      <c r="AN117" s="201">
        <f t="shared" si="20"/>
        <v>1405</v>
      </c>
      <c r="AO117" s="201">
        <f t="shared" si="20"/>
        <v>0</v>
      </c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</row>
    <row r="118" spans="1:77" s="206" customFormat="1" ht="17.25" customHeight="1">
      <c r="A118" s="198">
        <v>107</v>
      </c>
      <c r="B118" s="215" t="s">
        <v>795</v>
      </c>
      <c r="C118" s="200">
        <f t="shared" si="19"/>
        <v>5022.2</v>
      </c>
      <c r="D118" s="200">
        <f t="shared" si="19"/>
        <v>4770.700000000001</v>
      </c>
      <c r="E118" s="201">
        <v>3027.3</v>
      </c>
      <c r="F118" s="202">
        <v>3027.3</v>
      </c>
      <c r="G118" s="201">
        <v>806.6</v>
      </c>
      <c r="H118" s="201">
        <v>806.6</v>
      </c>
      <c r="I118" s="201">
        <v>969.3</v>
      </c>
      <c r="J118" s="201">
        <v>877.9</v>
      </c>
      <c r="K118" s="201"/>
      <c r="L118" s="201"/>
      <c r="M118" s="201"/>
      <c r="N118" s="201"/>
      <c r="O118" s="201">
        <v>15.6</v>
      </c>
      <c r="P118" s="201">
        <v>15.6</v>
      </c>
      <c r="Q118" s="201"/>
      <c r="R118" s="201"/>
      <c r="S118" s="201">
        <v>153.2</v>
      </c>
      <c r="T118" s="201"/>
      <c r="U118" s="201"/>
      <c r="V118" s="201">
        <f t="shared" si="16"/>
        <v>4972</v>
      </c>
      <c r="W118" s="201">
        <f t="shared" si="16"/>
        <v>4727.400000000001</v>
      </c>
      <c r="X118" s="201">
        <v>50.2</v>
      </c>
      <c r="Y118" s="201">
        <v>43.3</v>
      </c>
      <c r="Z118" s="90"/>
      <c r="AA118" s="90"/>
      <c r="AB118" s="201"/>
      <c r="AC118" s="201"/>
      <c r="AD118" s="201"/>
      <c r="AE118" s="201"/>
      <c r="AF118" s="201"/>
      <c r="AG118" s="201"/>
      <c r="AH118" s="201"/>
      <c r="AI118" s="90"/>
      <c r="AJ118" s="201"/>
      <c r="AK118" s="201"/>
      <c r="AL118" s="201"/>
      <c r="AM118" s="201"/>
      <c r="AN118" s="201">
        <f t="shared" si="20"/>
        <v>50.2</v>
      </c>
      <c r="AO118" s="201">
        <f t="shared" si="20"/>
        <v>43.3</v>
      </c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</row>
    <row r="119" spans="1:77" s="206" customFormat="1" ht="15.75" customHeight="1">
      <c r="A119" s="198">
        <v>108</v>
      </c>
      <c r="B119" s="215" t="s">
        <v>796</v>
      </c>
      <c r="C119" s="200">
        <f t="shared" si="19"/>
        <v>6703.2</v>
      </c>
      <c r="D119" s="200">
        <f t="shared" si="19"/>
        <v>6546.499999999999</v>
      </c>
      <c r="E119" s="201">
        <v>4118.1</v>
      </c>
      <c r="F119" s="202">
        <v>4019.2</v>
      </c>
      <c r="G119" s="201">
        <v>940</v>
      </c>
      <c r="H119" s="201">
        <v>937.9</v>
      </c>
      <c r="I119" s="201">
        <v>699.4</v>
      </c>
      <c r="J119" s="201">
        <v>699.4</v>
      </c>
      <c r="K119" s="201"/>
      <c r="L119" s="201"/>
      <c r="M119" s="201"/>
      <c r="N119" s="201"/>
      <c r="O119" s="201">
        <v>600</v>
      </c>
      <c r="P119" s="201">
        <v>584</v>
      </c>
      <c r="Q119" s="201"/>
      <c r="R119" s="201"/>
      <c r="S119" s="201"/>
      <c r="T119" s="201"/>
      <c r="U119" s="201"/>
      <c r="V119" s="201">
        <f t="shared" si="16"/>
        <v>6357.5</v>
      </c>
      <c r="W119" s="201">
        <f t="shared" si="16"/>
        <v>6240.499999999999</v>
      </c>
      <c r="X119" s="201">
        <v>385.4</v>
      </c>
      <c r="Y119" s="201">
        <v>345.7</v>
      </c>
      <c r="Z119" s="90"/>
      <c r="AA119" s="90"/>
      <c r="AB119" s="201"/>
      <c r="AC119" s="201"/>
      <c r="AD119" s="201"/>
      <c r="AE119" s="201"/>
      <c r="AF119" s="201"/>
      <c r="AG119" s="201"/>
      <c r="AH119" s="201">
        <v>-39.7</v>
      </c>
      <c r="AI119" s="90">
        <v>-39.7</v>
      </c>
      <c r="AJ119" s="201"/>
      <c r="AK119" s="201"/>
      <c r="AL119" s="201"/>
      <c r="AM119" s="201"/>
      <c r="AN119" s="201">
        <f t="shared" si="20"/>
        <v>345.7</v>
      </c>
      <c r="AO119" s="201">
        <f t="shared" si="20"/>
        <v>306</v>
      </c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</row>
    <row r="120" spans="1:77" s="206" customFormat="1" ht="17.25" customHeight="1">
      <c r="A120" s="198">
        <v>109</v>
      </c>
      <c r="B120" s="215" t="s">
        <v>797</v>
      </c>
      <c r="C120" s="200">
        <f t="shared" si="19"/>
        <v>9080</v>
      </c>
      <c r="D120" s="200">
        <f t="shared" si="19"/>
        <v>7518.6</v>
      </c>
      <c r="E120" s="201">
        <v>4937</v>
      </c>
      <c r="F120" s="202">
        <v>4446.1</v>
      </c>
      <c r="G120" s="201">
        <v>1201.2</v>
      </c>
      <c r="H120" s="201">
        <v>1201.3</v>
      </c>
      <c r="I120" s="201">
        <v>1805</v>
      </c>
      <c r="J120" s="201">
        <v>1869.7</v>
      </c>
      <c r="K120" s="201"/>
      <c r="L120" s="201"/>
      <c r="M120" s="201"/>
      <c r="N120" s="201"/>
      <c r="O120" s="201">
        <v>40</v>
      </c>
      <c r="P120" s="201">
        <v>1.5</v>
      </c>
      <c r="Q120" s="201">
        <v>150</v>
      </c>
      <c r="R120" s="201"/>
      <c r="S120" s="201">
        <v>918.2</v>
      </c>
      <c r="T120" s="201"/>
      <c r="U120" s="201"/>
      <c r="V120" s="201">
        <f t="shared" si="16"/>
        <v>9051.4</v>
      </c>
      <c r="W120" s="201">
        <f t="shared" si="16"/>
        <v>7518.6</v>
      </c>
      <c r="X120" s="201">
        <v>28.6</v>
      </c>
      <c r="Y120" s="201"/>
      <c r="Z120" s="90"/>
      <c r="AA120" s="90"/>
      <c r="AB120" s="201"/>
      <c r="AC120" s="201"/>
      <c r="AD120" s="201"/>
      <c r="AE120" s="201"/>
      <c r="AF120" s="201"/>
      <c r="AG120" s="201"/>
      <c r="AH120" s="201"/>
      <c r="AI120" s="90"/>
      <c r="AJ120" s="201"/>
      <c r="AK120" s="201"/>
      <c r="AL120" s="201"/>
      <c r="AM120" s="201"/>
      <c r="AN120" s="201">
        <f t="shared" si="20"/>
        <v>28.6</v>
      </c>
      <c r="AO120" s="201">
        <f t="shared" si="20"/>
        <v>0</v>
      </c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</row>
    <row r="121" spans="1:77" ht="18" customHeight="1">
      <c r="A121" s="640" t="s">
        <v>798</v>
      </c>
      <c r="B121" s="641"/>
      <c r="C121" s="217">
        <f>SUM(C12:C120)</f>
        <v>3269447.499999999</v>
      </c>
      <c r="D121" s="217">
        <f>SUM(D12:D120)</f>
        <v>2902806.0000000014</v>
      </c>
      <c r="E121" s="217">
        <f aca="true" t="shared" si="21" ref="E121:N121">SUM(E12:E120)</f>
        <v>977547.4999999995</v>
      </c>
      <c r="F121" s="217">
        <f t="shared" si="21"/>
        <v>949876.9999999999</v>
      </c>
      <c r="G121" s="217">
        <f t="shared" si="21"/>
        <v>228101.09999999998</v>
      </c>
      <c r="H121" s="217">
        <f t="shared" si="21"/>
        <v>217588.9999999999</v>
      </c>
      <c r="I121" s="217">
        <f t="shared" si="21"/>
        <v>596087.3000000002</v>
      </c>
      <c r="J121" s="217">
        <f t="shared" si="21"/>
        <v>549801.2999999998</v>
      </c>
      <c r="K121" s="217">
        <f t="shared" si="21"/>
        <v>0</v>
      </c>
      <c r="L121" s="217">
        <f t="shared" si="21"/>
        <v>0</v>
      </c>
      <c r="M121" s="217">
        <f t="shared" si="21"/>
        <v>800054.5</v>
      </c>
      <c r="N121" s="217">
        <f t="shared" si="21"/>
        <v>776007.4000000001</v>
      </c>
      <c r="O121" s="218">
        <f>SUM(O12:O120)</f>
        <v>108211</v>
      </c>
      <c r="P121" s="218">
        <f aca="true" t="shared" si="22" ref="P121:AE121">SUM(P12:P120)</f>
        <v>107648.9</v>
      </c>
      <c r="Q121" s="218">
        <f t="shared" si="22"/>
        <v>47467.5</v>
      </c>
      <c r="R121" s="218">
        <f t="shared" si="22"/>
        <v>48024.3</v>
      </c>
      <c r="S121" s="218">
        <f t="shared" si="22"/>
        <v>232533.30000000002</v>
      </c>
      <c r="T121" s="218">
        <f t="shared" si="22"/>
        <v>88284.6</v>
      </c>
      <c r="U121" s="218">
        <f>SUM(U12:U120)</f>
        <v>37965.90000000001</v>
      </c>
      <c r="V121" s="218">
        <f t="shared" si="22"/>
        <v>2990002.1999999997</v>
      </c>
      <c r="W121" s="218">
        <f t="shared" si="22"/>
        <v>2737232.500000001</v>
      </c>
      <c r="X121" s="218">
        <f t="shared" si="22"/>
        <v>677262.8</v>
      </c>
      <c r="Y121" s="218">
        <f t="shared" si="22"/>
        <v>519574.69999999984</v>
      </c>
      <c r="Z121" s="218">
        <f>SUM(Z12:Z120)</f>
        <v>155054.9</v>
      </c>
      <c r="AA121" s="218">
        <f>SUM(AA12:AA120)</f>
        <v>155458.1</v>
      </c>
      <c r="AB121" s="218">
        <f t="shared" si="22"/>
        <v>-3000</v>
      </c>
      <c r="AC121" s="218">
        <f t="shared" si="22"/>
        <v>-334.1</v>
      </c>
      <c r="AD121" s="218">
        <f t="shared" si="22"/>
        <v>3000</v>
      </c>
      <c r="AE121" s="218">
        <f t="shared" si="22"/>
        <v>2700</v>
      </c>
      <c r="AF121" s="218">
        <f>SUM(AF12:AF120)</f>
        <v>-32056.9</v>
      </c>
      <c r="AG121" s="218">
        <f aca="true" t="shared" si="23" ref="AG121:AO121">SUM(AG12:AG120)</f>
        <v>-41835</v>
      </c>
      <c r="AH121" s="218">
        <f t="shared" si="23"/>
        <v>-314539.7</v>
      </c>
      <c r="AI121" s="218">
        <f t="shared" si="23"/>
        <v>-272681.20000000007</v>
      </c>
      <c r="AJ121" s="218">
        <f t="shared" si="23"/>
        <v>0</v>
      </c>
      <c r="AK121" s="218">
        <f t="shared" si="23"/>
        <v>0</v>
      </c>
      <c r="AL121" s="218">
        <f t="shared" si="23"/>
        <v>51271.4</v>
      </c>
      <c r="AM121" s="218">
        <f t="shared" si="23"/>
        <v>3884.9999999999995</v>
      </c>
      <c r="AN121" s="218">
        <f t="shared" si="23"/>
        <v>330716.69999999995</v>
      </c>
      <c r="AO121" s="218">
        <f t="shared" si="23"/>
        <v>207424.4</v>
      </c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</row>
    <row r="122" spans="1:77" ht="15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</row>
    <row r="123" spans="1:77" ht="15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</row>
    <row r="124" spans="1:77" ht="15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</row>
    <row r="125" spans="1:41" ht="15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20"/>
      <c r="AJ125" s="219"/>
      <c r="AK125" s="219"/>
      <c r="AL125" s="219"/>
      <c r="AM125" s="219"/>
      <c r="AN125" s="219"/>
      <c r="AO125" s="219"/>
    </row>
    <row r="126" spans="1:41" ht="1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167"/>
      <c r="AJ126" s="75"/>
      <c r="AK126" s="75"/>
      <c r="AL126" s="75"/>
      <c r="AM126" s="75"/>
      <c r="AN126" s="75"/>
      <c r="AO126" s="75"/>
    </row>
    <row r="127" spans="1:41" ht="1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</row>
    <row r="128" spans="1:41" ht="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</row>
  </sheetData>
  <sheetProtection/>
  <mergeCells count="32">
    <mergeCell ref="AD8:AE9"/>
    <mergeCell ref="E9:F9"/>
    <mergeCell ref="AF5:AK5"/>
    <mergeCell ref="AL5:AM9"/>
    <mergeCell ref="AJ9:AK9"/>
    <mergeCell ref="A121:B121"/>
    <mergeCell ref="Q8:R9"/>
    <mergeCell ref="S8:T9"/>
    <mergeCell ref="U8:U9"/>
    <mergeCell ref="X8:Y9"/>
    <mergeCell ref="G9:H9"/>
    <mergeCell ref="AH9:AI9"/>
    <mergeCell ref="V5:W9"/>
    <mergeCell ref="X5:AE5"/>
    <mergeCell ref="Z8:AA9"/>
    <mergeCell ref="AB8:AC9"/>
    <mergeCell ref="AN5:AO9"/>
    <mergeCell ref="E6:T6"/>
    <mergeCell ref="I8:J9"/>
    <mergeCell ref="K8:L9"/>
    <mergeCell ref="AH6:AK8"/>
    <mergeCell ref="E8:H8"/>
    <mergeCell ref="D2:K2"/>
    <mergeCell ref="A4:A10"/>
    <mergeCell ref="B4:B10"/>
    <mergeCell ref="C4:D9"/>
    <mergeCell ref="E4:AO4"/>
    <mergeCell ref="E5:T5"/>
    <mergeCell ref="M8:N9"/>
    <mergeCell ref="O8:P9"/>
    <mergeCell ref="X6:AE6"/>
    <mergeCell ref="AF6:AG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5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99" customWidth="1"/>
    <col min="2" max="2" width="19" style="99" customWidth="1"/>
    <col min="3" max="10" width="11.19921875" style="99" customWidth="1"/>
    <col min="11" max="11" width="8.3984375" style="99" customWidth="1"/>
    <col min="12" max="12" width="9" style="99" customWidth="1"/>
    <col min="13" max="14" width="8.3984375" style="99" customWidth="1"/>
    <col min="15" max="15" width="4.09765625" style="99" hidden="1" customWidth="1"/>
    <col min="16" max="17" width="9" style="99" customWidth="1"/>
    <col min="18" max="18" width="9.19921875" style="99" customWidth="1"/>
    <col min="19" max="19" width="9.69921875" style="99" customWidth="1"/>
    <col min="20" max="20" width="8.3984375" style="99" customWidth="1"/>
    <col min="21" max="21" width="7.19921875" style="99" bestFit="1" customWidth="1"/>
    <col min="22" max="22" width="10" style="99" customWidth="1"/>
    <col min="23" max="23" width="10.09765625" style="99" customWidth="1"/>
    <col min="24" max="24" width="9.5" style="99" customWidth="1"/>
    <col min="25" max="25" width="10.09765625" style="99" customWidth="1"/>
    <col min="26" max="26" width="10.09765625" style="99" hidden="1" customWidth="1"/>
    <col min="27" max="28" width="10.09765625" style="99" customWidth="1"/>
    <col min="29" max="32" width="7.5" style="99" customWidth="1"/>
    <col min="33" max="33" width="9" style="99" customWidth="1"/>
    <col min="34" max="34" width="7.59765625" style="99" customWidth="1"/>
    <col min="35" max="35" width="9.5" style="99" customWidth="1"/>
    <col min="36" max="36" width="8.69921875" style="99" customWidth="1"/>
    <col min="37" max="37" width="5.8984375" style="99" customWidth="1"/>
    <col min="38" max="38" width="8.09765625" style="99" customWidth="1"/>
    <col min="39" max="39" width="8.19921875" style="99" customWidth="1"/>
    <col min="40" max="40" width="8.09765625" style="99" customWidth="1"/>
    <col min="41" max="41" width="9.69921875" style="99" customWidth="1"/>
    <col min="42" max="42" width="11.09765625" style="99" customWidth="1"/>
    <col min="43" max="16384" width="9" style="99" customWidth="1"/>
  </cols>
  <sheetData>
    <row r="1" spans="1:40" ht="19.5" customHeight="1">
      <c r="A1" s="447" t="s">
        <v>208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</row>
    <row r="2" spans="1:40" ht="27.75" customHeight="1">
      <c r="A2" s="448" t="s">
        <v>1024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269"/>
      <c r="P2" s="269"/>
      <c r="Q2" s="269"/>
      <c r="R2" s="269"/>
      <c r="S2" s="269"/>
      <c r="T2" s="269"/>
      <c r="U2" s="269"/>
      <c r="V2" s="269"/>
      <c r="W2" s="269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</row>
    <row r="3" spans="2:23" ht="17.25" customHeight="1">
      <c r="B3" s="271"/>
      <c r="M3" s="449"/>
      <c r="N3" s="449"/>
      <c r="V3" s="645"/>
      <c r="W3" s="645"/>
    </row>
    <row r="4" spans="1:42" s="95" customFormat="1" ht="15" customHeight="1">
      <c r="A4" s="451" t="s">
        <v>2</v>
      </c>
      <c r="B4" s="452" t="s">
        <v>211</v>
      </c>
      <c r="C4" s="646" t="s">
        <v>799</v>
      </c>
      <c r="D4" s="647"/>
      <c r="E4" s="459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463"/>
      <c r="AP4" s="463"/>
    </row>
    <row r="5" spans="1:42" s="95" customFormat="1" ht="33" customHeight="1">
      <c r="A5" s="451"/>
      <c r="B5" s="452"/>
      <c r="C5" s="648"/>
      <c r="D5" s="649"/>
      <c r="E5" s="656" t="s">
        <v>800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8"/>
      <c r="V5" s="659" t="s">
        <v>215</v>
      </c>
      <c r="W5" s="659"/>
      <c r="X5" s="660" t="s">
        <v>216</v>
      </c>
      <c r="Y5" s="661"/>
      <c r="Z5" s="661"/>
      <c r="AA5" s="661"/>
      <c r="AB5" s="661"/>
      <c r="AC5" s="661"/>
      <c r="AD5" s="661"/>
      <c r="AE5" s="661"/>
      <c r="AF5" s="661"/>
      <c r="AG5" s="662" t="s">
        <v>345</v>
      </c>
      <c r="AH5" s="662"/>
      <c r="AI5" s="662"/>
      <c r="AJ5" s="662"/>
      <c r="AK5" s="662"/>
      <c r="AL5" s="662"/>
      <c r="AM5" s="652" t="s">
        <v>801</v>
      </c>
      <c r="AN5" s="545"/>
      <c r="AO5" s="659" t="s">
        <v>219</v>
      </c>
      <c r="AP5" s="659"/>
    </row>
    <row r="6" spans="1:42" s="95" customFormat="1" ht="16.5" customHeight="1">
      <c r="A6" s="451"/>
      <c r="B6" s="452"/>
      <c r="C6" s="648"/>
      <c r="D6" s="649"/>
      <c r="E6" s="469" t="s">
        <v>802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659"/>
      <c r="W6" s="659"/>
      <c r="X6" s="443" t="s">
        <v>803</v>
      </c>
      <c r="Y6" s="444"/>
      <c r="Z6" s="444"/>
      <c r="AA6" s="444"/>
      <c r="AB6" s="444"/>
      <c r="AC6" s="444"/>
      <c r="AD6" s="444"/>
      <c r="AE6" s="444"/>
      <c r="AF6" s="445"/>
      <c r="AG6" s="446" t="s">
        <v>804</v>
      </c>
      <c r="AH6" s="446"/>
      <c r="AI6" s="446" t="s">
        <v>223</v>
      </c>
      <c r="AJ6" s="446"/>
      <c r="AK6" s="446"/>
      <c r="AL6" s="446"/>
      <c r="AM6" s="553"/>
      <c r="AN6" s="554"/>
      <c r="AO6" s="659"/>
      <c r="AP6" s="659"/>
    </row>
    <row r="7" spans="1:42" s="95" customFormat="1" ht="26.25" customHeight="1">
      <c r="A7" s="451"/>
      <c r="B7" s="452"/>
      <c r="C7" s="648"/>
      <c r="D7" s="649"/>
      <c r="E7" s="662" t="s">
        <v>1025</v>
      </c>
      <c r="F7" s="446"/>
      <c r="G7" s="446"/>
      <c r="H7" s="446"/>
      <c r="I7" s="663" t="s">
        <v>225</v>
      </c>
      <c r="J7" s="663"/>
      <c r="K7" s="663" t="s">
        <v>227</v>
      </c>
      <c r="L7" s="663"/>
      <c r="M7" s="663" t="s">
        <v>805</v>
      </c>
      <c r="N7" s="663"/>
      <c r="O7" s="665" t="s">
        <v>2</v>
      </c>
      <c r="P7" s="663" t="s">
        <v>229</v>
      </c>
      <c r="Q7" s="663"/>
      <c r="R7" s="663" t="s">
        <v>230</v>
      </c>
      <c r="S7" s="663"/>
      <c r="T7" s="663" t="s">
        <v>231</v>
      </c>
      <c r="U7" s="663"/>
      <c r="V7" s="659"/>
      <c r="W7" s="659"/>
      <c r="X7" s="544" t="s">
        <v>232</v>
      </c>
      <c r="Y7" s="668"/>
      <c r="Z7" s="668"/>
      <c r="AA7" s="668"/>
      <c r="AB7" s="545"/>
      <c r="AC7" s="652" t="s">
        <v>806</v>
      </c>
      <c r="AD7" s="653"/>
      <c r="AE7" s="548" t="s">
        <v>807</v>
      </c>
      <c r="AF7" s="549"/>
      <c r="AG7" s="446"/>
      <c r="AH7" s="446"/>
      <c r="AI7" s="446"/>
      <c r="AJ7" s="446"/>
      <c r="AK7" s="446"/>
      <c r="AL7" s="446"/>
      <c r="AM7" s="553"/>
      <c r="AN7" s="554"/>
      <c r="AO7" s="659"/>
      <c r="AP7" s="659"/>
    </row>
    <row r="8" spans="1:42" s="95" customFormat="1" ht="63" customHeight="1">
      <c r="A8" s="451"/>
      <c r="B8" s="452"/>
      <c r="C8" s="650"/>
      <c r="D8" s="651"/>
      <c r="E8" s="543" t="s">
        <v>808</v>
      </c>
      <c r="F8" s="543"/>
      <c r="G8" s="543" t="s">
        <v>236</v>
      </c>
      <c r="H8" s="543"/>
      <c r="I8" s="663"/>
      <c r="J8" s="663"/>
      <c r="K8" s="663"/>
      <c r="L8" s="663"/>
      <c r="M8" s="663"/>
      <c r="N8" s="663"/>
      <c r="O8" s="666"/>
      <c r="P8" s="663"/>
      <c r="Q8" s="663"/>
      <c r="R8" s="663"/>
      <c r="S8" s="663"/>
      <c r="T8" s="663"/>
      <c r="U8" s="663"/>
      <c r="V8" s="659"/>
      <c r="W8" s="659"/>
      <c r="X8" s="546"/>
      <c r="Y8" s="669"/>
      <c r="Z8" s="669"/>
      <c r="AA8" s="669"/>
      <c r="AB8" s="547"/>
      <c r="AC8" s="654"/>
      <c r="AD8" s="655"/>
      <c r="AE8" s="550"/>
      <c r="AF8" s="551"/>
      <c r="AG8" s="446"/>
      <c r="AH8" s="446"/>
      <c r="AI8" s="446" t="s">
        <v>809</v>
      </c>
      <c r="AJ8" s="446"/>
      <c r="AK8" s="446" t="s">
        <v>810</v>
      </c>
      <c r="AL8" s="446"/>
      <c r="AM8" s="546"/>
      <c r="AN8" s="547"/>
      <c r="AO8" s="659"/>
      <c r="AP8" s="659"/>
    </row>
    <row r="9" spans="1:42" s="95" customFormat="1" ht="38.25" customHeight="1">
      <c r="A9" s="451"/>
      <c r="B9" s="452"/>
      <c r="C9" s="101" t="s">
        <v>811</v>
      </c>
      <c r="D9" s="101" t="s">
        <v>812</v>
      </c>
      <c r="E9" s="101" t="s">
        <v>811</v>
      </c>
      <c r="F9" s="101" t="s">
        <v>812</v>
      </c>
      <c r="G9" s="101" t="s">
        <v>811</v>
      </c>
      <c r="H9" s="101" t="s">
        <v>812</v>
      </c>
      <c r="I9" s="101" t="s">
        <v>811</v>
      </c>
      <c r="J9" s="101" t="s">
        <v>812</v>
      </c>
      <c r="K9" s="101" t="s">
        <v>811</v>
      </c>
      <c r="L9" s="101" t="s">
        <v>812</v>
      </c>
      <c r="M9" s="101" t="s">
        <v>811</v>
      </c>
      <c r="N9" s="101" t="s">
        <v>812</v>
      </c>
      <c r="O9" s="667"/>
      <c r="P9" s="101" t="s">
        <v>811</v>
      </c>
      <c r="Q9" s="101" t="s">
        <v>812</v>
      </c>
      <c r="R9" s="101" t="s">
        <v>811</v>
      </c>
      <c r="S9" s="101" t="s">
        <v>812</v>
      </c>
      <c r="T9" s="101" t="s">
        <v>811</v>
      </c>
      <c r="U9" s="101" t="s">
        <v>812</v>
      </c>
      <c r="V9" s="101" t="s">
        <v>811</v>
      </c>
      <c r="W9" s="101" t="s">
        <v>812</v>
      </c>
      <c r="X9" s="101" t="s">
        <v>811</v>
      </c>
      <c r="Y9" s="101" t="s">
        <v>812</v>
      </c>
      <c r="Z9" s="103" t="s">
        <v>813</v>
      </c>
      <c r="AA9" s="103"/>
      <c r="AB9" s="103" t="s">
        <v>814</v>
      </c>
      <c r="AC9" s="101" t="s">
        <v>811</v>
      </c>
      <c r="AD9" s="101" t="s">
        <v>812</v>
      </c>
      <c r="AE9" s="101" t="s">
        <v>811</v>
      </c>
      <c r="AF9" s="101" t="s">
        <v>812</v>
      </c>
      <c r="AG9" s="101" t="s">
        <v>811</v>
      </c>
      <c r="AH9" s="101" t="s">
        <v>812</v>
      </c>
      <c r="AI9" s="101" t="s">
        <v>811</v>
      </c>
      <c r="AJ9" s="101" t="s">
        <v>812</v>
      </c>
      <c r="AK9" s="101" t="s">
        <v>811</v>
      </c>
      <c r="AL9" s="101" t="s">
        <v>812</v>
      </c>
      <c r="AM9" s="101" t="s">
        <v>811</v>
      </c>
      <c r="AN9" s="101" t="s">
        <v>812</v>
      </c>
      <c r="AO9" s="101" t="s">
        <v>811</v>
      </c>
      <c r="AP9" s="101" t="s">
        <v>812</v>
      </c>
    </row>
    <row r="10" spans="1:42" ht="14.25" customHeight="1">
      <c r="A10" s="256"/>
      <c r="B10" s="272">
        <v>1</v>
      </c>
      <c r="C10" s="272">
        <v>2</v>
      </c>
      <c r="D10" s="272">
        <v>3</v>
      </c>
      <c r="E10" s="273">
        <v>4</v>
      </c>
      <c r="F10" s="272">
        <v>5</v>
      </c>
      <c r="G10" s="272">
        <v>6</v>
      </c>
      <c r="H10" s="272">
        <v>7</v>
      </c>
      <c r="I10" s="272">
        <v>8</v>
      </c>
      <c r="J10" s="272">
        <v>9</v>
      </c>
      <c r="K10" s="272">
        <v>10</v>
      </c>
      <c r="L10" s="272">
        <v>11</v>
      </c>
      <c r="M10" s="272">
        <v>12</v>
      </c>
      <c r="N10" s="272">
        <v>13</v>
      </c>
      <c r="O10" s="256"/>
      <c r="P10" s="272">
        <v>14</v>
      </c>
      <c r="Q10" s="272">
        <v>15</v>
      </c>
      <c r="R10" s="272">
        <v>16</v>
      </c>
      <c r="S10" s="272">
        <v>17</v>
      </c>
      <c r="T10" s="272">
        <v>18</v>
      </c>
      <c r="U10" s="272">
        <v>19</v>
      </c>
      <c r="V10" s="272">
        <v>20</v>
      </c>
      <c r="W10" s="272">
        <v>21</v>
      </c>
      <c r="X10" s="272">
        <v>22</v>
      </c>
      <c r="Y10" s="272">
        <v>23</v>
      </c>
      <c r="Z10" s="272"/>
      <c r="AA10" s="272"/>
      <c r="AB10" s="272"/>
      <c r="AC10" s="272">
        <v>24</v>
      </c>
      <c r="AD10" s="272">
        <v>25</v>
      </c>
      <c r="AE10" s="272">
        <v>26</v>
      </c>
      <c r="AF10" s="272">
        <v>27</v>
      </c>
      <c r="AG10" s="272">
        <v>28</v>
      </c>
      <c r="AH10" s="272">
        <v>29</v>
      </c>
      <c r="AI10" s="272">
        <v>30</v>
      </c>
      <c r="AJ10" s="272">
        <v>31</v>
      </c>
      <c r="AK10" s="272">
        <v>32</v>
      </c>
      <c r="AL10" s="272">
        <v>33</v>
      </c>
      <c r="AM10" s="272">
        <v>34</v>
      </c>
      <c r="AN10" s="272">
        <v>35</v>
      </c>
      <c r="AO10" s="272">
        <v>36</v>
      </c>
      <c r="AP10" s="272">
        <v>37</v>
      </c>
    </row>
    <row r="11" spans="1:42" s="278" customFormat="1" ht="18" customHeight="1">
      <c r="A11" s="274">
        <v>1</v>
      </c>
      <c r="B11" s="275" t="s">
        <v>815</v>
      </c>
      <c r="C11" s="276">
        <f aca="true" t="shared" si="0" ref="C11:D42">V11+AO11-AM11</f>
        <v>26566.1</v>
      </c>
      <c r="D11" s="276">
        <f t="shared" si="0"/>
        <v>22987.000000000004</v>
      </c>
      <c r="E11" s="274">
        <v>12040</v>
      </c>
      <c r="F11" s="276">
        <f>11294.3+605</f>
        <v>11899.3</v>
      </c>
      <c r="G11" s="276">
        <v>2410</v>
      </c>
      <c r="H11" s="276">
        <v>2227.6</v>
      </c>
      <c r="I11" s="276">
        <f>5460+214.5</f>
        <v>5674.5</v>
      </c>
      <c r="J11" s="276">
        <f>245.5+205.9+26+59+50.8+64.5+652.2+1014.5+300+260+688.2+700</f>
        <v>4266.6</v>
      </c>
      <c r="K11" s="276">
        <v>0</v>
      </c>
      <c r="L11" s="276">
        <v>0</v>
      </c>
      <c r="M11" s="276">
        <v>0</v>
      </c>
      <c r="N11" s="276">
        <v>0</v>
      </c>
      <c r="O11" s="277"/>
      <c r="P11" s="276">
        <v>2000</v>
      </c>
      <c r="Q11" s="276">
        <v>1792.3</v>
      </c>
      <c r="R11" s="276">
        <v>2975.1</v>
      </c>
      <c r="S11" s="276">
        <v>2745</v>
      </c>
      <c r="T11" s="276">
        <v>70</v>
      </c>
      <c r="U11" s="276">
        <f>20+2.5</f>
        <v>22.5</v>
      </c>
      <c r="V11" s="276">
        <f aca="true" t="shared" si="1" ref="V11:W54">T11+R11+P11+M11+K11+I11+G11+E11</f>
        <v>25169.6</v>
      </c>
      <c r="W11" s="276">
        <f t="shared" si="1"/>
        <v>22953.300000000003</v>
      </c>
      <c r="X11" s="276">
        <v>1396.5</v>
      </c>
      <c r="Y11" s="276">
        <v>150</v>
      </c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>
        <v>-116.3</v>
      </c>
      <c r="AK11" s="276"/>
      <c r="AL11" s="276"/>
      <c r="AM11" s="276"/>
      <c r="AN11" s="276"/>
      <c r="AO11" s="276">
        <f aca="true" t="shared" si="2" ref="AO11:AP54">AM11+AK11+AI11+AG11+AE11+AC11+X11</f>
        <v>1396.5</v>
      </c>
      <c r="AP11" s="276">
        <f t="shared" si="2"/>
        <v>33.7</v>
      </c>
    </row>
    <row r="12" spans="1:42" s="278" customFormat="1" ht="18" customHeight="1">
      <c r="A12" s="274">
        <v>2</v>
      </c>
      <c r="B12" s="279" t="s">
        <v>816</v>
      </c>
      <c r="C12" s="276">
        <f t="shared" si="0"/>
        <v>49428.8</v>
      </c>
      <c r="D12" s="276">
        <f t="shared" si="0"/>
        <v>33935.5</v>
      </c>
      <c r="E12" s="274">
        <v>16440</v>
      </c>
      <c r="F12" s="276">
        <f>12703.6+900</f>
        <v>13603.6</v>
      </c>
      <c r="G12" s="276">
        <v>3230</v>
      </c>
      <c r="H12" s="276">
        <v>2673.2</v>
      </c>
      <c r="I12" s="276">
        <v>10286</v>
      </c>
      <c r="J12" s="276">
        <f>599.9+349.7+33+98.2+88.2+60+314.5+705.3+1121.6+30+210+1100+300</f>
        <v>5010.4</v>
      </c>
      <c r="K12" s="276">
        <v>0</v>
      </c>
      <c r="L12" s="276"/>
      <c r="M12" s="276">
        <v>0</v>
      </c>
      <c r="N12" s="276"/>
      <c r="O12" s="277"/>
      <c r="P12" s="276">
        <v>4000</v>
      </c>
      <c r="Q12" s="276">
        <v>0</v>
      </c>
      <c r="R12" s="276">
        <v>1950</v>
      </c>
      <c r="S12" s="276">
        <v>1205</v>
      </c>
      <c r="T12" s="276">
        <v>380</v>
      </c>
      <c r="U12" s="276">
        <f>23.5+25+27.5</f>
        <v>76</v>
      </c>
      <c r="V12" s="276">
        <f t="shared" si="1"/>
        <v>36286</v>
      </c>
      <c r="W12" s="276">
        <f t="shared" si="1"/>
        <v>22568.199999999997</v>
      </c>
      <c r="X12" s="276">
        <f>2000+4742.8+3900+1000+4000</f>
        <v>15642.8</v>
      </c>
      <c r="Y12" s="276">
        <f>7178.8+3950+407+500</f>
        <v>12035.8</v>
      </c>
      <c r="Z12" s="276"/>
      <c r="AA12" s="276"/>
      <c r="AB12" s="276"/>
      <c r="AC12" s="276"/>
      <c r="AD12" s="276"/>
      <c r="AE12" s="276"/>
      <c r="AF12" s="276"/>
      <c r="AG12" s="276">
        <v>-1000</v>
      </c>
      <c r="AH12" s="276">
        <v>-1077.8</v>
      </c>
      <c r="AI12" s="276">
        <v>-1500</v>
      </c>
      <c r="AJ12" s="276">
        <v>409.3</v>
      </c>
      <c r="AK12" s="276"/>
      <c r="AL12" s="276"/>
      <c r="AM12" s="276"/>
      <c r="AN12" s="276"/>
      <c r="AO12" s="276">
        <f t="shared" si="2"/>
        <v>13142.8</v>
      </c>
      <c r="AP12" s="276">
        <f t="shared" si="2"/>
        <v>11367.3</v>
      </c>
    </row>
    <row r="13" spans="1:42" s="278" customFormat="1" ht="18" customHeight="1">
      <c r="A13" s="274">
        <v>3</v>
      </c>
      <c r="B13" s="279" t="s">
        <v>817</v>
      </c>
      <c r="C13" s="276">
        <f t="shared" si="0"/>
        <v>5038.299999999999</v>
      </c>
      <c r="D13" s="276">
        <f t="shared" si="0"/>
        <v>4699.6</v>
      </c>
      <c r="E13" s="274">
        <v>3494</v>
      </c>
      <c r="F13" s="276">
        <v>3254.6</v>
      </c>
      <c r="G13" s="276">
        <v>515.4</v>
      </c>
      <c r="H13" s="276">
        <v>472</v>
      </c>
      <c r="I13" s="276">
        <v>915</v>
      </c>
      <c r="J13" s="276">
        <f>30+160+15+600+48</f>
        <v>853</v>
      </c>
      <c r="K13" s="276">
        <v>0</v>
      </c>
      <c r="L13" s="276">
        <v>0</v>
      </c>
      <c r="M13" s="276">
        <v>0</v>
      </c>
      <c r="N13" s="276">
        <v>0</v>
      </c>
      <c r="O13" s="277"/>
      <c r="P13" s="276">
        <v>0</v>
      </c>
      <c r="Q13" s="276">
        <v>0</v>
      </c>
      <c r="R13" s="276">
        <v>0</v>
      </c>
      <c r="S13" s="276">
        <v>120</v>
      </c>
      <c r="T13" s="276">
        <v>0</v>
      </c>
      <c r="U13" s="276">
        <v>0</v>
      </c>
      <c r="V13" s="276">
        <f t="shared" si="1"/>
        <v>4924.4</v>
      </c>
      <c r="W13" s="276">
        <f t="shared" si="1"/>
        <v>4699.6</v>
      </c>
      <c r="X13" s="276">
        <v>113.9</v>
      </c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>
        <f t="shared" si="2"/>
        <v>113.9</v>
      </c>
      <c r="AP13" s="276">
        <f t="shared" si="2"/>
        <v>0</v>
      </c>
    </row>
    <row r="14" spans="1:42" s="278" customFormat="1" ht="18" customHeight="1">
      <c r="A14" s="274">
        <v>4</v>
      </c>
      <c r="B14" s="279" t="s">
        <v>818</v>
      </c>
      <c r="C14" s="276">
        <f t="shared" si="0"/>
        <v>7515</v>
      </c>
      <c r="D14" s="276">
        <f t="shared" si="0"/>
        <v>4210.200000000001</v>
      </c>
      <c r="E14" s="274">
        <v>2535.5</v>
      </c>
      <c r="F14" s="276">
        <v>3054.4</v>
      </c>
      <c r="G14" s="276">
        <v>518.2</v>
      </c>
      <c r="H14" s="276">
        <v>516.6</v>
      </c>
      <c r="I14" s="276">
        <v>1856</v>
      </c>
      <c r="J14" s="276">
        <f>60+100+257.6+34.8+29+642.5+65</f>
        <v>1188.9</v>
      </c>
      <c r="K14" s="276">
        <v>0</v>
      </c>
      <c r="L14" s="276"/>
      <c r="M14" s="276">
        <v>0</v>
      </c>
      <c r="N14" s="276"/>
      <c r="O14" s="277"/>
      <c r="P14" s="276">
        <v>0</v>
      </c>
      <c r="Q14" s="276"/>
      <c r="R14" s="276">
        <v>300</v>
      </c>
      <c r="S14" s="276">
        <v>300</v>
      </c>
      <c r="T14" s="276">
        <v>0</v>
      </c>
      <c r="U14" s="276">
        <f>1.2+11</f>
        <v>12.2</v>
      </c>
      <c r="V14" s="276">
        <f t="shared" si="1"/>
        <v>5209.7</v>
      </c>
      <c r="W14" s="276">
        <f t="shared" si="1"/>
        <v>5072.1</v>
      </c>
      <c r="X14" s="276">
        <v>2305.3</v>
      </c>
      <c r="Y14" s="276">
        <v>395</v>
      </c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>
        <v>-1256.9</v>
      </c>
      <c r="AK14" s="276"/>
      <c r="AL14" s="276"/>
      <c r="AM14" s="276"/>
      <c r="AN14" s="276"/>
      <c r="AO14" s="276">
        <f t="shared" si="2"/>
        <v>2305.3</v>
      </c>
      <c r="AP14" s="276">
        <f t="shared" si="2"/>
        <v>-861.9000000000001</v>
      </c>
    </row>
    <row r="15" spans="1:42" s="278" customFormat="1" ht="18" customHeight="1">
      <c r="A15" s="274">
        <v>5</v>
      </c>
      <c r="B15" s="279" t="s">
        <v>819</v>
      </c>
      <c r="C15" s="276">
        <f t="shared" si="0"/>
        <v>7752.4</v>
      </c>
      <c r="D15" s="276">
        <f t="shared" si="0"/>
        <v>6058.1</v>
      </c>
      <c r="E15" s="274">
        <v>3976</v>
      </c>
      <c r="F15" s="274">
        <v>3976.1</v>
      </c>
      <c r="G15" s="274">
        <v>591</v>
      </c>
      <c r="H15" s="274">
        <v>591</v>
      </c>
      <c r="I15" s="276">
        <v>928</v>
      </c>
      <c r="J15" s="276">
        <f>100+18+70+600+40+66</f>
        <v>894</v>
      </c>
      <c r="K15" s="276">
        <v>0</v>
      </c>
      <c r="L15" s="276">
        <v>0</v>
      </c>
      <c r="M15" s="276">
        <v>0</v>
      </c>
      <c r="N15" s="276">
        <v>0</v>
      </c>
      <c r="O15" s="277"/>
      <c r="P15" s="276">
        <v>0</v>
      </c>
      <c r="Q15" s="276">
        <v>0</v>
      </c>
      <c r="R15" s="276">
        <v>60</v>
      </c>
      <c r="S15" s="276">
        <v>60</v>
      </c>
      <c r="T15" s="276">
        <v>0</v>
      </c>
      <c r="U15" s="276">
        <v>0</v>
      </c>
      <c r="V15" s="276">
        <f t="shared" si="1"/>
        <v>5555</v>
      </c>
      <c r="W15" s="276">
        <f t="shared" si="1"/>
        <v>5521.1</v>
      </c>
      <c r="X15" s="276">
        <v>2197.4</v>
      </c>
      <c r="Y15" s="276">
        <v>840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>
        <v>-303</v>
      </c>
      <c r="AK15" s="276"/>
      <c r="AL15" s="276"/>
      <c r="AM15" s="276"/>
      <c r="AN15" s="276"/>
      <c r="AO15" s="276">
        <f t="shared" si="2"/>
        <v>2197.4</v>
      </c>
      <c r="AP15" s="276">
        <f t="shared" si="2"/>
        <v>537</v>
      </c>
    </row>
    <row r="16" spans="1:42" s="278" customFormat="1" ht="18" customHeight="1">
      <c r="A16" s="274">
        <v>6</v>
      </c>
      <c r="B16" s="279" t="s">
        <v>820</v>
      </c>
      <c r="C16" s="276">
        <f t="shared" si="0"/>
        <v>26561.5</v>
      </c>
      <c r="D16" s="276">
        <f t="shared" si="0"/>
        <v>27192.300000000003</v>
      </c>
      <c r="E16" s="274">
        <v>13070</v>
      </c>
      <c r="F16" s="276">
        <f>12246.2+680</f>
        <v>12926.2</v>
      </c>
      <c r="G16" s="276">
        <v>2202</v>
      </c>
      <c r="H16" s="276">
        <v>2424</v>
      </c>
      <c r="I16" s="276">
        <v>8060.4</v>
      </c>
      <c r="J16" s="276">
        <f>90+1970+150+33+207+152.8+696.5+854+980+380+150+888+1050</f>
        <v>7601.3</v>
      </c>
      <c r="K16" s="276">
        <v>0</v>
      </c>
      <c r="L16" s="276"/>
      <c r="M16" s="276">
        <v>0</v>
      </c>
      <c r="N16" s="276"/>
      <c r="O16" s="277"/>
      <c r="P16" s="276">
        <v>0</v>
      </c>
      <c r="Q16" s="276">
        <v>300</v>
      </c>
      <c r="R16" s="276">
        <v>3150</v>
      </c>
      <c r="S16" s="276">
        <v>3880</v>
      </c>
      <c r="T16" s="276">
        <v>20.1</v>
      </c>
      <c r="U16" s="276">
        <v>20.1</v>
      </c>
      <c r="V16" s="276">
        <f t="shared" si="1"/>
        <v>26502.5</v>
      </c>
      <c r="W16" s="276">
        <f t="shared" si="1"/>
        <v>27151.600000000002</v>
      </c>
      <c r="X16" s="276">
        <v>3059</v>
      </c>
      <c r="Y16" s="276">
        <v>359</v>
      </c>
      <c r="Z16" s="276"/>
      <c r="AA16" s="276"/>
      <c r="AB16" s="276"/>
      <c r="AC16" s="276"/>
      <c r="AD16" s="276"/>
      <c r="AE16" s="276"/>
      <c r="AF16" s="276"/>
      <c r="AG16" s="276"/>
      <c r="AH16" s="276">
        <v>-251.9</v>
      </c>
      <c r="AI16" s="276">
        <v>-3000</v>
      </c>
      <c r="AJ16" s="276">
        <v>-66.4</v>
      </c>
      <c r="AK16" s="276"/>
      <c r="AL16" s="276"/>
      <c r="AM16" s="276">
        <v>2215.6</v>
      </c>
      <c r="AN16" s="276"/>
      <c r="AO16" s="276">
        <f t="shared" si="2"/>
        <v>2274.6</v>
      </c>
      <c r="AP16" s="276">
        <f t="shared" si="2"/>
        <v>40.69999999999999</v>
      </c>
    </row>
    <row r="17" spans="1:42" s="278" customFormat="1" ht="18" customHeight="1">
      <c r="A17" s="274">
        <v>7</v>
      </c>
      <c r="B17" s="279" t="s">
        <v>821</v>
      </c>
      <c r="C17" s="276">
        <f t="shared" si="0"/>
        <v>5726.999999999999</v>
      </c>
      <c r="D17" s="276">
        <f t="shared" si="0"/>
        <v>5148.8</v>
      </c>
      <c r="E17" s="280">
        <v>4104.4</v>
      </c>
      <c r="F17" s="279">
        <v>3922.9</v>
      </c>
      <c r="G17" s="279">
        <v>714.9</v>
      </c>
      <c r="H17" s="279">
        <v>706.8</v>
      </c>
      <c r="I17" s="280">
        <v>790</v>
      </c>
      <c r="J17" s="280">
        <f>220.7+62.9+50+17.4+25.6+82.5+60</f>
        <v>519.0999999999999</v>
      </c>
      <c r="K17" s="280">
        <v>0</v>
      </c>
      <c r="L17" s="280">
        <v>0</v>
      </c>
      <c r="M17" s="280">
        <v>0</v>
      </c>
      <c r="N17" s="280">
        <v>0</v>
      </c>
      <c r="O17" s="277"/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0</v>
      </c>
      <c r="V17" s="276">
        <f t="shared" si="1"/>
        <v>5609.299999999999</v>
      </c>
      <c r="W17" s="276">
        <f t="shared" si="1"/>
        <v>5148.8</v>
      </c>
      <c r="X17" s="280">
        <v>117.7</v>
      </c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76">
        <f t="shared" si="2"/>
        <v>117.7</v>
      </c>
      <c r="AP17" s="276">
        <f t="shared" si="2"/>
        <v>0</v>
      </c>
    </row>
    <row r="18" spans="1:42" s="278" customFormat="1" ht="18" customHeight="1">
      <c r="A18" s="274">
        <v>8</v>
      </c>
      <c r="B18" s="279" t="s">
        <v>822</v>
      </c>
      <c r="C18" s="276">
        <f t="shared" si="0"/>
        <v>7012.2</v>
      </c>
      <c r="D18" s="276">
        <f t="shared" si="0"/>
        <v>6098.799999999999</v>
      </c>
      <c r="E18" s="279">
        <v>4837</v>
      </c>
      <c r="F18" s="280">
        <v>5249.9</v>
      </c>
      <c r="G18" s="279">
        <v>985.7</v>
      </c>
      <c r="H18" s="279">
        <v>853.2</v>
      </c>
      <c r="I18" s="279">
        <v>610</v>
      </c>
      <c r="J18" s="279">
        <f>51.5+85+95+47</f>
        <v>278.5</v>
      </c>
      <c r="K18" s="279"/>
      <c r="L18" s="279"/>
      <c r="M18" s="279"/>
      <c r="N18" s="279"/>
      <c r="O18" s="277"/>
      <c r="P18" s="279"/>
      <c r="Q18" s="279"/>
      <c r="R18" s="279"/>
      <c r="S18" s="279"/>
      <c r="T18" s="279">
        <v>450</v>
      </c>
      <c r="U18" s="279"/>
      <c r="V18" s="276">
        <f t="shared" si="1"/>
        <v>6882.7</v>
      </c>
      <c r="W18" s="276">
        <f t="shared" si="1"/>
        <v>6381.599999999999</v>
      </c>
      <c r="X18" s="279">
        <v>129.5</v>
      </c>
      <c r="Y18" s="279">
        <v>128</v>
      </c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>
        <v>-410.8</v>
      </c>
      <c r="AK18" s="279"/>
      <c r="AL18" s="279"/>
      <c r="AM18" s="279"/>
      <c r="AN18" s="279"/>
      <c r="AO18" s="276">
        <f t="shared" si="2"/>
        <v>129.5</v>
      </c>
      <c r="AP18" s="276">
        <f t="shared" si="2"/>
        <v>-282.8</v>
      </c>
    </row>
    <row r="19" spans="1:42" s="278" customFormat="1" ht="18" customHeight="1">
      <c r="A19" s="274">
        <v>9</v>
      </c>
      <c r="B19" s="279" t="s">
        <v>823</v>
      </c>
      <c r="C19" s="276">
        <f t="shared" si="0"/>
        <v>20079.2</v>
      </c>
      <c r="D19" s="276">
        <f t="shared" si="0"/>
        <v>19151.8</v>
      </c>
      <c r="E19" s="279">
        <v>11540</v>
      </c>
      <c r="F19" s="279">
        <f>10940.4+450</f>
        <v>11390.4</v>
      </c>
      <c r="G19" s="279">
        <v>2909</v>
      </c>
      <c r="H19" s="279">
        <v>2644.5</v>
      </c>
      <c r="I19" s="279">
        <v>7032.9</v>
      </c>
      <c r="J19" s="279">
        <f>450+40+245.5+26+73.6+21.6+52+64.5+640+1000+210+635+265+1100</f>
        <v>4823.2</v>
      </c>
      <c r="K19" s="279">
        <v>0</v>
      </c>
      <c r="L19" s="279">
        <v>0</v>
      </c>
      <c r="M19" s="279">
        <v>0</v>
      </c>
      <c r="N19" s="279">
        <v>0</v>
      </c>
      <c r="O19" s="277"/>
      <c r="P19" s="279">
        <v>0</v>
      </c>
      <c r="Q19" s="279">
        <v>0</v>
      </c>
      <c r="R19" s="279">
        <v>500</v>
      </c>
      <c r="S19" s="279">
        <v>500</v>
      </c>
      <c r="T19" s="279">
        <v>120</v>
      </c>
      <c r="U19" s="279">
        <f>13+65.5</f>
        <v>78.5</v>
      </c>
      <c r="V19" s="276">
        <f t="shared" si="1"/>
        <v>22101.9</v>
      </c>
      <c r="W19" s="276">
        <f t="shared" si="1"/>
        <v>19436.6</v>
      </c>
      <c r="X19" s="279">
        <v>477.3</v>
      </c>
      <c r="Y19" s="279">
        <f>2472+77</f>
        <v>2549</v>
      </c>
      <c r="Z19" s="279"/>
      <c r="AA19" s="279"/>
      <c r="AB19" s="279"/>
      <c r="AC19" s="279"/>
      <c r="AD19" s="279"/>
      <c r="AE19" s="279"/>
      <c r="AF19" s="279"/>
      <c r="AG19" s="279">
        <v>-2500</v>
      </c>
      <c r="AH19" s="279">
        <v>-2833.8</v>
      </c>
      <c r="AI19" s="279"/>
      <c r="AJ19" s="279"/>
      <c r="AK19" s="279"/>
      <c r="AL19" s="279"/>
      <c r="AM19" s="279"/>
      <c r="AN19" s="279"/>
      <c r="AO19" s="276">
        <f t="shared" si="2"/>
        <v>-2022.7</v>
      </c>
      <c r="AP19" s="276">
        <f t="shared" si="2"/>
        <v>-284.8000000000002</v>
      </c>
    </row>
    <row r="20" spans="1:42" s="278" customFormat="1" ht="18" customHeight="1">
      <c r="A20" s="274">
        <v>10</v>
      </c>
      <c r="B20" s="279" t="s">
        <v>824</v>
      </c>
      <c r="C20" s="276">
        <f t="shared" si="0"/>
        <v>41864.1</v>
      </c>
      <c r="D20" s="276">
        <f t="shared" si="0"/>
        <v>40548.700000000004</v>
      </c>
      <c r="E20" s="279">
        <v>20504.1</v>
      </c>
      <c r="F20" s="281">
        <f>19116.4+914</f>
        <v>20030.4</v>
      </c>
      <c r="G20" s="279">
        <v>4085.1</v>
      </c>
      <c r="H20" s="279">
        <v>3999.3</v>
      </c>
      <c r="I20" s="279">
        <v>13211.8</v>
      </c>
      <c r="J20" s="279">
        <f>1520+84+649.2+25+68.2+65+40.8+1034.5+1153.3+1450+816.3+160+1145.3+40+3100+780</f>
        <v>12131.6</v>
      </c>
      <c r="K20" s="279">
        <v>0</v>
      </c>
      <c r="L20" s="279">
        <v>0</v>
      </c>
      <c r="M20" s="279">
        <v>0</v>
      </c>
      <c r="N20" s="279">
        <v>0</v>
      </c>
      <c r="O20" s="277"/>
      <c r="P20" s="279">
        <v>3000</v>
      </c>
      <c r="Q20" s="279">
        <v>1895</v>
      </c>
      <c r="R20" s="279">
        <v>2000</v>
      </c>
      <c r="S20" s="279">
        <v>2400</v>
      </c>
      <c r="T20" s="279">
        <v>115</v>
      </c>
      <c r="U20" s="279">
        <v>31.5</v>
      </c>
      <c r="V20" s="276">
        <f t="shared" si="1"/>
        <v>42916</v>
      </c>
      <c r="W20" s="276">
        <f t="shared" si="1"/>
        <v>40487.8</v>
      </c>
      <c r="X20" s="279">
        <f>1192.3-700</f>
        <v>492.29999999999995</v>
      </c>
      <c r="Y20" s="279">
        <f>995+250+360</f>
        <v>1605</v>
      </c>
      <c r="Z20" s="279"/>
      <c r="AA20" s="279"/>
      <c r="AB20" s="279"/>
      <c r="AC20" s="279"/>
      <c r="AD20" s="279"/>
      <c r="AE20" s="279"/>
      <c r="AF20" s="279"/>
      <c r="AG20" s="279"/>
      <c r="AH20" s="279">
        <v>-55.2</v>
      </c>
      <c r="AI20" s="279">
        <v>-1544.2</v>
      </c>
      <c r="AJ20" s="279">
        <v>-1488.9</v>
      </c>
      <c r="AK20" s="279"/>
      <c r="AL20" s="279"/>
      <c r="AM20" s="279"/>
      <c r="AN20" s="279"/>
      <c r="AO20" s="276">
        <f t="shared" si="2"/>
        <v>-1051.9</v>
      </c>
      <c r="AP20" s="276">
        <f t="shared" si="2"/>
        <v>60.899999999999864</v>
      </c>
    </row>
    <row r="21" spans="1:42" s="278" customFormat="1" ht="18" customHeight="1">
      <c r="A21" s="274">
        <v>11</v>
      </c>
      <c r="B21" s="282" t="s">
        <v>825</v>
      </c>
      <c r="C21" s="276">
        <f t="shared" si="0"/>
        <v>4363</v>
      </c>
      <c r="D21" s="276">
        <f t="shared" si="0"/>
        <v>4292</v>
      </c>
      <c r="E21" s="279">
        <v>3579</v>
      </c>
      <c r="F21" s="279">
        <v>3578</v>
      </c>
      <c r="G21" s="279">
        <v>594</v>
      </c>
      <c r="H21" s="279">
        <v>594</v>
      </c>
      <c r="I21" s="279">
        <v>190</v>
      </c>
      <c r="J21" s="279">
        <f>15+55+20+30</f>
        <v>120</v>
      </c>
      <c r="K21" s="279"/>
      <c r="L21" s="279"/>
      <c r="M21" s="279"/>
      <c r="N21" s="279"/>
      <c r="O21" s="277"/>
      <c r="P21" s="279"/>
      <c r="Q21" s="279"/>
      <c r="R21" s="279"/>
      <c r="S21" s="279"/>
      <c r="T21" s="279"/>
      <c r="U21" s="279"/>
      <c r="V21" s="276">
        <f t="shared" si="1"/>
        <v>4363</v>
      </c>
      <c r="W21" s="276">
        <f t="shared" si="1"/>
        <v>4292</v>
      </c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6">
        <f t="shared" si="2"/>
        <v>0</v>
      </c>
      <c r="AP21" s="276">
        <f t="shared" si="2"/>
        <v>0</v>
      </c>
    </row>
    <row r="22" spans="1:42" s="278" customFormat="1" ht="18" customHeight="1">
      <c r="A22" s="274">
        <v>12</v>
      </c>
      <c r="B22" s="282" t="s">
        <v>826</v>
      </c>
      <c r="C22" s="276">
        <f t="shared" si="0"/>
        <v>53263</v>
      </c>
      <c r="D22" s="276">
        <f t="shared" si="0"/>
        <v>41082.00000000001</v>
      </c>
      <c r="E22" s="279">
        <v>21840.6</v>
      </c>
      <c r="F22" s="281">
        <f>18472.7+621.6</f>
        <v>19094.3</v>
      </c>
      <c r="G22" s="281">
        <v>5006.4</v>
      </c>
      <c r="H22" s="281">
        <v>4044.4</v>
      </c>
      <c r="I22" s="279">
        <v>9210</v>
      </c>
      <c r="J22" s="280">
        <f>704.9+278.5+5.4+22+132+44.5+626+282.4+185+600+10+940+170</f>
        <v>4000.7</v>
      </c>
      <c r="K22" s="279">
        <v>0</v>
      </c>
      <c r="L22" s="279">
        <v>0</v>
      </c>
      <c r="M22" s="279">
        <v>0</v>
      </c>
      <c r="N22" s="279">
        <v>0</v>
      </c>
      <c r="O22" s="277"/>
      <c r="P22" s="279">
        <v>11775.2</v>
      </c>
      <c r="Q22" s="279">
        <v>11775.2</v>
      </c>
      <c r="R22" s="279">
        <v>3200</v>
      </c>
      <c r="S22" s="279">
        <v>3030</v>
      </c>
      <c r="T22" s="279">
        <v>120</v>
      </c>
      <c r="U22" s="279">
        <v>2.5</v>
      </c>
      <c r="V22" s="276">
        <f t="shared" si="1"/>
        <v>51152.2</v>
      </c>
      <c r="W22" s="276">
        <f t="shared" si="1"/>
        <v>41947.100000000006</v>
      </c>
      <c r="X22" s="279">
        <v>5110.8</v>
      </c>
      <c r="Y22" s="279">
        <v>1896.2</v>
      </c>
      <c r="Z22" s="279"/>
      <c r="AA22" s="279"/>
      <c r="AB22" s="279"/>
      <c r="AC22" s="279"/>
      <c r="AD22" s="279"/>
      <c r="AE22" s="279"/>
      <c r="AF22" s="279"/>
      <c r="AG22" s="279"/>
      <c r="AH22" s="279"/>
      <c r="AI22" s="279">
        <v>-3000</v>
      </c>
      <c r="AJ22" s="279">
        <v>-2761.3</v>
      </c>
      <c r="AK22" s="279"/>
      <c r="AL22" s="279"/>
      <c r="AM22" s="279"/>
      <c r="AN22" s="279"/>
      <c r="AO22" s="276">
        <f t="shared" si="2"/>
        <v>2110.8</v>
      </c>
      <c r="AP22" s="276">
        <f t="shared" si="2"/>
        <v>-865.1000000000001</v>
      </c>
    </row>
    <row r="23" spans="1:42" s="278" customFormat="1" ht="18" customHeight="1">
      <c r="A23" s="274">
        <v>13</v>
      </c>
      <c r="B23" s="282" t="s">
        <v>827</v>
      </c>
      <c r="C23" s="276">
        <f t="shared" si="0"/>
        <v>21278.4</v>
      </c>
      <c r="D23" s="276">
        <f t="shared" si="0"/>
        <v>23787.8</v>
      </c>
      <c r="E23" s="280">
        <v>11137</v>
      </c>
      <c r="F23" s="279">
        <f>9928.5+856</f>
        <v>10784.5</v>
      </c>
      <c r="G23" s="279">
        <v>2319.5</v>
      </c>
      <c r="H23" s="279">
        <v>2179.7</v>
      </c>
      <c r="I23" s="279">
        <v>6561.7</v>
      </c>
      <c r="J23" s="279">
        <f>320+400+182.5+26+13.2+22+38.2+714.5+1792+2772.7+40+199.9+1000+550+774</f>
        <v>8845</v>
      </c>
      <c r="K23" s="279">
        <v>0</v>
      </c>
      <c r="L23" s="279">
        <v>0</v>
      </c>
      <c r="M23" s="279">
        <v>0</v>
      </c>
      <c r="N23" s="279">
        <v>0</v>
      </c>
      <c r="O23" s="277"/>
      <c r="P23" s="279"/>
      <c r="Q23" s="279">
        <v>0</v>
      </c>
      <c r="R23" s="279">
        <v>500</v>
      </c>
      <c r="S23" s="279">
        <v>1200</v>
      </c>
      <c r="T23" s="279"/>
      <c r="U23" s="279">
        <f>15.9+2.5</f>
        <v>18.4</v>
      </c>
      <c r="V23" s="276">
        <f t="shared" si="1"/>
        <v>20518.2</v>
      </c>
      <c r="W23" s="276">
        <f t="shared" si="1"/>
        <v>23027.6</v>
      </c>
      <c r="X23" s="279">
        <v>760.2</v>
      </c>
      <c r="Y23" s="279">
        <f>500.2+50+210</f>
        <v>760.2</v>
      </c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6">
        <f t="shared" si="2"/>
        <v>760.2</v>
      </c>
      <c r="AP23" s="276">
        <f t="shared" si="2"/>
        <v>760.2</v>
      </c>
    </row>
    <row r="24" spans="1:42" s="278" customFormat="1" ht="18" customHeight="1">
      <c r="A24" s="274">
        <v>14</v>
      </c>
      <c r="B24" s="283" t="s">
        <v>828</v>
      </c>
      <c r="C24" s="276">
        <f t="shared" si="0"/>
        <v>7682.4</v>
      </c>
      <c r="D24" s="276">
        <f t="shared" si="0"/>
        <v>6641</v>
      </c>
      <c r="E24" s="279">
        <v>3682</v>
      </c>
      <c r="F24" s="279">
        <v>3610.4</v>
      </c>
      <c r="G24" s="279">
        <v>900</v>
      </c>
      <c r="H24" s="279">
        <v>911.2</v>
      </c>
      <c r="I24" s="279">
        <f>3012-300</f>
        <v>2712</v>
      </c>
      <c r="J24" s="280">
        <f>119.1+142.1+101.4+10+629.7+224.1+45+141.7+240+48.4+129</f>
        <v>1830.5000000000002</v>
      </c>
      <c r="K24" s="279">
        <v>0</v>
      </c>
      <c r="L24" s="279">
        <v>0</v>
      </c>
      <c r="M24" s="279">
        <v>0</v>
      </c>
      <c r="N24" s="279">
        <v>0</v>
      </c>
      <c r="O24" s="277"/>
      <c r="P24" s="279">
        <v>0</v>
      </c>
      <c r="Q24" s="279">
        <v>0</v>
      </c>
      <c r="R24" s="279">
        <v>200</v>
      </c>
      <c r="S24" s="279">
        <v>200</v>
      </c>
      <c r="T24" s="279">
        <v>100</v>
      </c>
      <c r="U24" s="279">
        <f>4.8+50</f>
        <v>54.8</v>
      </c>
      <c r="V24" s="276">
        <f t="shared" si="1"/>
        <v>7594</v>
      </c>
      <c r="W24" s="276">
        <f t="shared" si="1"/>
        <v>6606.9</v>
      </c>
      <c r="X24" s="279">
        <v>88.4</v>
      </c>
      <c r="Y24" s="279">
        <v>88</v>
      </c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>
        <v>-53.9</v>
      </c>
      <c r="AK24" s="279"/>
      <c r="AL24" s="279"/>
      <c r="AM24" s="279"/>
      <c r="AN24" s="279"/>
      <c r="AO24" s="276">
        <f t="shared" si="2"/>
        <v>88.4</v>
      </c>
      <c r="AP24" s="276">
        <f t="shared" si="2"/>
        <v>34.1</v>
      </c>
    </row>
    <row r="25" spans="1:42" s="278" customFormat="1" ht="18" customHeight="1">
      <c r="A25" s="274">
        <v>15</v>
      </c>
      <c r="B25" s="279" t="s">
        <v>829</v>
      </c>
      <c r="C25" s="276">
        <f t="shared" si="0"/>
        <v>5490.4</v>
      </c>
      <c r="D25" s="276">
        <f t="shared" si="0"/>
        <v>5154</v>
      </c>
      <c r="E25" s="279">
        <v>3583.4</v>
      </c>
      <c r="F25" s="279">
        <f>3500.1+145</f>
        <v>3645.1</v>
      </c>
      <c r="G25" s="279">
        <v>684</v>
      </c>
      <c r="H25" s="279">
        <v>452.7</v>
      </c>
      <c r="I25" s="279">
        <v>1223</v>
      </c>
      <c r="J25" s="279">
        <f>60+43+22.2+60+600+120+120+28</f>
        <v>1053.2</v>
      </c>
      <c r="K25" s="279"/>
      <c r="L25" s="279"/>
      <c r="M25" s="279"/>
      <c r="N25" s="279"/>
      <c r="O25" s="277"/>
      <c r="P25" s="279"/>
      <c r="Q25" s="279"/>
      <c r="R25" s="279"/>
      <c r="S25" s="279"/>
      <c r="T25" s="279"/>
      <c r="U25" s="279">
        <v>3</v>
      </c>
      <c r="V25" s="276">
        <f t="shared" si="1"/>
        <v>5490.4</v>
      </c>
      <c r="W25" s="276">
        <f t="shared" si="1"/>
        <v>5154</v>
      </c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6">
        <f t="shared" si="2"/>
        <v>0</v>
      </c>
      <c r="AP25" s="276">
        <f t="shared" si="2"/>
        <v>0</v>
      </c>
    </row>
    <row r="26" spans="1:42" s="278" customFormat="1" ht="18" customHeight="1">
      <c r="A26" s="274">
        <v>16</v>
      </c>
      <c r="B26" s="279" t="s">
        <v>830</v>
      </c>
      <c r="C26" s="276">
        <f t="shared" si="0"/>
        <v>157056.09999999998</v>
      </c>
      <c r="D26" s="276">
        <f t="shared" si="0"/>
        <v>141726.6</v>
      </c>
      <c r="E26" s="279">
        <v>42133.2</v>
      </c>
      <c r="F26" s="279">
        <f>37669.5+519.7</f>
        <v>38189.2</v>
      </c>
      <c r="G26" s="279">
        <f>12905-4268.6</f>
        <v>8636.4</v>
      </c>
      <c r="H26" s="279">
        <v>8558.5</v>
      </c>
      <c r="I26" s="279">
        <v>41062.9</v>
      </c>
      <c r="J26" s="279">
        <f>30+3047.4+154.5+1027.6+48+1296.4+93+88.2+27878.2+1438.3+78.1+585+74+270+200</f>
        <v>36308.700000000004</v>
      </c>
      <c r="K26" s="279"/>
      <c r="L26" s="279"/>
      <c r="M26" s="279">
        <v>31119</v>
      </c>
      <c r="N26" s="279">
        <v>28985.5</v>
      </c>
      <c r="O26" s="277"/>
      <c r="P26" s="279"/>
      <c r="Q26" s="279"/>
      <c r="R26" s="279">
        <f>2940+2374.9</f>
        <v>5314.9</v>
      </c>
      <c r="S26" s="279">
        <v>2087</v>
      </c>
      <c r="T26" s="279">
        <v>35</v>
      </c>
      <c r="U26" s="279">
        <v>35</v>
      </c>
      <c r="V26" s="276">
        <f t="shared" si="1"/>
        <v>128301.4</v>
      </c>
      <c r="W26" s="276">
        <f t="shared" si="1"/>
        <v>114163.90000000001</v>
      </c>
      <c r="X26" s="279">
        <f>31730.8+7118.9</f>
        <v>38849.7</v>
      </c>
      <c r="Y26" s="279">
        <f>17380+21261.6</f>
        <v>38641.6</v>
      </c>
      <c r="Z26" s="279">
        <f>+Y26-AB26</f>
        <v>32652.399999999998</v>
      </c>
      <c r="AA26" s="279">
        <v>5989.2</v>
      </c>
      <c r="AB26" s="279">
        <v>5989.2</v>
      </c>
      <c r="AC26" s="279"/>
      <c r="AD26" s="279"/>
      <c r="AE26" s="279"/>
      <c r="AF26" s="279"/>
      <c r="AG26" s="279"/>
      <c r="AH26" s="279">
        <v>-139.6</v>
      </c>
      <c r="AI26" s="279">
        <v>-10095</v>
      </c>
      <c r="AJ26" s="279">
        <v>-10939.3</v>
      </c>
      <c r="AK26" s="279"/>
      <c r="AL26" s="279"/>
      <c r="AM26" s="279"/>
      <c r="AN26" s="279"/>
      <c r="AO26" s="276">
        <f t="shared" si="2"/>
        <v>28754.699999999997</v>
      </c>
      <c r="AP26" s="276">
        <f t="shared" si="2"/>
        <v>27562.699999999997</v>
      </c>
    </row>
    <row r="27" spans="1:42" s="278" customFormat="1" ht="17.25" customHeight="1">
      <c r="A27" s="274">
        <v>17</v>
      </c>
      <c r="B27" s="279" t="s">
        <v>831</v>
      </c>
      <c r="C27" s="276">
        <f t="shared" si="0"/>
        <v>44661.5</v>
      </c>
      <c r="D27" s="276">
        <f t="shared" si="0"/>
        <v>10457.1</v>
      </c>
      <c r="E27" s="279">
        <v>10161.8</v>
      </c>
      <c r="F27" s="279">
        <v>6895.8</v>
      </c>
      <c r="G27" s="279">
        <v>2360</v>
      </c>
      <c r="H27" s="279">
        <v>1665.6</v>
      </c>
      <c r="I27" s="279">
        <v>5448.3</v>
      </c>
      <c r="J27" s="279">
        <f>217.7+189.1+60+600+150+600</f>
        <v>1816.8</v>
      </c>
      <c r="K27" s="279"/>
      <c r="L27" s="279"/>
      <c r="M27" s="279"/>
      <c r="N27" s="279"/>
      <c r="O27" s="277"/>
      <c r="P27" s="279"/>
      <c r="Q27" s="279"/>
      <c r="R27" s="279">
        <v>450</v>
      </c>
      <c r="S27" s="279">
        <v>200</v>
      </c>
      <c r="T27" s="279"/>
      <c r="U27" s="279"/>
      <c r="V27" s="276">
        <f t="shared" si="1"/>
        <v>18420.1</v>
      </c>
      <c r="W27" s="276">
        <f t="shared" si="1"/>
        <v>10578.2</v>
      </c>
      <c r="X27" s="279">
        <v>41297.7</v>
      </c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>
        <f>-15056.3</f>
        <v>-15056.3</v>
      </c>
      <c r="AJ27" s="279">
        <v>-121.1</v>
      </c>
      <c r="AK27" s="279"/>
      <c r="AL27" s="279"/>
      <c r="AM27" s="279">
        <v>4728</v>
      </c>
      <c r="AN27" s="279"/>
      <c r="AO27" s="276">
        <f t="shared" si="2"/>
        <v>30969.399999999998</v>
      </c>
      <c r="AP27" s="276">
        <f t="shared" si="2"/>
        <v>-121.1</v>
      </c>
    </row>
    <row r="28" spans="1:42" s="278" customFormat="1" ht="18" customHeight="1">
      <c r="A28" s="274">
        <v>18</v>
      </c>
      <c r="B28" s="279" t="s">
        <v>832</v>
      </c>
      <c r="C28" s="276">
        <f t="shared" si="0"/>
        <v>20983.5</v>
      </c>
      <c r="D28" s="276">
        <f t="shared" si="0"/>
        <v>18438.1</v>
      </c>
      <c r="E28" s="279">
        <v>10756.5</v>
      </c>
      <c r="F28" s="279">
        <f>10303.3+365</f>
        <v>10668.3</v>
      </c>
      <c r="G28" s="279">
        <v>2457</v>
      </c>
      <c r="H28" s="279">
        <v>2407</v>
      </c>
      <c r="I28" s="279">
        <v>5748.1</v>
      </c>
      <c r="J28" s="279">
        <f>215.6+92+96.6+66.6+60+100+14.5+738.8+326.6+101+600+676.7+755</f>
        <v>3843.3999999999996</v>
      </c>
      <c r="K28" s="279">
        <v>0</v>
      </c>
      <c r="L28" s="279">
        <v>0</v>
      </c>
      <c r="M28" s="279">
        <v>0</v>
      </c>
      <c r="N28" s="279">
        <v>0</v>
      </c>
      <c r="O28" s="277"/>
      <c r="P28" s="279">
        <v>0</v>
      </c>
      <c r="Q28" s="279">
        <v>0</v>
      </c>
      <c r="R28" s="279">
        <v>700</v>
      </c>
      <c r="S28" s="279">
        <v>630</v>
      </c>
      <c r="T28" s="279">
        <v>168</v>
      </c>
      <c r="U28" s="279">
        <v>112.5</v>
      </c>
      <c r="V28" s="276">
        <f t="shared" si="1"/>
        <v>19829.6</v>
      </c>
      <c r="W28" s="276">
        <f t="shared" si="1"/>
        <v>17661.199999999997</v>
      </c>
      <c r="X28" s="279">
        <v>1153.9</v>
      </c>
      <c r="Y28" s="279">
        <f>653.9+140</f>
        <v>793.9</v>
      </c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>
        <v>-17</v>
      </c>
      <c r="AK28" s="279"/>
      <c r="AL28" s="279"/>
      <c r="AM28" s="279"/>
      <c r="AN28" s="279"/>
      <c r="AO28" s="276">
        <f t="shared" si="2"/>
        <v>1153.9</v>
      </c>
      <c r="AP28" s="276">
        <f t="shared" si="2"/>
        <v>776.9</v>
      </c>
    </row>
    <row r="29" spans="1:42" s="278" customFormat="1" ht="18" customHeight="1">
      <c r="A29" s="274">
        <v>19</v>
      </c>
      <c r="B29" s="279" t="s">
        <v>833</v>
      </c>
      <c r="C29" s="276">
        <f t="shared" si="0"/>
        <v>16177.5</v>
      </c>
      <c r="D29" s="276">
        <f t="shared" si="0"/>
        <v>16963.1</v>
      </c>
      <c r="E29" s="279">
        <v>9163</v>
      </c>
      <c r="F29" s="279">
        <f>8365.4+503</f>
        <v>8868.4</v>
      </c>
      <c r="G29" s="279">
        <v>1921</v>
      </c>
      <c r="H29" s="279">
        <v>1794.2</v>
      </c>
      <c r="I29" s="279">
        <v>3427.2</v>
      </c>
      <c r="J29" s="279">
        <f>200+120+33+291+40+61.6+39.2+74.5+823+125+238+485+50+99</f>
        <v>2679.3</v>
      </c>
      <c r="K29" s="279">
        <v>0</v>
      </c>
      <c r="L29" s="279">
        <v>0</v>
      </c>
      <c r="M29" s="279">
        <v>0</v>
      </c>
      <c r="N29" s="279">
        <v>0</v>
      </c>
      <c r="O29" s="277"/>
      <c r="P29" s="279">
        <v>0</v>
      </c>
      <c r="Q29" s="279">
        <v>0</v>
      </c>
      <c r="R29" s="279">
        <v>250</v>
      </c>
      <c r="S29" s="279">
        <v>250</v>
      </c>
      <c r="T29" s="279">
        <v>62</v>
      </c>
      <c r="U29" s="279">
        <f>25.5</f>
        <v>25.5</v>
      </c>
      <c r="V29" s="276">
        <f t="shared" si="1"/>
        <v>14823.2</v>
      </c>
      <c r="W29" s="276">
        <f t="shared" si="1"/>
        <v>13617.4</v>
      </c>
      <c r="X29" s="279">
        <v>3654.3</v>
      </c>
      <c r="Y29" s="279">
        <v>4300</v>
      </c>
      <c r="Z29" s="279"/>
      <c r="AA29" s="279"/>
      <c r="AB29" s="279"/>
      <c r="AC29" s="279"/>
      <c r="AD29" s="279"/>
      <c r="AE29" s="279"/>
      <c r="AF29" s="279"/>
      <c r="AG29" s="279"/>
      <c r="AH29" s="279">
        <v>-883.3</v>
      </c>
      <c r="AI29" s="279">
        <v>-1000</v>
      </c>
      <c r="AJ29" s="279">
        <v>-71</v>
      </c>
      <c r="AK29" s="279"/>
      <c r="AL29" s="279"/>
      <c r="AM29" s="279">
        <v>1300</v>
      </c>
      <c r="AN29" s="279"/>
      <c r="AO29" s="276">
        <f>AM29+AK29+AI29+AG29+AE29+AC29+X29-AM29</f>
        <v>2654.3</v>
      </c>
      <c r="AP29" s="276">
        <f t="shared" si="2"/>
        <v>3345.7</v>
      </c>
    </row>
    <row r="30" spans="1:42" s="278" customFormat="1" ht="18" customHeight="1">
      <c r="A30" s="274">
        <v>20</v>
      </c>
      <c r="B30" s="279" t="s">
        <v>834</v>
      </c>
      <c r="C30" s="276">
        <f t="shared" si="0"/>
        <v>6817.099999999999</v>
      </c>
      <c r="D30" s="276">
        <f t="shared" si="0"/>
        <v>5784.4</v>
      </c>
      <c r="E30" s="279">
        <v>2950</v>
      </c>
      <c r="F30" s="279">
        <f>2562.5+190</f>
        <v>2752.5</v>
      </c>
      <c r="G30" s="279">
        <v>842</v>
      </c>
      <c r="H30" s="279">
        <v>842.2</v>
      </c>
      <c r="I30" s="279">
        <f>2387.2+50</f>
        <v>2437.2</v>
      </c>
      <c r="J30" s="279">
        <f>15+80+33+4.8+14.5+650+120+36+580+66</f>
        <v>1599.3</v>
      </c>
      <c r="K30" s="279">
        <v>0</v>
      </c>
      <c r="L30" s="279">
        <v>0</v>
      </c>
      <c r="M30" s="279">
        <v>0</v>
      </c>
      <c r="N30" s="279">
        <v>0</v>
      </c>
      <c r="O30" s="277"/>
      <c r="P30" s="279">
        <v>0</v>
      </c>
      <c r="Q30" s="279">
        <v>0</v>
      </c>
      <c r="R30" s="279">
        <v>60</v>
      </c>
      <c r="S30" s="279">
        <v>60</v>
      </c>
      <c r="T30" s="279">
        <v>0</v>
      </c>
      <c r="U30" s="279">
        <v>2.5</v>
      </c>
      <c r="V30" s="276">
        <f t="shared" si="1"/>
        <v>6289.2</v>
      </c>
      <c r="W30" s="276">
        <f t="shared" si="1"/>
        <v>5256.5</v>
      </c>
      <c r="X30" s="279">
        <v>527.9</v>
      </c>
      <c r="Y30" s="279">
        <v>527.9</v>
      </c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6">
        <f t="shared" si="2"/>
        <v>527.9</v>
      </c>
      <c r="AP30" s="276">
        <f t="shared" si="2"/>
        <v>527.9</v>
      </c>
    </row>
    <row r="31" spans="1:42" s="278" customFormat="1" ht="18" customHeight="1">
      <c r="A31" s="274">
        <v>21</v>
      </c>
      <c r="B31" s="279" t="s">
        <v>835</v>
      </c>
      <c r="C31" s="276">
        <f t="shared" si="0"/>
        <v>25578.5</v>
      </c>
      <c r="D31" s="276">
        <f t="shared" si="0"/>
        <v>22925.9</v>
      </c>
      <c r="E31" s="279">
        <f>9900+825</f>
        <v>10725</v>
      </c>
      <c r="F31" s="279">
        <f>9972.6+1510</f>
        <v>11482.6</v>
      </c>
      <c r="G31" s="279">
        <v>2294</v>
      </c>
      <c r="H31" s="279">
        <v>2201.7</v>
      </c>
      <c r="I31" s="279">
        <v>8340</v>
      </c>
      <c r="J31" s="279">
        <f>335+600+265+125+14.5+647.5+1095.5+200+200+1500+100+850</f>
        <v>5932.5</v>
      </c>
      <c r="K31" s="279">
        <v>0</v>
      </c>
      <c r="L31" s="279">
        <v>0</v>
      </c>
      <c r="M31" s="279">
        <v>0</v>
      </c>
      <c r="N31" s="279">
        <v>0</v>
      </c>
      <c r="O31" s="277"/>
      <c r="P31" s="279">
        <v>0</v>
      </c>
      <c r="Q31" s="279">
        <v>0</v>
      </c>
      <c r="R31" s="279">
        <v>2537.9</v>
      </c>
      <c r="S31" s="279">
        <v>2215</v>
      </c>
      <c r="T31" s="279">
        <v>20</v>
      </c>
      <c r="U31" s="279">
        <v>2.5</v>
      </c>
      <c r="V31" s="276">
        <f t="shared" si="1"/>
        <v>23916.9</v>
      </c>
      <c r="W31" s="276">
        <f t="shared" si="1"/>
        <v>21834.300000000003</v>
      </c>
      <c r="X31" s="279">
        <v>1661.6</v>
      </c>
      <c r="Y31" s="279">
        <f>500+361.6+230</f>
        <v>1091.6</v>
      </c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6">
        <f t="shared" si="2"/>
        <v>1661.6</v>
      </c>
      <c r="AP31" s="276">
        <f t="shared" si="2"/>
        <v>1091.6</v>
      </c>
    </row>
    <row r="32" spans="1:42" s="278" customFormat="1" ht="18" customHeight="1">
      <c r="A32" s="274">
        <v>22</v>
      </c>
      <c r="B32" s="279" t="s">
        <v>836</v>
      </c>
      <c r="C32" s="276">
        <f t="shared" si="0"/>
        <v>10060</v>
      </c>
      <c r="D32" s="276">
        <f t="shared" si="0"/>
        <v>8277.5</v>
      </c>
      <c r="E32" s="279">
        <v>5890</v>
      </c>
      <c r="F32" s="279">
        <f>5470.6+365</f>
        <v>5835.6</v>
      </c>
      <c r="G32" s="279">
        <v>1230</v>
      </c>
      <c r="H32" s="279">
        <v>1140.1</v>
      </c>
      <c r="I32" s="279">
        <v>1515</v>
      </c>
      <c r="J32" s="279">
        <f>40+90+73.8+10+43.3+29.7+80+150+85+225</f>
        <v>826.8</v>
      </c>
      <c r="K32" s="279">
        <v>0</v>
      </c>
      <c r="L32" s="279">
        <v>0</v>
      </c>
      <c r="M32" s="279">
        <v>0</v>
      </c>
      <c r="N32" s="279">
        <v>0</v>
      </c>
      <c r="O32" s="277"/>
      <c r="P32" s="279">
        <v>0</v>
      </c>
      <c r="Q32" s="279">
        <v>0</v>
      </c>
      <c r="R32" s="279">
        <v>0</v>
      </c>
      <c r="S32" s="279">
        <v>0</v>
      </c>
      <c r="T32" s="279">
        <v>50</v>
      </c>
      <c r="U32" s="279"/>
      <c r="V32" s="276">
        <f t="shared" si="1"/>
        <v>8685</v>
      </c>
      <c r="W32" s="276">
        <f t="shared" si="1"/>
        <v>7802.5</v>
      </c>
      <c r="X32" s="279">
        <v>1375</v>
      </c>
      <c r="Y32" s="279">
        <v>475</v>
      </c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6">
        <f t="shared" si="2"/>
        <v>1375</v>
      </c>
      <c r="AP32" s="276">
        <f t="shared" si="2"/>
        <v>475</v>
      </c>
    </row>
    <row r="33" spans="1:42" s="278" customFormat="1" ht="18" customHeight="1">
      <c r="A33" s="274">
        <v>23</v>
      </c>
      <c r="B33" s="279" t="s">
        <v>837</v>
      </c>
      <c r="C33" s="276">
        <f t="shared" si="0"/>
        <v>18119.1</v>
      </c>
      <c r="D33" s="276">
        <f t="shared" si="0"/>
        <v>15365.699999999999</v>
      </c>
      <c r="E33" s="279">
        <v>9345</v>
      </c>
      <c r="F33" s="279">
        <f>8147.9+549</f>
        <v>8696.9</v>
      </c>
      <c r="G33" s="279">
        <v>1960</v>
      </c>
      <c r="H33" s="279">
        <v>1731.3</v>
      </c>
      <c r="I33" s="279">
        <v>5103</v>
      </c>
      <c r="J33" s="279">
        <f>300+120+150+85+43+60+600+800+100+100+1100+50+250</f>
        <v>3758</v>
      </c>
      <c r="K33" s="279">
        <v>0</v>
      </c>
      <c r="L33" s="279">
        <v>0</v>
      </c>
      <c r="M33" s="279">
        <v>0</v>
      </c>
      <c r="N33" s="279">
        <v>0</v>
      </c>
      <c r="O33" s="277"/>
      <c r="P33" s="279">
        <v>0</v>
      </c>
      <c r="Q33" s="279">
        <v>0</v>
      </c>
      <c r="R33" s="279">
        <v>1048.8</v>
      </c>
      <c r="S33" s="279">
        <v>1048.8</v>
      </c>
      <c r="T33" s="279">
        <v>520</v>
      </c>
      <c r="U33" s="279">
        <v>185.4</v>
      </c>
      <c r="V33" s="276">
        <f t="shared" si="1"/>
        <v>17976.8</v>
      </c>
      <c r="W33" s="276">
        <f t="shared" si="1"/>
        <v>15420.4</v>
      </c>
      <c r="X33" s="279">
        <v>142.3</v>
      </c>
      <c r="Y33" s="279"/>
      <c r="Z33" s="279"/>
      <c r="AA33" s="279"/>
      <c r="AB33" s="279"/>
      <c r="AC33" s="279"/>
      <c r="AD33" s="279"/>
      <c r="AE33" s="279"/>
      <c r="AF33" s="279"/>
      <c r="AG33" s="279"/>
      <c r="AH33" s="279">
        <v>-54.7</v>
      </c>
      <c r="AI33" s="279"/>
      <c r="AJ33" s="279"/>
      <c r="AK33" s="279"/>
      <c r="AL33" s="279"/>
      <c r="AM33" s="279"/>
      <c r="AN33" s="279"/>
      <c r="AO33" s="276">
        <f t="shared" si="2"/>
        <v>142.3</v>
      </c>
      <c r="AP33" s="276">
        <f t="shared" si="2"/>
        <v>-54.7</v>
      </c>
    </row>
    <row r="34" spans="1:42" s="278" customFormat="1" ht="18" customHeight="1" thickBot="1">
      <c r="A34" s="274">
        <v>24</v>
      </c>
      <c r="B34" s="279" t="s">
        <v>838</v>
      </c>
      <c r="C34" s="276">
        <f t="shared" si="0"/>
        <v>78377.2</v>
      </c>
      <c r="D34" s="276">
        <f t="shared" si="0"/>
        <v>78359.7</v>
      </c>
      <c r="E34" s="279">
        <f>25764.2-7560.9+5768.5+221.2</f>
        <v>24193.000000000004</v>
      </c>
      <c r="F34" s="279">
        <v>23971.8</v>
      </c>
      <c r="G34" s="279">
        <v>5980</v>
      </c>
      <c r="H34" s="279">
        <v>5403.6</v>
      </c>
      <c r="I34" s="279">
        <v>45826.2</v>
      </c>
      <c r="J34" s="279">
        <f>909.9+1500+508.4+33.2+100.8+100+159.2+750+684+2990.1+7100+4300+7303.4+13773.2</f>
        <v>40212.2</v>
      </c>
      <c r="K34" s="279">
        <v>0</v>
      </c>
      <c r="L34" s="279">
        <v>0</v>
      </c>
      <c r="M34" s="279">
        <v>0</v>
      </c>
      <c r="N34" s="279">
        <v>0</v>
      </c>
      <c r="O34" s="277"/>
      <c r="P34" s="279">
        <v>0</v>
      </c>
      <c r="Q34" s="279">
        <v>0</v>
      </c>
      <c r="R34" s="279">
        <v>250</v>
      </c>
      <c r="S34" s="279">
        <v>250</v>
      </c>
      <c r="T34" s="279">
        <v>1990</v>
      </c>
      <c r="U34" s="279">
        <f>50+40+1900</f>
        <v>1990</v>
      </c>
      <c r="V34" s="276">
        <f t="shared" si="1"/>
        <v>78239.2</v>
      </c>
      <c r="W34" s="276">
        <f t="shared" si="1"/>
        <v>71827.59999999999</v>
      </c>
      <c r="X34" s="279">
        <v>338</v>
      </c>
      <c r="Y34" s="279">
        <f>70.6+8000+260</f>
        <v>8330.6</v>
      </c>
      <c r="Z34" s="279"/>
      <c r="AA34" s="279"/>
      <c r="AB34" s="279"/>
      <c r="AC34" s="279"/>
      <c r="AD34" s="279"/>
      <c r="AE34" s="279"/>
      <c r="AF34" s="279"/>
      <c r="AG34" s="279"/>
      <c r="AH34" s="279"/>
      <c r="AI34" s="279">
        <v>-200</v>
      </c>
      <c r="AJ34" s="279">
        <f>-298.5-1500</f>
        <v>-1798.5</v>
      </c>
      <c r="AK34" s="279"/>
      <c r="AL34" s="279"/>
      <c r="AM34" s="279">
        <v>8000</v>
      </c>
      <c r="AN34" s="279"/>
      <c r="AO34" s="276">
        <f t="shared" si="2"/>
        <v>8138</v>
      </c>
      <c r="AP34" s="276">
        <f t="shared" si="2"/>
        <v>6532.1</v>
      </c>
    </row>
    <row r="35" spans="1:42" s="278" customFormat="1" ht="18" customHeight="1" thickBot="1">
      <c r="A35" s="274">
        <v>25</v>
      </c>
      <c r="B35" s="279" t="s">
        <v>839</v>
      </c>
      <c r="C35" s="276">
        <f t="shared" si="0"/>
        <v>16749</v>
      </c>
      <c r="D35" s="276">
        <f t="shared" si="0"/>
        <v>14815.7</v>
      </c>
      <c r="E35" s="279">
        <v>8081.1</v>
      </c>
      <c r="F35" s="279">
        <f>6903.6+1140</f>
        <v>8043.6</v>
      </c>
      <c r="G35" s="279">
        <v>1459.3</v>
      </c>
      <c r="H35" s="279">
        <v>1386.4</v>
      </c>
      <c r="I35" s="284">
        <v>4912.9</v>
      </c>
      <c r="J35" s="279">
        <f>145.7+600+249.5+299.9+44+91.6+113.5+600+1500+20+250+273</f>
        <v>4187.2</v>
      </c>
      <c r="K35" s="279">
        <v>0</v>
      </c>
      <c r="L35" s="279">
        <v>0</v>
      </c>
      <c r="M35" s="279">
        <v>0</v>
      </c>
      <c r="N35" s="279">
        <v>0</v>
      </c>
      <c r="O35" s="277"/>
      <c r="P35" s="279">
        <v>0</v>
      </c>
      <c r="Q35" s="279">
        <v>0</v>
      </c>
      <c r="R35" s="279">
        <v>1210</v>
      </c>
      <c r="S35" s="279">
        <v>1455</v>
      </c>
      <c r="T35" s="279">
        <v>50</v>
      </c>
      <c r="U35" s="279"/>
      <c r="V35" s="276">
        <f t="shared" si="1"/>
        <v>15713.3</v>
      </c>
      <c r="W35" s="276">
        <f t="shared" si="1"/>
        <v>15072.2</v>
      </c>
      <c r="X35" s="279">
        <v>1035.7</v>
      </c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>
        <v>-256.5</v>
      </c>
      <c r="AK35" s="279"/>
      <c r="AL35" s="279"/>
      <c r="AM35" s="279"/>
      <c r="AN35" s="279"/>
      <c r="AO35" s="276">
        <f t="shared" si="2"/>
        <v>1035.7</v>
      </c>
      <c r="AP35" s="276">
        <f t="shared" si="2"/>
        <v>-256.5</v>
      </c>
    </row>
    <row r="36" spans="1:42" s="278" customFormat="1" ht="18" customHeight="1">
      <c r="A36" s="274">
        <v>26</v>
      </c>
      <c r="B36" s="279" t="s">
        <v>840</v>
      </c>
      <c r="C36" s="276">
        <f t="shared" si="0"/>
        <v>14177.099999999999</v>
      </c>
      <c r="D36" s="276">
        <f t="shared" si="0"/>
        <v>13550.099999999999</v>
      </c>
      <c r="E36" s="279">
        <v>8679</v>
      </c>
      <c r="F36" s="279">
        <f>8040+600</f>
        <v>8640</v>
      </c>
      <c r="G36" s="279">
        <v>2304.3</v>
      </c>
      <c r="H36" s="279">
        <v>1970.8</v>
      </c>
      <c r="I36" s="279">
        <v>2314</v>
      </c>
      <c r="J36" s="279">
        <f>150+100+250+30+20+630+600+40+334+600+150</f>
        <v>2904</v>
      </c>
      <c r="K36" s="279">
        <v>0</v>
      </c>
      <c r="L36" s="279">
        <v>0</v>
      </c>
      <c r="M36" s="279">
        <v>0</v>
      </c>
      <c r="N36" s="279">
        <v>0</v>
      </c>
      <c r="O36" s="277"/>
      <c r="P36" s="279">
        <v>0</v>
      </c>
      <c r="Q36" s="279">
        <v>0</v>
      </c>
      <c r="R36" s="279">
        <v>100</v>
      </c>
      <c r="S36" s="279">
        <v>100</v>
      </c>
      <c r="T36" s="279">
        <v>600</v>
      </c>
      <c r="U36" s="279"/>
      <c r="V36" s="276">
        <f t="shared" si="1"/>
        <v>13997.3</v>
      </c>
      <c r="W36" s="276">
        <f t="shared" si="1"/>
        <v>13614.8</v>
      </c>
      <c r="X36" s="279">
        <v>179.8</v>
      </c>
      <c r="Y36" s="279">
        <v>36</v>
      </c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>
        <v>-100.7</v>
      </c>
      <c r="AK36" s="279"/>
      <c r="AL36" s="279"/>
      <c r="AM36" s="279"/>
      <c r="AN36" s="279"/>
      <c r="AO36" s="276">
        <f t="shared" si="2"/>
        <v>179.8</v>
      </c>
      <c r="AP36" s="276">
        <f t="shared" si="2"/>
        <v>-64.7</v>
      </c>
    </row>
    <row r="37" spans="1:42" s="278" customFormat="1" ht="18" customHeight="1">
      <c r="A37" s="274">
        <v>27</v>
      </c>
      <c r="B37" s="285" t="s">
        <v>841</v>
      </c>
      <c r="C37" s="276">
        <f t="shared" si="0"/>
        <v>9073.7</v>
      </c>
      <c r="D37" s="276">
        <f t="shared" si="0"/>
        <v>8753.3</v>
      </c>
      <c r="E37" s="279">
        <v>4455.4</v>
      </c>
      <c r="F37" s="279">
        <v>4428.2</v>
      </c>
      <c r="G37" s="279">
        <v>1677.3</v>
      </c>
      <c r="H37" s="279">
        <v>1442.3</v>
      </c>
      <c r="I37" s="279">
        <v>1485</v>
      </c>
      <c r="J37" s="279">
        <f>39.1+50+199.8+20+23.9+60+629+90+30+290</f>
        <v>1431.8</v>
      </c>
      <c r="K37" s="279"/>
      <c r="L37" s="279"/>
      <c r="M37" s="279"/>
      <c r="N37" s="279"/>
      <c r="O37" s="277"/>
      <c r="P37" s="279"/>
      <c r="Q37" s="279"/>
      <c r="R37" s="279"/>
      <c r="S37" s="279"/>
      <c r="T37" s="279"/>
      <c r="U37" s="279">
        <v>1</v>
      </c>
      <c r="V37" s="276">
        <f t="shared" si="1"/>
        <v>7617.7</v>
      </c>
      <c r="W37" s="276">
        <f t="shared" si="1"/>
        <v>7303.299999999999</v>
      </c>
      <c r="X37" s="279">
        <v>1456</v>
      </c>
      <c r="Y37" s="279">
        <v>1450</v>
      </c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6">
        <f t="shared" si="2"/>
        <v>1456</v>
      </c>
      <c r="AP37" s="276">
        <f t="shared" si="2"/>
        <v>1450</v>
      </c>
    </row>
    <row r="38" spans="1:42" s="278" customFormat="1" ht="18" customHeight="1">
      <c r="A38" s="274">
        <v>28</v>
      </c>
      <c r="B38" s="285" t="s">
        <v>842</v>
      </c>
      <c r="C38" s="276">
        <f t="shared" si="0"/>
        <v>4047.8</v>
      </c>
      <c r="D38" s="276">
        <f t="shared" si="0"/>
        <v>3717.1</v>
      </c>
      <c r="E38" s="279">
        <v>3187.8</v>
      </c>
      <c r="F38" s="279">
        <v>3181.1</v>
      </c>
      <c r="G38" s="279">
        <v>420</v>
      </c>
      <c r="H38" s="279">
        <v>258</v>
      </c>
      <c r="I38" s="279">
        <v>440</v>
      </c>
      <c r="J38" s="279">
        <f>28+150+50+50</f>
        <v>278</v>
      </c>
      <c r="K38" s="279"/>
      <c r="L38" s="279"/>
      <c r="M38" s="279"/>
      <c r="N38" s="279"/>
      <c r="O38" s="277"/>
      <c r="P38" s="279"/>
      <c r="Q38" s="279"/>
      <c r="R38" s="279"/>
      <c r="S38" s="279"/>
      <c r="T38" s="279"/>
      <c r="U38" s="279"/>
      <c r="V38" s="276">
        <f t="shared" si="1"/>
        <v>4047.8</v>
      </c>
      <c r="W38" s="276">
        <f t="shared" si="1"/>
        <v>3717.1</v>
      </c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6">
        <f t="shared" si="2"/>
        <v>0</v>
      </c>
      <c r="AP38" s="276">
        <f t="shared" si="2"/>
        <v>0</v>
      </c>
    </row>
    <row r="39" spans="1:42" s="278" customFormat="1" ht="18" customHeight="1">
      <c r="A39" s="274">
        <v>29</v>
      </c>
      <c r="B39" s="285" t="s">
        <v>843</v>
      </c>
      <c r="C39" s="276">
        <f t="shared" si="0"/>
        <v>6459.400000000001</v>
      </c>
      <c r="D39" s="276">
        <f t="shared" si="0"/>
        <v>5009.599999999999</v>
      </c>
      <c r="E39" s="279">
        <v>3850</v>
      </c>
      <c r="F39" s="279">
        <v>3840.2</v>
      </c>
      <c r="G39" s="279">
        <v>1275.1</v>
      </c>
      <c r="H39" s="279">
        <v>549</v>
      </c>
      <c r="I39" s="279">
        <f>1260</f>
        <v>1260</v>
      </c>
      <c r="J39" s="279">
        <f>20+40+600</f>
        <v>660</v>
      </c>
      <c r="K39" s="279"/>
      <c r="L39" s="279"/>
      <c r="M39" s="279"/>
      <c r="N39" s="279"/>
      <c r="O39" s="277"/>
      <c r="P39" s="279"/>
      <c r="Q39" s="279"/>
      <c r="R39" s="279">
        <v>60</v>
      </c>
      <c r="S39" s="279"/>
      <c r="T39" s="279"/>
      <c r="U39" s="279"/>
      <c r="V39" s="276">
        <f t="shared" si="1"/>
        <v>6445.1</v>
      </c>
      <c r="W39" s="276">
        <f t="shared" si="1"/>
        <v>5049.2</v>
      </c>
      <c r="X39" s="279">
        <v>14.3</v>
      </c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>
        <v>-39.6</v>
      </c>
      <c r="AK39" s="279"/>
      <c r="AL39" s="279"/>
      <c r="AM39" s="279"/>
      <c r="AN39" s="279"/>
      <c r="AO39" s="276">
        <f t="shared" si="2"/>
        <v>14.3</v>
      </c>
      <c r="AP39" s="276">
        <f t="shared" si="2"/>
        <v>-39.6</v>
      </c>
    </row>
    <row r="40" spans="1:42" s="278" customFormat="1" ht="18" customHeight="1">
      <c r="A40" s="274">
        <v>30</v>
      </c>
      <c r="B40" s="285" t="s">
        <v>844</v>
      </c>
      <c r="C40" s="276">
        <f t="shared" si="0"/>
        <v>8657</v>
      </c>
      <c r="D40" s="276">
        <f t="shared" si="0"/>
        <v>8487.8</v>
      </c>
      <c r="E40" s="279">
        <v>6248</v>
      </c>
      <c r="F40" s="279">
        <v>6204.8</v>
      </c>
      <c r="G40" s="279">
        <v>1018</v>
      </c>
      <c r="H40" s="279">
        <v>1088</v>
      </c>
      <c r="I40" s="279">
        <v>1375</v>
      </c>
      <c r="J40" s="279">
        <f>25+300+60+80+630+30+70</f>
        <v>1195</v>
      </c>
      <c r="K40" s="279"/>
      <c r="L40" s="279"/>
      <c r="M40" s="279"/>
      <c r="N40" s="279"/>
      <c r="O40" s="277"/>
      <c r="P40" s="279"/>
      <c r="Q40" s="279"/>
      <c r="R40" s="279"/>
      <c r="S40" s="279"/>
      <c r="T40" s="279"/>
      <c r="U40" s="279"/>
      <c r="V40" s="276">
        <f t="shared" si="1"/>
        <v>8641</v>
      </c>
      <c r="W40" s="276">
        <f t="shared" si="1"/>
        <v>8487.8</v>
      </c>
      <c r="X40" s="279">
        <v>16</v>
      </c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6">
        <f t="shared" si="2"/>
        <v>16</v>
      </c>
      <c r="AP40" s="276">
        <f t="shared" si="2"/>
        <v>0</v>
      </c>
    </row>
    <row r="41" spans="1:43" s="278" customFormat="1" ht="18" customHeight="1">
      <c r="A41" s="274">
        <v>31</v>
      </c>
      <c r="B41" s="285" t="s">
        <v>845</v>
      </c>
      <c r="C41" s="276">
        <f t="shared" si="0"/>
        <v>128078</v>
      </c>
      <c r="D41" s="276">
        <f t="shared" si="0"/>
        <v>117895.9</v>
      </c>
      <c r="E41" s="279">
        <v>56575</v>
      </c>
      <c r="F41" s="279">
        <f>54626.5+1300</f>
        <v>55926.5</v>
      </c>
      <c r="G41" s="279">
        <v>14227</v>
      </c>
      <c r="H41" s="279">
        <v>13909.3</v>
      </c>
      <c r="I41" s="279">
        <f>32191+1159.8</f>
        <v>33350.8</v>
      </c>
      <c r="J41" s="279">
        <f>2421.1+7890+1444+1100.2+87.6+300+1778.6+3055.8+550+933.3+600+4703.8+2074.7</f>
        <v>26939.100000000002</v>
      </c>
      <c r="K41" s="279"/>
      <c r="L41" s="279"/>
      <c r="M41" s="279"/>
      <c r="N41" s="279"/>
      <c r="O41" s="277"/>
      <c r="P41" s="279"/>
      <c r="Q41" s="279"/>
      <c r="R41" s="279">
        <f>1495+258</f>
        <v>1753</v>
      </c>
      <c r="S41" s="279">
        <v>1495</v>
      </c>
      <c r="T41" s="279">
        <f>3743-3097</f>
        <v>646</v>
      </c>
      <c r="U41" s="279">
        <f>199+121</f>
        <v>320</v>
      </c>
      <c r="V41" s="276">
        <f t="shared" si="1"/>
        <v>106551.8</v>
      </c>
      <c r="W41" s="276">
        <f t="shared" si="1"/>
        <v>98589.9</v>
      </c>
      <c r="X41" s="279">
        <v>24526.2</v>
      </c>
      <c r="Y41" s="279">
        <f>21454.4+2978.5</f>
        <v>24432.9</v>
      </c>
      <c r="Z41" s="279">
        <f>+Y41-AB41</f>
        <v>10906.900000000001</v>
      </c>
      <c r="AA41" s="279">
        <v>13526.2</v>
      </c>
      <c r="AB41" s="279">
        <v>13526</v>
      </c>
      <c r="AC41" s="279"/>
      <c r="AD41" s="279"/>
      <c r="AE41" s="279"/>
      <c r="AF41" s="279"/>
      <c r="AG41" s="279">
        <v>-1500</v>
      </c>
      <c r="AH41" s="279">
        <v>-582.6</v>
      </c>
      <c r="AI41" s="279">
        <v>-1500</v>
      </c>
      <c r="AJ41" s="279">
        <v>-4544.3</v>
      </c>
      <c r="AK41" s="279"/>
      <c r="AL41" s="279"/>
      <c r="AM41" s="279"/>
      <c r="AN41" s="279"/>
      <c r="AO41" s="276">
        <f t="shared" si="2"/>
        <v>21526.2</v>
      </c>
      <c r="AP41" s="276">
        <f t="shared" si="2"/>
        <v>19306</v>
      </c>
      <c r="AQ41" s="286"/>
    </row>
    <row r="42" spans="1:42" s="278" customFormat="1" ht="18" customHeight="1">
      <c r="A42" s="274">
        <v>32</v>
      </c>
      <c r="B42" s="285" t="s">
        <v>846</v>
      </c>
      <c r="C42" s="276">
        <f t="shared" si="0"/>
        <v>7782.7</v>
      </c>
      <c r="D42" s="276">
        <f t="shared" si="0"/>
        <v>7054.6</v>
      </c>
      <c r="E42" s="279">
        <v>4785</v>
      </c>
      <c r="F42" s="279">
        <v>4745</v>
      </c>
      <c r="G42" s="279">
        <v>709</v>
      </c>
      <c r="H42" s="279">
        <v>689</v>
      </c>
      <c r="I42" s="279">
        <v>1464</v>
      </c>
      <c r="J42" s="279">
        <f>50+190+150+600+30</f>
        <v>1020</v>
      </c>
      <c r="K42" s="279"/>
      <c r="L42" s="279"/>
      <c r="M42" s="279"/>
      <c r="N42" s="279"/>
      <c r="O42" s="277"/>
      <c r="P42" s="279"/>
      <c r="Q42" s="279"/>
      <c r="R42" s="279">
        <v>196.9</v>
      </c>
      <c r="S42" s="279"/>
      <c r="T42" s="279"/>
      <c r="U42" s="279"/>
      <c r="V42" s="276">
        <f t="shared" si="1"/>
        <v>7154.9</v>
      </c>
      <c r="W42" s="276">
        <f t="shared" si="1"/>
        <v>6454</v>
      </c>
      <c r="X42" s="279">
        <v>627.8</v>
      </c>
      <c r="Y42" s="279">
        <v>600.6</v>
      </c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6">
        <f t="shared" si="2"/>
        <v>627.8</v>
      </c>
      <c r="AP42" s="276">
        <f t="shared" si="2"/>
        <v>600.6</v>
      </c>
    </row>
    <row r="43" spans="1:42" s="278" customFormat="1" ht="18" customHeight="1">
      <c r="A43" s="274">
        <v>33</v>
      </c>
      <c r="B43" s="285" t="s">
        <v>847</v>
      </c>
      <c r="C43" s="276">
        <f>V43+AO43-AM43+AM43</f>
        <v>40784.2</v>
      </c>
      <c r="D43" s="276">
        <f aca="true" t="shared" si="3" ref="D43:D54">W43+AP43-AN43</f>
        <v>27115.6</v>
      </c>
      <c r="E43" s="279">
        <f>12972-100.4</f>
        <v>12871.6</v>
      </c>
      <c r="F43" s="279">
        <f>12130.8+596.5</f>
        <v>12727.3</v>
      </c>
      <c r="G43" s="279">
        <v>3253</v>
      </c>
      <c r="H43" s="279">
        <v>2939.6</v>
      </c>
      <c r="I43" s="279">
        <v>9950</v>
      </c>
      <c r="J43" s="279">
        <f>478.8+174.8+50+66.6+50+21.6+49.5+14.5+768.9+2070+30+105+600+1427.6+365.3</f>
        <v>6272.599999999999</v>
      </c>
      <c r="K43" s="279"/>
      <c r="L43" s="279"/>
      <c r="M43" s="279"/>
      <c r="N43" s="279"/>
      <c r="O43" s="277"/>
      <c r="P43" s="279"/>
      <c r="Q43" s="279"/>
      <c r="R43" s="279">
        <v>200</v>
      </c>
      <c r="S43" s="279">
        <v>200</v>
      </c>
      <c r="T43" s="279">
        <v>1520</v>
      </c>
      <c r="U43" s="279">
        <f>2.5+25</f>
        <v>27.5</v>
      </c>
      <c r="V43" s="276">
        <f t="shared" si="1"/>
        <v>27794.6</v>
      </c>
      <c r="W43" s="276">
        <f t="shared" si="1"/>
        <v>22167</v>
      </c>
      <c r="X43" s="279">
        <f>11800+689.9-0.7</f>
        <v>12489.199999999999</v>
      </c>
      <c r="Y43" s="279">
        <f>6276.3+1189.2+100</f>
        <v>7565.5</v>
      </c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>
        <f>-2707.4+90.5</f>
        <v>-2616.9</v>
      </c>
      <c r="AK43" s="279"/>
      <c r="AL43" s="279"/>
      <c r="AM43" s="279">
        <v>500.4</v>
      </c>
      <c r="AN43" s="279"/>
      <c r="AO43" s="276">
        <f t="shared" si="2"/>
        <v>12989.599999999999</v>
      </c>
      <c r="AP43" s="276">
        <f t="shared" si="2"/>
        <v>4948.6</v>
      </c>
    </row>
    <row r="44" spans="1:42" s="278" customFormat="1" ht="18" customHeight="1">
      <c r="A44" s="274">
        <v>34</v>
      </c>
      <c r="B44" s="285" t="s">
        <v>848</v>
      </c>
      <c r="C44" s="276">
        <f aca="true" t="shared" si="4" ref="C44:C54">V44+AO44-AM44</f>
        <v>4917.3</v>
      </c>
      <c r="D44" s="276">
        <f t="shared" si="3"/>
        <v>3750.5</v>
      </c>
      <c r="E44" s="279">
        <f>2155+210</f>
        <v>2365</v>
      </c>
      <c r="F44" s="279">
        <f>2103.1+271</f>
        <v>2374.1</v>
      </c>
      <c r="G44" s="279">
        <f>507.2+43.5</f>
        <v>550.7</v>
      </c>
      <c r="H44" s="279">
        <v>553.6</v>
      </c>
      <c r="I44" s="279">
        <f>1582+96.5</f>
        <v>1678.5</v>
      </c>
      <c r="J44" s="279">
        <f>50+20+8.5+31.3+314+20+376</f>
        <v>819.8</v>
      </c>
      <c r="K44" s="279">
        <v>0</v>
      </c>
      <c r="L44" s="279">
        <v>0</v>
      </c>
      <c r="M44" s="279">
        <v>0</v>
      </c>
      <c r="N44" s="279">
        <v>0</v>
      </c>
      <c r="O44" s="277"/>
      <c r="P44" s="279">
        <v>0</v>
      </c>
      <c r="Q44" s="279">
        <v>0</v>
      </c>
      <c r="R44" s="279">
        <v>0</v>
      </c>
      <c r="S44" s="279">
        <v>0</v>
      </c>
      <c r="T44" s="279">
        <v>10</v>
      </c>
      <c r="U44" s="279">
        <v>3</v>
      </c>
      <c r="V44" s="276">
        <f t="shared" si="1"/>
        <v>4604.2</v>
      </c>
      <c r="W44" s="276">
        <f t="shared" si="1"/>
        <v>3750.5</v>
      </c>
      <c r="X44" s="279">
        <v>313.1</v>
      </c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6">
        <f t="shared" si="2"/>
        <v>313.1</v>
      </c>
      <c r="AP44" s="276">
        <f t="shared" si="2"/>
        <v>0</v>
      </c>
    </row>
    <row r="45" spans="1:42" s="278" customFormat="1" ht="18" customHeight="1">
      <c r="A45" s="274">
        <v>35</v>
      </c>
      <c r="B45" s="285" t="s">
        <v>849</v>
      </c>
      <c r="C45" s="276">
        <f t="shared" si="4"/>
        <v>6901.2</v>
      </c>
      <c r="D45" s="276">
        <f t="shared" si="3"/>
        <v>4295.9</v>
      </c>
      <c r="E45" s="279">
        <v>4603.8</v>
      </c>
      <c r="F45" s="279">
        <v>2609.1</v>
      </c>
      <c r="G45" s="279">
        <v>702</v>
      </c>
      <c r="H45" s="279">
        <v>510.8</v>
      </c>
      <c r="I45" s="279">
        <v>1394</v>
      </c>
      <c r="J45" s="279">
        <f>45+186+140.2+30+25+523.3+40+64</f>
        <v>1053.5</v>
      </c>
      <c r="K45" s="279"/>
      <c r="L45" s="279"/>
      <c r="M45" s="279"/>
      <c r="N45" s="279"/>
      <c r="O45" s="277"/>
      <c r="P45" s="279"/>
      <c r="Q45" s="279"/>
      <c r="R45" s="279">
        <v>100</v>
      </c>
      <c r="S45" s="279">
        <v>100</v>
      </c>
      <c r="T45" s="279">
        <v>100</v>
      </c>
      <c r="U45" s="279">
        <v>42</v>
      </c>
      <c r="V45" s="276">
        <f t="shared" si="1"/>
        <v>6899.8</v>
      </c>
      <c r="W45" s="276">
        <f t="shared" si="1"/>
        <v>4315.4</v>
      </c>
      <c r="X45" s="279">
        <v>1.4</v>
      </c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>
        <v>-19.5</v>
      </c>
      <c r="AK45" s="279"/>
      <c r="AL45" s="279"/>
      <c r="AM45" s="279"/>
      <c r="AN45" s="279"/>
      <c r="AO45" s="276">
        <f t="shared" si="2"/>
        <v>1.4</v>
      </c>
      <c r="AP45" s="276">
        <f t="shared" si="2"/>
        <v>-19.5</v>
      </c>
    </row>
    <row r="46" spans="1:42" s="278" customFormat="1" ht="18" customHeight="1">
      <c r="A46" s="274">
        <v>36</v>
      </c>
      <c r="B46" s="285" t="s">
        <v>850</v>
      </c>
      <c r="C46" s="276">
        <f t="shared" si="4"/>
        <v>5504.3</v>
      </c>
      <c r="D46" s="276">
        <f t="shared" si="3"/>
        <v>4699.3</v>
      </c>
      <c r="E46" s="279">
        <f>3210+100.4</f>
        <v>3310.4</v>
      </c>
      <c r="F46" s="279">
        <v>3168.6</v>
      </c>
      <c r="G46" s="279">
        <v>1366</v>
      </c>
      <c r="H46" s="279">
        <v>1013.7</v>
      </c>
      <c r="I46" s="279">
        <v>919.5</v>
      </c>
      <c r="J46" s="279">
        <f>40+40+10+150+60+117</f>
        <v>417</v>
      </c>
      <c r="K46" s="279">
        <v>0</v>
      </c>
      <c r="L46" s="279">
        <v>0</v>
      </c>
      <c r="M46" s="279">
        <v>0</v>
      </c>
      <c r="N46" s="279">
        <v>0</v>
      </c>
      <c r="O46" s="277"/>
      <c r="P46" s="279">
        <v>0</v>
      </c>
      <c r="Q46" s="279">
        <v>0</v>
      </c>
      <c r="R46" s="279">
        <v>0</v>
      </c>
      <c r="S46" s="279"/>
      <c r="T46" s="279">
        <v>6</v>
      </c>
      <c r="U46" s="279">
        <v>100</v>
      </c>
      <c r="V46" s="276">
        <f t="shared" si="1"/>
        <v>5601.9</v>
      </c>
      <c r="W46" s="276">
        <f t="shared" si="1"/>
        <v>4699.3</v>
      </c>
      <c r="X46" s="279">
        <f>502.8-100.4</f>
        <v>402.4</v>
      </c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>
        <v>-500</v>
      </c>
      <c r="AJ46" s="279"/>
      <c r="AK46" s="279"/>
      <c r="AL46" s="279"/>
      <c r="AM46" s="279">
        <v>100.4</v>
      </c>
      <c r="AN46" s="279"/>
      <c r="AO46" s="276">
        <f t="shared" si="2"/>
        <v>2.7999999999999545</v>
      </c>
      <c r="AP46" s="276">
        <f t="shared" si="2"/>
        <v>0</v>
      </c>
    </row>
    <row r="47" spans="1:42" s="278" customFormat="1" ht="18" customHeight="1">
      <c r="A47" s="274">
        <v>37</v>
      </c>
      <c r="B47" s="285" t="s">
        <v>851</v>
      </c>
      <c r="C47" s="276">
        <f t="shared" si="4"/>
        <v>17870.8</v>
      </c>
      <c r="D47" s="276">
        <f t="shared" si="3"/>
        <v>17265.8</v>
      </c>
      <c r="E47" s="279">
        <v>7290</v>
      </c>
      <c r="F47" s="279">
        <f>6169+1100.2</f>
        <v>7269.2</v>
      </c>
      <c r="G47" s="279">
        <v>1600</v>
      </c>
      <c r="H47" s="279">
        <v>1590</v>
      </c>
      <c r="I47" s="279">
        <v>6003.8</v>
      </c>
      <c r="J47" s="279">
        <f>40+400+152+4.8+342+600+2399.1+100+80+894.4+556</f>
        <v>5568.299999999999</v>
      </c>
      <c r="K47" s="279"/>
      <c r="L47" s="279"/>
      <c r="M47" s="279"/>
      <c r="N47" s="279"/>
      <c r="O47" s="277"/>
      <c r="P47" s="279"/>
      <c r="Q47" s="279"/>
      <c r="R47" s="279">
        <v>1000</v>
      </c>
      <c r="S47" s="279">
        <v>925.8</v>
      </c>
      <c r="T47" s="279">
        <v>40</v>
      </c>
      <c r="U47" s="279">
        <v>16</v>
      </c>
      <c r="V47" s="276">
        <f t="shared" si="1"/>
        <v>15933.8</v>
      </c>
      <c r="W47" s="276">
        <f t="shared" si="1"/>
        <v>15369.3</v>
      </c>
      <c r="X47" s="279">
        <v>2937</v>
      </c>
      <c r="Y47" s="279">
        <v>1896.5</v>
      </c>
      <c r="Z47" s="279"/>
      <c r="AA47" s="279"/>
      <c r="AB47" s="279"/>
      <c r="AC47" s="279"/>
      <c r="AD47" s="279"/>
      <c r="AE47" s="279"/>
      <c r="AF47" s="279"/>
      <c r="AG47" s="279"/>
      <c r="AH47" s="279"/>
      <c r="AI47" s="279">
        <v>-1000</v>
      </c>
      <c r="AJ47" s="279"/>
      <c r="AK47" s="279"/>
      <c r="AL47" s="279"/>
      <c r="AM47" s="279"/>
      <c r="AN47" s="279"/>
      <c r="AO47" s="276">
        <f t="shared" si="2"/>
        <v>1937</v>
      </c>
      <c r="AP47" s="276">
        <f t="shared" si="2"/>
        <v>1896.5</v>
      </c>
    </row>
    <row r="48" spans="1:42" s="278" customFormat="1" ht="18" customHeight="1">
      <c r="A48" s="274">
        <v>38</v>
      </c>
      <c r="B48" s="285" t="s">
        <v>852</v>
      </c>
      <c r="C48" s="276">
        <f t="shared" si="4"/>
        <v>5068</v>
      </c>
      <c r="D48" s="276">
        <f t="shared" si="3"/>
        <v>4139.7</v>
      </c>
      <c r="E48" s="279">
        <v>4022.8</v>
      </c>
      <c r="F48" s="279">
        <v>3202.2</v>
      </c>
      <c r="G48" s="279">
        <v>1025.2</v>
      </c>
      <c r="H48" s="279">
        <v>917.5</v>
      </c>
      <c r="I48" s="279">
        <v>20</v>
      </c>
      <c r="J48" s="279">
        <v>20</v>
      </c>
      <c r="K48" s="279"/>
      <c r="L48" s="279"/>
      <c r="M48" s="279"/>
      <c r="N48" s="279"/>
      <c r="O48" s="277"/>
      <c r="P48" s="279"/>
      <c r="Q48" s="279"/>
      <c r="R48" s="279"/>
      <c r="S48" s="279"/>
      <c r="T48" s="279"/>
      <c r="U48" s="279"/>
      <c r="V48" s="276">
        <f t="shared" si="1"/>
        <v>5068</v>
      </c>
      <c r="W48" s="276">
        <f t="shared" si="1"/>
        <v>4139.7</v>
      </c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6">
        <f t="shared" si="2"/>
        <v>0</v>
      </c>
      <c r="AP48" s="276">
        <f t="shared" si="2"/>
        <v>0</v>
      </c>
    </row>
    <row r="49" spans="1:42" s="278" customFormat="1" ht="18" customHeight="1">
      <c r="A49" s="274">
        <v>39</v>
      </c>
      <c r="B49" s="285" t="s">
        <v>853</v>
      </c>
      <c r="C49" s="276">
        <f t="shared" si="4"/>
        <v>11057.3</v>
      </c>
      <c r="D49" s="276">
        <f t="shared" si="3"/>
        <v>10391.6</v>
      </c>
      <c r="E49" s="279">
        <v>4760</v>
      </c>
      <c r="F49" s="279">
        <f>4382+395</f>
        <v>4777</v>
      </c>
      <c r="G49" s="279">
        <v>704</v>
      </c>
      <c r="H49" s="279">
        <v>755.9</v>
      </c>
      <c r="I49" s="279">
        <v>4567.3</v>
      </c>
      <c r="J49" s="279">
        <f>100+30+48.8+50+10+64.5+716.2+1826.4+60+646.2+250+237.7</f>
        <v>4039.8</v>
      </c>
      <c r="K49" s="279"/>
      <c r="L49" s="279"/>
      <c r="M49" s="279"/>
      <c r="N49" s="279"/>
      <c r="O49" s="277"/>
      <c r="P49" s="279"/>
      <c r="Q49" s="279"/>
      <c r="R49" s="279">
        <v>800</v>
      </c>
      <c r="S49" s="279">
        <v>800</v>
      </c>
      <c r="T49" s="279">
        <v>30</v>
      </c>
      <c r="U49" s="279">
        <f>12</f>
        <v>12</v>
      </c>
      <c r="V49" s="276">
        <f t="shared" si="1"/>
        <v>10861.3</v>
      </c>
      <c r="W49" s="276">
        <f t="shared" si="1"/>
        <v>10384.7</v>
      </c>
      <c r="X49" s="279">
        <v>196</v>
      </c>
      <c r="Y49" s="279">
        <v>195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>
        <v>-188.1</v>
      </c>
      <c r="AK49" s="279"/>
      <c r="AL49" s="279"/>
      <c r="AM49" s="279"/>
      <c r="AN49" s="279"/>
      <c r="AO49" s="276">
        <f t="shared" si="2"/>
        <v>196</v>
      </c>
      <c r="AP49" s="276">
        <f t="shared" si="2"/>
        <v>6.900000000000006</v>
      </c>
    </row>
    <row r="50" spans="1:42" s="278" customFormat="1" ht="18" customHeight="1">
      <c r="A50" s="274">
        <v>40</v>
      </c>
      <c r="B50" s="285" t="s">
        <v>854</v>
      </c>
      <c r="C50" s="276">
        <f t="shared" si="4"/>
        <v>17994.7</v>
      </c>
      <c r="D50" s="276">
        <f t="shared" si="3"/>
        <v>15734.699999999999</v>
      </c>
      <c r="E50" s="279">
        <f>5406+749.1</f>
        <v>6155.1</v>
      </c>
      <c r="F50" s="279">
        <f>5570.5+320.5</f>
        <v>5891</v>
      </c>
      <c r="G50" s="279">
        <f>1217.8+435.8</f>
        <v>1653.6</v>
      </c>
      <c r="H50" s="279">
        <v>1478.3</v>
      </c>
      <c r="I50" s="279">
        <v>8370</v>
      </c>
      <c r="J50" s="279">
        <f>125+500+500+50+36+500+604.4+600+1000+300+50+2200+700</f>
        <v>7165.4</v>
      </c>
      <c r="K50" s="279">
        <v>0</v>
      </c>
      <c r="L50" s="279">
        <v>0</v>
      </c>
      <c r="M50" s="279">
        <v>0</v>
      </c>
      <c r="N50" s="279">
        <v>0</v>
      </c>
      <c r="O50" s="277"/>
      <c r="P50" s="279">
        <v>0</v>
      </c>
      <c r="Q50" s="279">
        <v>0</v>
      </c>
      <c r="R50" s="279">
        <v>1200</v>
      </c>
      <c r="S50" s="279">
        <v>1200</v>
      </c>
      <c r="T50" s="279">
        <v>616</v>
      </c>
      <c r="U50" s="279">
        <v>0</v>
      </c>
      <c r="V50" s="276">
        <f t="shared" si="1"/>
        <v>17994.7</v>
      </c>
      <c r="W50" s="276">
        <f t="shared" si="1"/>
        <v>15734.699999999999</v>
      </c>
      <c r="X50" s="279">
        <v>2000</v>
      </c>
      <c r="Y50" s="279"/>
      <c r="Z50" s="279"/>
      <c r="AA50" s="279"/>
      <c r="AB50" s="279"/>
      <c r="AC50" s="279"/>
      <c r="AD50" s="279"/>
      <c r="AE50" s="279"/>
      <c r="AF50" s="279"/>
      <c r="AG50" s="279">
        <v>-2000</v>
      </c>
      <c r="AH50" s="279"/>
      <c r="AI50" s="279"/>
      <c r="AJ50" s="279"/>
      <c r="AK50" s="279"/>
      <c r="AL50" s="279"/>
      <c r="AM50" s="279"/>
      <c r="AN50" s="279"/>
      <c r="AO50" s="276">
        <f t="shared" si="2"/>
        <v>0</v>
      </c>
      <c r="AP50" s="276">
        <f t="shared" si="2"/>
        <v>0</v>
      </c>
    </row>
    <row r="51" spans="1:42" s="278" customFormat="1" ht="18" customHeight="1">
      <c r="A51" s="274">
        <v>41</v>
      </c>
      <c r="B51" s="287" t="s">
        <v>855</v>
      </c>
      <c r="C51" s="276">
        <f t="shared" si="4"/>
        <v>7192.9</v>
      </c>
      <c r="D51" s="276">
        <f t="shared" si="3"/>
        <v>5936.299999999999</v>
      </c>
      <c r="E51" s="279">
        <v>3240</v>
      </c>
      <c r="F51" s="279">
        <v>3054.4</v>
      </c>
      <c r="G51" s="279">
        <v>788.7</v>
      </c>
      <c r="H51" s="279">
        <v>746.3</v>
      </c>
      <c r="I51" s="279">
        <f>1103.7-150-2.5-0.5</f>
        <v>950.7</v>
      </c>
      <c r="J51" s="279">
        <f>55+32+45+84+124+10+450</f>
        <v>800</v>
      </c>
      <c r="K51" s="279"/>
      <c r="L51" s="279"/>
      <c r="M51" s="279"/>
      <c r="N51" s="279"/>
      <c r="O51" s="277"/>
      <c r="P51" s="279"/>
      <c r="Q51" s="279"/>
      <c r="R51" s="279">
        <v>150</v>
      </c>
      <c r="S51" s="279">
        <v>150</v>
      </c>
      <c r="T51" s="279">
        <v>2.5</v>
      </c>
      <c r="U51" s="279">
        <v>5</v>
      </c>
      <c r="V51" s="276">
        <f t="shared" si="1"/>
        <v>5131.9</v>
      </c>
      <c r="W51" s="276">
        <f t="shared" si="1"/>
        <v>4755.7</v>
      </c>
      <c r="X51" s="279">
        <v>2061</v>
      </c>
      <c r="Y51" s="279">
        <v>1180.6</v>
      </c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6">
        <f t="shared" si="2"/>
        <v>2061</v>
      </c>
      <c r="AP51" s="276">
        <f t="shared" si="2"/>
        <v>1180.6</v>
      </c>
    </row>
    <row r="52" spans="1:42" s="278" customFormat="1" ht="18" customHeight="1">
      <c r="A52" s="274">
        <v>42</v>
      </c>
      <c r="B52" s="287" t="s">
        <v>856</v>
      </c>
      <c r="C52" s="276">
        <f t="shared" si="4"/>
        <v>13990.2</v>
      </c>
      <c r="D52" s="276">
        <f t="shared" si="3"/>
        <v>10074.7</v>
      </c>
      <c r="E52" s="279">
        <v>5980</v>
      </c>
      <c r="F52" s="279">
        <v>5575.6</v>
      </c>
      <c r="G52" s="279">
        <v>1304</v>
      </c>
      <c r="H52" s="279">
        <v>1141.2</v>
      </c>
      <c r="I52" s="279">
        <v>3466</v>
      </c>
      <c r="J52" s="279">
        <f>120+675+53.9+300+24+650+120+130</f>
        <v>2072.9</v>
      </c>
      <c r="K52" s="279"/>
      <c r="L52" s="279"/>
      <c r="M52" s="279"/>
      <c r="N52" s="279"/>
      <c r="O52" s="277"/>
      <c r="P52" s="279"/>
      <c r="Q52" s="279"/>
      <c r="R52" s="279">
        <v>1100</v>
      </c>
      <c r="S52" s="279">
        <v>910</v>
      </c>
      <c r="T52" s="279"/>
      <c r="U52" s="279"/>
      <c r="V52" s="276">
        <f t="shared" si="1"/>
        <v>11850</v>
      </c>
      <c r="W52" s="276">
        <f t="shared" si="1"/>
        <v>9699.7</v>
      </c>
      <c r="X52" s="279">
        <v>2140.2</v>
      </c>
      <c r="Y52" s="279">
        <v>375</v>
      </c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6">
        <f t="shared" si="2"/>
        <v>2140.2</v>
      </c>
      <c r="AP52" s="276">
        <f t="shared" si="2"/>
        <v>375</v>
      </c>
    </row>
    <row r="53" spans="1:42" s="278" customFormat="1" ht="18" customHeight="1">
      <c r="A53" s="274">
        <v>43</v>
      </c>
      <c r="B53" s="287" t="s">
        <v>857</v>
      </c>
      <c r="C53" s="276">
        <f t="shared" si="4"/>
        <v>238485.3</v>
      </c>
      <c r="D53" s="276">
        <f t="shared" si="3"/>
        <v>184359.5</v>
      </c>
      <c r="E53" s="279">
        <v>109846.2</v>
      </c>
      <c r="F53" s="279">
        <v>105257</v>
      </c>
      <c r="G53" s="279">
        <v>26196.8</v>
      </c>
      <c r="H53" s="279">
        <v>23983.1</v>
      </c>
      <c r="I53" s="279">
        <v>53507.5</v>
      </c>
      <c r="J53" s="279">
        <f>15224.3+498.6+3384.6+78+422+1160+257+360+350+1016+1623+7750.9+477.5+3153.5+8362.4+3944.9+12</f>
        <v>48074.700000000004</v>
      </c>
      <c r="K53" s="279">
        <v>0</v>
      </c>
      <c r="L53" s="279"/>
      <c r="M53" s="279">
        <v>0</v>
      </c>
      <c r="N53" s="279"/>
      <c r="O53" s="277"/>
      <c r="P53" s="279"/>
      <c r="Q53" s="279"/>
      <c r="R53" s="279">
        <v>1100</v>
      </c>
      <c r="S53" s="279">
        <v>1058.4</v>
      </c>
      <c r="T53" s="279">
        <v>1012.9</v>
      </c>
      <c r="U53" s="279">
        <f>398.4+119+252</f>
        <v>769.4</v>
      </c>
      <c r="V53" s="276">
        <f t="shared" si="1"/>
        <v>191663.4</v>
      </c>
      <c r="W53" s="276">
        <f t="shared" si="1"/>
        <v>179142.6</v>
      </c>
      <c r="X53" s="279">
        <v>162036.1</v>
      </c>
      <c r="Y53" s="279">
        <f>11447+55083+15781.9+7231.2</f>
        <v>89543.09999999999</v>
      </c>
      <c r="Z53" s="279">
        <f>+Y53-AB53</f>
        <v>49966.19999999999</v>
      </c>
      <c r="AA53" s="279">
        <v>39576.9</v>
      </c>
      <c r="AB53" s="279">
        <v>39576.9</v>
      </c>
      <c r="AC53" s="279"/>
      <c r="AD53" s="279"/>
      <c r="AE53" s="279"/>
      <c r="AF53" s="279"/>
      <c r="AG53" s="279"/>
      <c r="AH53" s="279">
        <v>-2528.8</v>
      </c>
      <c r="AI53" s="279">
        <v>-115214.2</v>
      </c>
      <c r="AJ53" s="279">
        <v>-81797.4</v>
      </c>
      <c r="AK53" s="279"/>
      <c r="AL53" s="279"/>
      <c r="AM53" s="279"/>
      <c r="AN53" s="279"/>
      <c r="AO53" s="276">
        <f t="shared" si="2"/>
        <v>46821.90000000001</v>
      </c>
      <c r="AP53" s="276">
        <f t="shared" si="2"/>
        <v>5216.899999999994</v>
      </c>
    </row>
    <row r="54" spans="1:42" s="278" customFormat="1" ht="18" customHeight="1">
      <c r="A54" s="274">
        <v>44</v>
      </c>
      <c r="B54" s="287" t="s">
        <v>858</v>
      </c>
      <c r="C54" s="276">
        <f t="shared" si="4"/>
        <v>20120.600000000002</v>
      </c>
      <c r="D54" s="276">
        <f t="shared" si="3"/>
        <v>13483.6</v>
      </c>
      <c r="E54" s="279">
        <v>8360</v>
      </c>
      <c r="F54" s="279">
        <f>8606.4+542</f>
        <v>9148.4</v>
      </c>
      <c r="G54" s="279">
        <v>1612</v>
      </c>
      <c r="H54" s="279">
        <v>1805.2</v>
      </c>
      <c r="I54" s="279">
        <v>5150</v>
      </c>
      <c r="J54" s="279">
        <f>126.7+182.6+56+24.3+70+300+700+70+60</f>
        <v>1589.6</v>
      </c>
      <c r="K54" s="279"/>
      <c r="L54" s="279"/>
      <c r="M54" s="279"/>
      <c r="N54" s="279"/>
      <c r="O54" s="277"/>
      <c r="P54" s="279"/>
      <c r="Q54" s="279"/>
      <c r="R54" s="279">
        <v>250</v>
      </c>
      <c r="S54" s="279">
        <v>250</v>
      </c>
      <c r="T54" s="279">
        <v>1835.4</v>
      </c>
      <c r="U54" s="279">
        <v>25.5</v>
      </c>
      <c r="V54" s="276">
        <f t="shared" si="1"/>
        <v>17207.4</v>
      </c>
      <c r="W54" s="276">
        <f t="shared" si="1"/>
        <v>12818.7</v>
      </c>
      <c r="X54" s="279">
        <v>3913.2</v>
      </c>
      <c r="Y54" s="279">
        <f>1300+660.8+450</f>
        <v>2410.8</v>
      </c>
      <c r="Z54" s="279"/>
      <c r="AA54" s="279"/>
      <c r="AB54" s="279"/>
      <c r="AC54" s="279"/>
      <c r="AD54" s="279"/>
      <c r="AE54" s="279"/>
      <c r="AF54" s="279"/>
      <c r="AG54" s="279"/>
      <c r="AH54" s="279"/>
      <c r="AI54" s="279">
        <v>-1000</v>
      </c>
      <c r="AJ54" s="279">
        <v>-1745.9</v>
      </c>
      <c r="AK54" s="279"/>
      <c r="AL54" s="279"/>
      <c r="AM54" s="279"/>
      <c r="AN54" s="279"/>
      <c r="AO54" s="276">
        <f t="shared" si="2"/>
        <v>2913.2</v>
      </c>
      <c r="AP54" s="276">
        <f t="shared" si="2"/>
        <v>664.9000000000001</v>
      </c>
    </row>
    <row r="55" spans="1:42" ht="26.25" customHeight="1">
      <c r="A55" s="664" t="s">
        <v>456</v>
      </c>
      <c r="B55" s="664"/>
      <c r="C55" s="288">
        <f aca="true" t="shared" si="5" ref="C55:N55">SUM(C11:C54)</f>
        <v>1252363.8</v>
      </c>
      <c r="D55" s="288">
        <f t="shared" si="5"/>
        <v>1049817</v>
      </c>
      <c r="E55" s="288">
        <f t="shared" si="5"/>
        <v>530346.7</v>
      </c>
      <c r="F55" s="288">
        <f t="shared" si="5"/>
        <v>507444.4999999999</v>
      </c>
      <c r="G55" s="288">
        <f t="shared" si="5"/>
        <v>119191.6</v>
      </c>
      <c r="H55" s="288">
        <f t="shared" si="5"/>
        <v>109762.40000000001</v>
      </c>
      <c r="I55" s="288">
        <f t="shared" si="5"/>
        <v>330748.2</v>
      </c>
      <c r="J55" s="288">
        <f t="shared" si="5"/>
        <v>266901.69999999995</v>
      </c>
      <c r="K55" s="288">
        <f t="shared" si="5"/>
        <v>0</v>
      </c>
      <c r="L55" s="288">
        <f t="shared" si="5"/>
        <v>0</v>
      </c>
      <c r="M55" s="288">
        <f t="shared" si="5"/>
        <v>31119</v>
      </c>
      <c r="N55" s="288">
        <f t="shared" si="5"/>
        <v>28985.5</v>
      </c>
      <c r="O55" s="288"/>
      <c r="P55" s="288">
        <f aca="true" t="shared" si="6" ref="P55:AP55">SUM(P11:P54)</f>
        <v>20775.2</v>
      </c>
      <c r="Q55" s="288">
        <f t="shared" si="6"/>
        <v>15762.5</v>
      </c>
      <c r="R55" s="288">
        <f t="shared" si="6"/>
        <v>34666.600000000006</v>
      </c>
      <c r="S55" s="288">
        <f t="shared" si="6"/>
        <v>31025</v>
      </c>
      <c r="T55" s="288">
        <f t="shared" si="6"/>
        <v>10688.9</v>
      </c>
      <c r="U55" s="288">
        <f t="shared" si="6"/>
        <v>3994.3</v>
      </c>
      <c r="V55" s="288">
        <f t="shared" si="6"/>
        <v>1077536.2000000002</v>
      </c>
      <c r="W55" s="288">
        <f t="shared" si="6"/>
        <v>963875.8999999999</v>
      </c>
      <c r="X55" s="288">
        <f t="shared" si="6"/>
        <v>337236.9</v>
      </c>
      <c r="Y55" s="288">
        <f t="shared" si="6"/>
        <v>204652.8</v>
      </c>
      <c r="Z55" s="288">
        <f>SUM(Z11:Z54)</f>
        <v>93525.5</v>
      </c>
      <c r="AA55" s="288">
        <f>SUM(AA11:AA54)</f>
        <v>59092.3</v>
      </c>
      <c r="AB55" s="288">
        <f>SUM(AB11:AB54)</f>
        <v>59092.100000000006</v>
      </c>
      <c r="AC55" s="288">
        <f t="shared" si="6"/>
        <v>0</v>
      </c>
      <c r="AD55" s="288">
        <f t="shared" si="6"/>
        <v>0</v>
      </c>
      <c r="AE55" s="288">
        <f t="shared" si="6"/>
        <v>0</v>
      </c>
      <c r="AF55" s="288">
        <f t="shared" si="6"/>
        <v>0</v>
      </c>
      <c r="AG55" s="288">
        <f>SUM(AG11:AG54)</f>
        <v>-7000</v>
      </c>
      <c r="AH55" s="288">
        <f>SUM(AH11:AH54)</f>
        <v>-8407.7</v>
      </c>
      <c r="AI55" s="288">
        <f t="shared" si="6"/>
        <v>-154609.7</v>
      </c>
      <c r="AJ55" s="288">
        <f t="shared" si="6"/>
        <v>-110303.99999999999</v>
      </c>
      <c r="AK55" s="288">
        <f t="shared" si="6"/>
        <v>0</v>
      </c>
      <c r="AL55" s="288">
        <f t="shared" si="6"/>
        <v>0</v>
      </c>
      <c r="AM55" s="288">
        <f t="shared" si="6"/>
        <v>16844.4</v>
      </c>
      <c r="AN55" s="288">
        <f t="shared" si="6"/>
        <v>0</v>
      </c>
      <c r="AO55" s="288">
        <f t="shared" si="6"/>
        <v>191171.60000000003</v>
      </c>
      <c r="AP55" s="288">
        <f t="shared" si="6"/>
        <v>85941.1</v>
      </c>
    </row>
    <row r="56" spans="3:41" ht="16.5" customHeight="1">
      <c r="C56" s="265"/>
      <c r="AO56" s="271"/>
    </row>
    <row r="57" spans="3:42" ht="16.5" customHeight="1">
      <c r="C57" s="289" t="s">
        <v>859</v>
      </c>
      <c r="D57" s="289"/>
      <c r="E57" s="289"/>
      <c r="F57" s="289"/>
      <c r="G57" s="289"/>
      <c r="W57" s="265"/>
      <c r="AG57" s="265"/>
      <c r="AO57" s="271"/>
      <c r="AP57" s="265"/>
    </row>
    <row r="58" spans="22:41" ht="16.5" customHeight="1">
      <c r="V58" s="265"/>
      <c r="W58" s="265"/>
      <c r="AG58" s="265"/>
      <c r="AO58" s="271"/>
    </row>
    <row r="59" spans="3:41" ht="16.5" customHeight="1">
      <c r="C59" s="265"/>
      <c r="D59" s="265"/>
      <c r="AO59" s="271"/>
    </row>
    <row r="60" ht="16.5" customHeight="1">
      <c r="AO60" s="271"/>
    </row>
    <row r="61" ht="16.5" customHeight="1">
      <c r="AO61" s="271"/>
    </row>
    <row r="62" ht="16.5" customHeight="1">
      <c r="AO62" s="271"/>
    </row>
    <row r="63" ht="16.5" customHeight="1">
      <c r="AO63" s="271"/>
    </row>
    <row r="64" ht="16.5" customHeight="1">
      <c r="AO64" s="271"/>
    </row>
    <row r="65" ht="16.5" customHeight="1">
      <c r="AO65" s="271"/>
    </row>
    <row r="66" ht="16.5" customHeight="1">
      <c r="AO66" s="271"/>
    </row>
    <row r="67" ht="16.5" customHeight="1">
      <c r="AO67" s="271"/>
    </row>
    <row r="68" ht="16.5" customHeight="1">
      <c r="AO68" s="271"/>
    </row>
    <row r="69" ht="16.5" customHeight="1">
      <c r="AO69" s="271"/>
    </row>
    <row r="70" ht="16.5" customHeight="1">
      <c r="AO70" s="271"/>
    </row>
    <row r="71" ht="16.5" customHeight="1">
      <c r="AO71" s="271"/>
    </row>
    <row r="72" ht="16.5" customHeight="1">
      <c r="AO72" s="271"/>
    </row>
    <row r="73" ht="16.5" customHeight="1">
      <c r="AO73" s="271"/>
    </row>
    <row r="74" ht="16.5" customHeight="1">
      <c r="AO74" s="271"/>
    </row>
    <row r="75" ht="16.5" customHeight="1">
      <c r="AO75" s="271"/>
    </row>
    <row r="76" ht="16.5" customHeight="1">
      <c r="AO76" s="271"/>
    </row>
    <row r="77" ht="16.5" customHeight="1">
      <c r="AO77" s="271"/>
    </row>
    <row r="78" ht="16.5" customHeight="1">
      <c r="AO78" s="271"/>
    </row>
    <row r="79" ht="16.5" customHeight="1">
      <c r="AO79" s="271"/>
    </row>
    <row r="80" ht="16.5" customHeight="1">
      <c r="AO80" s="271"/>
    </row>
    <row r="81" ht="16.5" customHeight="1">
      <c r="AO81" s="271"/>
    </row>
    <row r="82" ht="16.5" customHeight="1">
      <c r="AO82" s="271"/>
    </row>
    <row r="83" ht="16.5" customHeight="1">
      <c r="AO83" s="271"/>
    </row>
    <row r="84" ht="16.5" customHeight="1">
      <c r="AO84" s="271"/>
    </row>
    <row r="85" ht="16.5" customHeight="1">
      <c r="AO85" s="271"/>
    </row>
    <row r="86" ht="16.5" customHeight="1">
      <c r="AO86" s="271"/>
    </row>
    <row r="87" ht="16.5" customHeight="1">
      <c r="AO87" s="271"/>
    </row>
    <row r="88" ht="16.5" customHeight="1">
      <c r="AO88" s="271"/>
    </row>
    <row r="89" ht="16.5" customHeight="1">
      <c r="AO89" s="271"/>
    </row>
    <row r="90" ht="16.5" customHeight="1">
      <c r="AO90" s="271"/>
    </row>
    <row r="91" ht="16.5" customHeight="1">
      <c r="AO91" s="271"/>
    </row>
    <row r="92" ht="16.5" customHeight="1">
      <c r="AO92" s="271"/>
    </row>
    <row r="93" ht="16.5" customHeight="1">
      <c r="AO93" s="271"/>
    </row>
    <row r="94" ht="16.5" customHeight="1">
      <c r="AO94" s="271"/>
    </row>
    <row r="95" ht="16.5" customHeight="1">
      <c r="AO95" s="271"/>
    </row>
    <row r="96" ht="16.5" customHeight="1">
      <c r="AO96" s="271"/>
    </row>
    <row r="97" ht="16.5" customHeight="1">
      <c r="AO97" s="271"/>
    </row>
    <row r="98" ht="16.5" customHeight="1">
      <c r="AO98" s="271"/>
    </row>
    <row r="99" ht="16.5" customHeight="1">
      <c r="AO99" s="271"/>
    </row>
    <row r="100" ht="16.5" customHeight="1">
      <c r="AO100" s="271"/>
    </row>
    <row r="101" ht="16.5" customHeight="1">
      <c r="AO101" s="271"/>
    </row>
    <row r="102" ht="16.5" customHeight="1">
      <c r="AO102" s="271"/>
    </row>
    <row r="103" ht="16.5" customHeight="1">
      <c r="AO103" s="271"/>
    </row>
    <row r="104" ht="16.5" customHeight="1">
      <c r="AO104" s="271"/>
    </row>
    <row r="105" ht="16.5" customHeight="1">
      <c r="AO105" s="271"/>
    </row>
    <row r="106" ht="16.5" customHeight="1">
      <c r="AO106" s="271"/>
    </row>
    <row r="107" ht="16.5" customHeight="1">
      <c r="AO107" s="271"/>
    </row>
    <row r="108" ht="16.5" customHeight="1">
      <c r="AO108" s="271"/>
    </row>
    <row r="109" ht="16.5" customHeight="1">
      <c r="AO109" s="271"/>
    </row>
    <row r="110" ht="16.5" customHeight="1">
      <c r="AO110" s="271"/>
    </row>
    <row r="111" ht="16.5" customHeight="1">
      <c r="AO111" s="271"/>
    </row>
    <row r="112" ht="16.5" customHeight="1">
      <c r="AO112" s="271"/>
    </row>
    <row r="113" ht="16.5" customHeight="1">
      <c r="AO113" s="271"/>
    </row>
    <row r="114" ht="16.5" customHeight="1">
      <c r="AO114" s="271"/>
    </row>
    <row r="115" ht="16.5" customHeight="1">
      <c r="AO115" s="271"/>
    </row>
    <row r="116" ht="16.5" customHeight="1">
      <c r="AO116" s="271"/>
    </row>
    <row r="117" ht="16.5" customHeight="1">
      <c r="AO117" s="271"/>
    </row>
    <row r="118" ht="16.5" customHeight="1">
      <c r="AO118" s="271"/>
    </row>
    <row r="119" ht="16.5" customHeight="1">
      <c r="AO119" s="271"/>
    </row>
    <row r="120" ht="16.5" customHeight="1">
      <c r="AO120" s="271"/>
    </row>
    <row r="121" ht="16.5" customHeight="1">
      <c r="AO121" s="271"/>
    </row>
    <row r="122" ht="16.5" customHeight="1">
      <c r="AO122" s="271"/>
    </row>
    <row r="123" ht="16.5" customHeight="1">
      <c r="AO123" s="271"/>
    </row>
    <row r="124" ht="16.5" customHeight="1">
      <c r="AO124" s="271"/>
    </row>
    <row r="125" ht="16.5" customHeight="1">
      <c r="AO125" s="271"/>
    </row>
    <row r="126" ht="16.5" customHeight="1">
      <c r="AO126" s="271"/>
    </row>
    <row r="127" ht="16.5" customHeight="1">
      <c r="AO127" s="271"/>
    </row>
    <row r="128" ht="16.5" customHeight="1">
      <c r="AO128" s="271"/>
    </row>
    <row r="129" ht="16.5" customHeight="1">
      <c r="AO129" s="271"/>
    </row>
    <row r="130" ht="16.5" customHeight="1">
      <c r="AO130" s="271"/>
    </row>
    <row r="131" ht="16.5" customHeight="1">
      <c r="AO131" s="271"/>
    </row>
    <row r="132" ht="16.5" customHeight="1">
      <c r="AO132" s="271"/>
    </row>
    <row r="133" ht="16.5" customHeight="1">
      <c r="AO133" s="271"/>
    </row>
    <row r="134" ht="16.5" customHeight="1">
      <c r="AO134" s="271"/>
    </row>
    <row r="135" ht="16.5" customHeight="1">
      <c r="AO135" s="271"/>
    </row>
    <row r="136" ht="16.5" customHeight="1">
      <c r="AO136" s="271"/>
    </row>
    <row r="137" ht="16.5" customHeight="1">
      <c r="AO137" s="271"/>
    </row>
    <row r="138" ht="16.5" customHeight="1">
      <c r="AO138" s="271"/>
    </row>
    <row r="139" ht="16.5" customHeight="1">
      <c r="AO139" s="271"/>
    </row>
    <row r="140" ht="16.5" customHeight="1">
      <c r="AO140" s="271"/>
    </row>
    <row r="141" ht="16.5" customHeight="1">
      <c r="AO141" s="271"/>
    </row>
    <row r="142" ht="16.5" customHeight="1">
      <c r="AO142" s="271"/>
    </row>
    <row r="143" ht="16.5" customHeight="1">
      <c r="AO143" s="271"/>
    </row>
    <row r="144" ht="16.5" customHeight="1">
      <c r="AO144" s="271"/>
    </row>
    <row r="145" ht="16.5" customHeight="1">
      <c r="AO145" s="271"/>
    </row>
    <row r="146" ht="16.5" customHeight="1">
      <c r="AO146" s="271"/>
    </row>
    <row r="147" ht="16.5" customHeight="1">
      <c r="AO147" s="271"/>
    </row>
    <row r="148" ht="16.5" customHeight="1">
      <c r="AO148" s="271"/>
    </row>
    <row r="149" spans="1:41" s="290" customFormat="1" ht="22.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271"/>
    </row>
    <row r="150" spans="1:40" s="290" customFormat="1" ht="24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</row>
    <row r="151" spans="1:40" s="290" customFormat="1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</row>
    <row r="152" spans="1:40" s="290" customFormat="1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</row>
    <row r="154" ht="45" customHeight="1"/>
  </sheetData>
  <sheetProtection/>
  <mergeCells count="35">
    <mergeCell ref="AG6:AH8"/>
    <mergeCell ref="M7:N8"/>
    <mergeCell ref="E8:F8"/>
    <mergeCell ref="G8:H8"/>
    <mergeCell ref="T7:U8"/>
    <mergeCell ref="X7:AB8"/>
    <mergeCell ref="AE7:AF8"/>
    <mergeCell ref="A55:B55"/>
    <mergeCell ref="AI6:AL7"/>
    <mergeCell ref="E7:H7"/>
    <mergeCell ref="I7:J8"/>
    <mergeCell ref="K7:L8"/>
    <mergeCell ref="P7:Q8"/>
    <mergeCell ref="B4:B9"/>
    <mergeCell ref="O7:O9"/>
    <mergeCell ref="E6:U6"/>
    <mergeCell ref="X6:AF6"/>
    <mergeCell ref="AO4:AP4"/>
    <mergeCell ref="E5:U5"/>
    <mergeCell ref="V5:W8"/>
    <mergeCell ref="X5:AF5"/>
    <mergeCell ref="AG5:AL5"/>
    <mergeCell ref="AM5:AN8"/>
    <mergeCell ref="R7:S8"/>
    <mergeCell ref="AI8:AJ8"/>
    <mergeCell ref="AK8:AL8"/>
    <mergeCell ref="AO5:AP8"/>
    <mergeCell ref="A1:N1"/>
    <mergeCell ref="A2:N2"/>
    <mergeCell ref="M3:N3"/>
    <mergeCell ref="V3:W3"/>
    <mergeCell ref="A4:A9"/>
    <mergeCell ref="C4:D8"/>
    <mergeCell ref="E4:AD4"/>
    <mergeCell ref="AC7:A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8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2.8984375" style="99" customWidth="1"/>
    <col min="2" max="2" width="12.59765625" style="99" customWidth="1"/>
    <col min="3" max="3" width="10.8984375" style="99" customWidth="1"/>
    <col min="4" max="4" width="10.5" style="99" customWidth="1"/>
    <col min="5" max="10" width="9.3984375" style="99" customWidth="1"/>
    <col min="11" max="12" width="9.3984375" style="291" customWidth="1"/>
    <col min="13" max="30" width="9.3984375" style="99" customWidth="1"/>
    <col min="31" max="32" width="10.69921875" style="99" customWidth="1"/>
    <col min="33" max="33" width="10.5" style="99" customWidth="1"/>
    <col min="34" max="37" width="9.3984375" style="99" customWidth="1"/>
    <col min="38" max="38" width="11" style="99" customWidth="1"/>
    <col min="39" max="39" width="11.59765625" style="99" customWidth="1"/>
    <col min="40" max="41" width="9.3984375" style="99" customWidth="1"/>
    <col min="42" max="16384" width="9" style="99" customWidth="1"/>
  </cols>
  <sheetData>
    <row r="1" spans="2:41" ht="12.75" customHeight="1">
      <c r="B1" s="448" t="s">
        <v>208</v>
      </c>
      <c r="C1" s="448"/>
      <c r="D1" s="448"/>
      <c r="E1" s="448"/>
      <c r="F1" s="448"/>
      <c r="G1" s="448"/>
      <c r="H1" s="448"/>
      <c r="I1" s="448"/>
      <c r="J1" s="448"/>
      <c r="K1" s="448"/>
      <c r="L1" s="670"/>
      <c r="M1" s="670"/>
      <c r="N1" s="670"/>
      <c r="O1" s="670"/>
      <c r="P1" s="670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N1" s="268"/>
      <c r="AO1" s="268"/>
    </row>
    <row r="2" spans="2:41" ht="27.75" customHeight="1">
      <c r="B2" s="448" t="s">
        <v>1026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2"/>
      <c r="N2" s="672"/>
      <c r="O2" s="672"/>
      <c r="P2" s="672"/>
      <c r="Q2" s="269"/>
      <c r="R2" s="269"/>
      <c r="S2" s="269"/>
      <c r="T2" s="269"/>
      <c r="U2" s="269"/>
      <c r="V2" s="269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N2" s="270"/>
      <c r="AO2" s="270"/>
    </row>
    <row r="3" spans="2:22" ht="9.75" customHeight="1">
      <c r="B3" s="271"/>
      <c r="O3" s="673" t="s">
        <v>860</v>
      </c>
      <c r="P3" s="673"/>
      <c r="U3" s="645"/>
      <c r="V3" s="645"/>
    </row>
    <row r="4" spans="1:41" ht="12" customHeight="1">
      <c r="A4" s="556" t="s">
        <v>861</v>
      </c>
      <c r="B4" s="674" t="s">
        <v>211</v>
      </c>
      <c r="C4" s="677" t="s">
        <v>862</v>
      </c>
      <c r="D4" s="678"/>
      <c r="E4" s="683" t="s">
        <v>863</v>
      </c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688"/>
      <c r="AM4" s="688"/>
      <c r="AN4" s="292"/>
      <c r="AO4" s="292"/>
    </row>
    <row r="5" spans="1:41" ht="22.5" customHeight="1">
      <c r="A5" s="556"/>
      <c r="B5" s="675"/>
      <c r="C5" s="679"/>
      <c r="D5" s="680"/>
      <c r="E5" s="656" t="s">
        <v>864</v>
      </c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90"/>
      <c r="U5" s="691" t="s">
        <v>215</v>
      </c>
      <c r="V5" s="692"/>
      <c r="W5" s="660" t="s">
        <v>865</v>
      </c>
      <c r="X5" s="697"/>
      <c r="Y5" s="697"/>
      <c r="Z5" s="697"/>
      <c r="AA5" s="697"/>
      <c r="AB5" s="697"/>
      <c r="AC5" s="698"/>
      <c r="AD5" s="660" t="s">
        <v>345</v>
      </c>
      <c r="AE5" s="697"/>
      <c r="AF5" s="697"/>
      <c r="AG5" s="697"/>
      <c r="AH5" s="697"/>
      <c r="AI5" s="698"/>
      <c r="AJ5" s="652" t="s">
        <v>346</v>
      </c>
      <c r="AK5" s="685"/>
      <c r="AL5" s="691" t="s">
        <v>219</v>
      </c>
      <c r="AM5" s="692"/>
      <c r="AN5" s="652" t="s">
        <v>866</v>
      </c>
      <c r="AO5" s="685"/>
    </row>
    <row r="6" spans="1:41" s="291" customFormat="1" ht="5.25" customHeight="1">
      <c r="A6" s="556"/>
      <c r="B6" s="675"/>
      <c r="C6" s="679"/>
      <c r="D6" s="680"/>
      <c r="E6" s="465" t="s">
        <v>221</v>
      </c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707"/>
      <c r="U6" s="693"/>
      <c r="V6" s="694"/>
      <c r="W6" s="465" t="s">
        <v>221</v>
      </c>
      <c r="X6" s="697"/>
      <c r="Y6" s="697"/>
      <c r="Z6" s="697"/>
      <c r="AA6" s="697"/>
      <c r="AB6" s="697"/>
      <c r="AC6" s="698"/>
      <c r="AD6" s="544" t="s">
        <v>867</v>
      </c>
      <c r="AE6" s="545"/>
      <c r="AF6" s="544" t="s">
        <v>223</v>
      </c>
      <c r="AG6" s="668"/>
      <c r="AH6" s="668"/>
      <c r="AI6" s="545"/>
      <c r="AJ6" s="699"/>
      <c r="AK6" s="700"/>
      <c r="AL6" s="693"/>
      <c r="AM6" s="694"/>
      <c r="AN6" s="699"/>
      <c r="AO6" s="700"/>
    </row>
    <row r="7" spans="1:41" ht="27.75" customHeight="1">
      <c r="A7" s="556"/>
      <c r="B7" s="675"/>
      <c r="C7" s="679"/>
      <c r="D7" s="680"/>
      <c r="E7" s="660" t="s">
        <v>349</v>
      </c>
      <c r="F7" s="697"/>
      <c r="G7" s="697"/>
      <c r="H7" s="698"/>
      <c r="I7" s="701" t="s">
        <v>1027</v>
      </c>
      <c r="J7" s="685"/>
      <c r="K7" s="701" t="s">
        <v>351</v>
      </c>
      <c r="L7" s="702"/>
      <c r="M7" s="701" t="s">
        <v>352</v>
      </c>
      <c r="N7" s="702"/>
      <c r="O7" s="701" t="s">
        <v>1028</v>
      </c>
      <c r="P7" s="702"/>
      <c r="Q7" s="701" t="s">
        <v>1029</v>
      </c>
      <c r="R7" s="702"/>
      <c r="S7" s="701" t="s">
        <v>868</v>
      </c>
      <c r="T7" s="702"/>
      <c r="U7" s="693"/>
      <c r="V7" s="694"/>
      <c r="W7" s="544" t="s">
        <v>869</v>
      </c>
      <c r="X7" s="705"/>
      <c r="Y7" s="685"/>
      <c r="Z7" s="544" t="s">
        <v>870</v>
      </c>
      <c r="AA7" s="685"/>
      <c r="AB7" s="548" t="s">
        <v>357</v>
      </c>
      <c r="AC7" s="685"/>
      <c r="AD7" s="553"/>
      <c r="AE7" s="554"/>
      <c r="AF7" s="546"/>
      <c r="AG7" s="669"/>
      <c r="AH7" s="669"/>
      <c r="AI7" s="547"/>
      <c r="AJ7" s="699"/>
      <c r="AK7" s="700"/>
      <c r="AL7" s="693"/>
      <c r="AM7" s="694"/>
      <c r="AN7" s="699"/>
      <c r="AO7" s="700"/>
    </row>
    <row r="8" spans="1:41" s="291" customFormat="1" ht="68.25" customHeight="1">
      <c r="A8" s="556"/>
      <c r="B8" s="675"/>
      <c r="C8" s="681"/>
      <c r="D8" s="682"/>
      <c r="E8" s="712" t="s">
        <v>871</v>
      </c>
      <c r="F8" s="713"/>
      <c r="G8" s="712" t="s">
        <v>872</v>
      </c>
      <c r="H8" s="713"/>
      <c r="I8" s="686"/>
      <c r="J8" s="687"/>
      <c r="K8" s="703"/>
      <c r="L8" s="704"/>
      <c r="M8" s="703"/>
      <c r="N8" s="704"/>
      <c r="O8" s="703"/>
      <c r="P8" s="704"/>
      <c r="Q8" s="703"/>
      <c r="R8" s="704"/>
      <c r="S8" s="703"/>
      <c r="T8" s="704"/>
      <c r="U8" s="695"/>
      <c r="V8" s="696"/>
      <c r="W8" s="686"/>
      <c r="X8" s="706"/>
      <c r="Y8" s="687"/>
      <c r="Z8" s="686"/>
      <c r="AA8" s="687"/>
      <c r="AB8" s="686"/>
      <c r="AC8" s="687"/>
      <c r="AD8" s="546"/>
      <c r="AE8" s="547"/>
      <c r="AF8" s="465" t="s">
        <v>360</v>
      </c>
      <c r="AG8" s="707"/>
      <c r="AH8" s="465" t="s">
        <v>241</v>
      </c>
      <c r="AI8" s="707"/>
      <c r="AJ8" s="686"/>
      <c r="AK8" s="687"/>
      <c r="AL8" s="695"/>
      <c r="AM8" s="696"/>
      <c r="AN8" s="686"/>
      <c r="AO8" s="687"/>
    </row>
    <row r="9" spans="1:41" s="291" customFormat="1" ht="18.75" customHeight="1">
      <c r="A9" s="556"/>
      <c r="B9" s="676"/>
      <c r="C9" s="293" t="s">
        <v>243</v>
      </c>
      <c r="D9" s="293" t="s">
        <v>873</v>
      </c>
      <c r="E9" s="294" t="s">
        <v>243</v>
      </c>
      <c r="F9" s="295" t="s">
        <v>873</v>
      </c>
      <c r="G9" s="294" t="s">
        <v>243</v>
      </c>
      <c r="H9" s="295" t="s">
        <v>873</v>
      </c>
      <c r="I9" s="294" t="s">
        <v>243</v>
      </c>
      <c r="J9" s="295" t="s">
        <v>873</v>
      </c>
      <c r="K9" s="294" t="s">
        <v>243</v>
      </c>
      <c r="L9" s="295" t="s">
        <v>873</v>
      </c>
      <c r="M9" s="294" t="s">
        <v>243</v>
      </c>
      <c r="N9" s="295" t="s">
        <v>873</v>
      </c>
      <c r="O9" s="294" t="s">
        <v>243</v>
      </c>
      <c r="P9" s="295" t="s">
        <v>873</v>
      </c>
      <c r="Q9" s="294" t="s">
        <v>243</v>
      </c>
      <c r="R9" s="295" t="s">
        <v>873</v>
      </c>
      <c r="S9" s="294" t="s">
        <v>243</v>
      </c>
      <c r="T9" s="295" t="s">
        <v>873</v>
      </c>
      <c r="U9" s="294" t="s">
        <v>243</v>
      </c>
      <c r="V9" s="295" t="s">
        <v>873</v>
      </c>
      <c r="W9" s="294" t="s">
        <v>243</v>
      </c>
      <c r="X9" s="295" t="s">
        <v>873</v>
      </c>
      <c r="Y9" s="296" t="s">
        <v>874</v>
      </c>
      <c r="Z9" s="294" t="s">
        <v>243</v>
      </c>
      <c r="AA9" s="295" t="s">
        <v>873</v>
      </c>
      <c r="AB9" s="294" t="s">
        <v>243</v>
      </c>
      <c r="AC9" s="295" t="s">
        <v>873</v>
      </c>
      <c r="AD9" s="294" t="s">
        <v>243</v>
      </c>
      <c r="AE9" s="295" t="s">
        <v>873</v>
      </c>
      <c r="AF9" s="294" t="s">
        <v>243</v>
      </c>
      <c r="AG9" s="295" t="s">
        <v>873</v>
      </c>
      <c r="AH9" s="294" t="s">
        <v>243</v>
      </c>
      <c r="AI9" s="295" t="s">
        <v>873</v>
      </c>
      <c r="AJ9" s="294" t="s">
        <v>243</v>
      </c>
      <c r="AK9" s="295" t="s">
        <v>873</v>
      </c>
      <c r="AL9" s="294" t="s">
        <v>243</v>
      </c>
      <c r="AM9" s="295" t="s">
        <v>873</v>
      </c>
      <c r="AN9" s="294" t="s">
        <v>243</v>
      </c>
      <c r="AO9" s="295" t="s">
        <v>873</v>
      </c>
    </row>
    <row r="10" spans="1:41" s="291" customFormat="1" ht="15" customHeight="1">
      <c r="A10" s="297"/>
      <c r="B10" s="298">
        <v>1</v>
      </c>
      <c r="C10" s="298">
        <v>2</v>
      </c>
      <c r="D10" s="298">
        <v>3</v>
      </c>
      <c r="E10" s="298">
        <v>4</v>
      </c>
      <c r="F10" s="298">
        <v>5</v>
      </c>
      <c r="G10" s="298">
        <v>6</v>
      </c>
      <c r="H10" s="298">
        <v>7</v>
      </c>
      <c r="I10" s="298">
        <v>8</v>
      </c>
      <c r="J10" s="298">
        <v>9</v>
      </c>
      <c r="K10" s="298">
        <v>10</v>
      </c>
      <c r="L10" s="298">
        <v>11</v>
      </c>
      <c r="M10" s="298">
        <v>12</v>
      </c>
      <c r="N10" s="298">
        <v>13</v>
      </c>
      <c r="O10" s="298">
        <v>14</v>
      </c>
      <c r="P10" s="298">
        <v>15</v>
      </c>
      <c r="Q10" s="298">
        <v>16</v>
      </c>
      <c r="R10" s="298">
        <v>17</v>
      </c>
      <c r="S10" s="298">
        <v>18</v>
      </c>
      <c r="T10" s="298">
        <v>19</v>
      </c>
      <c r="U10" s="298">
        <v>20</v>
      </c>
      <c r="V10" s="298">
        <v>21</v>
      </c>
      <c r="W10" s="298">
        <v>22</v>
      </c>
      <c r="X10" s="298">
        <v>23</v>
      </c>
      <c r="Y10" s="298"/>
      <c r="Z10" s="298">
        <v>24</v>
      </c>
      <c r="AA10" s="298">
        <v>25</v>
      </c>
      <c r="AB10" s="298">
        <v>26</v>
      </c>
      <c r="AC10" s="298">
        <v>27</v>
      </c>
      <c r="AD10" s="298">
        <v>28</v>
      </c>
      <c r="AE10" s="298">
        <v>29</v>
      </c>
      <c r="AF10" s="298">
        <v>30</v>
      </c>
      <c r="AG10" s="298">
        <v>31</v>
      </c>
      <c r="AH10" s="298">
        <v>32</v>
      </c>
      <c r="AI10" s="298">
        <v>33</v>
      </c>
      <c r="AJ10" s="298">
        <v>34</v>
      </c>
      <c r="AK10" s="298">
        <v>35</v>
      </c>
      <c r="AL10" s="298">
        <v>36</v>
      </c>
      <c r="AM10" s="298">
        <v>37</v>
      </c>
      <c r="AN10" s="298">
        <v>34</v>
      </c>
      <c r="AO10" s="298">
        <v>35</v>
      </c>
    </row>
    <row r="11" spans="1:41" ht="16.5" customHeight="1">
      <c r="A11" s="262">
        <v>1</v>
      </c>
      <c r="B11" s="299" t="s">
        <v>875</v>
      </c>
      <c r="C11" s="273">
        <f aca="true" t="shared" si="0" ref="C11:D30">U11+AL11-AJ11</f>
        <v>313958.2</v>
      </c>
      <c r="D11" s="273">
        <f t="shared" si="0"/>
        <v>306351.2</v>
      </c>
      <c r="E11" s="273">
        <v>83351.6</v>
      </c>
      <c r="F11" s="273">
        <v>83304.7</v>
      </c>
      <c r="G11" s="273">
        <v>17503.1</v>
      </c>
      <c r="H11" s="273">
        <v>17454.1</v>
      </c>
      <c r="I11" s="273">
        <v>74767</v>
      </c>
      <c r="J11" s="273">
        <v>74487.4</v>
      </c>
      <c r="K11" s="300"/>
      <c r="L11" s="300"/>
      <c r="M11" s="273"/>
      <c r="N11" s="273"/>
      <c r="O11" s="273">
        <v>114308</v>
      </c>
      <c r="P11" s="273">
        <v>114307.8</v>
      </c>
      <c r="Q11" s="273">
        <v>2500</v>
      </c>
      <c r="R11" s="273">
        <v>2500</v>
      </c>
      <c r="S11" s="273">
        <v>7705.5</v>
      </c>
      <c r="T11" s="273">
        <v>1295.5</v>
      </c>
      <c r="U11" s="273">
        <f aca="true" t="shared" si="1" ref="U11:V30">S11+Q11+O11+M11+K11+I11+G11+E11</f>
        <v>300135.2</v>
      </c>
      <c r="V11" s="273">
        <f t="shared" si="1"/>
        <v>293349.5</v>
      </c>
      <c r="W11" s="273">
        <v>43823</v>
      </c>
      <c r="X11" s="273">
        <v>43658.9</v>
      </c>
      <c r="Y11" s="273">
        <v>7632.1</v>
      </c>
      <c r="Z11" s="273"/>
      <c r="AA11" s="273"/>
      <c r="AB11" s="273"/>
      <c r="AC11" s="273"/>
      <c r="AD11" s="273">
        <v>-6000</v>
      </c>
      <c r="AE11" s="273">
        <v>-12107.6</v>
      </c>
      <c r="AF11" s="273">
        <v>-24000</v>
      </c>
      <c r="AG11" s="273">
        <v>-18549.6</v>
      </c>
      <c r="AH11" s="273"/>
      <c r="AI11" s="273"/>
      <c r="AJ11" s="273"/>
      <c r="AK11" s="273"/>
      <c r="AL11" s="273">
        <f aca="true" t="shared" si="2" ref="AL11:AM30">W11+Z11+AB11+AD11+AF11+AH11</f>
        <v>13823</v>
      </c>
      <c r="AM11" s="273">
        <f t="shared" si="2"/>
        <v>13001.700000000004</v>
      </c>
      <c r="AN11" s="273"/>
      <c r="AO11" s="273"/>
    </row>
    <row r="12" spans="1:41" ht="16.5" customHeight="1">
      <c r="A12" s="262">
        <v>2</v>
      </c>
      <c r="B12" s="299" t="s">
        <v>876</v>
      </c>
      <c r="C12" s="273">
        <f t="shared" si="0"/>
        <v>38957.600000000006</v>
      </c>
      <c r="D12" s="273">
        <f t="shared" si="0"/>
        <v>38519.9</v>
      </c>
      <c r="E12" s="273">
        <v>9695</v>
      </c>
      <c r="F12" s="273">
        <v>9695</v>
      </c>
      <c r="G12" s="273">
        <v>1848.5</v>
      </c>
      <c r="H12" s="273">
        <v>1848.4</v>
      </c>
      <c r="I12" s="273">
        <v>21761.9</v>
      </c>
      <c r="J12" s="273">
        <v>21755.8</v>
      </c>
      <c r="K12" s="300"/>
      <c r="L12" s="300"/>
      <c r="M12" s="273"/>
      <c r="N12" s="273"/>
      <c r="O12" s="273">
        <v>1955.7</v>
      </c>
      <c r="P12" s="273">
        <v>1955.7</v>
      </c>
      <c r="Q12" s="273">
        <v>1452</v>
      </c>
      <c r="R12" s="273">
        <v>1452</v>
      </c>
      <c r="S12" s="273">
        <v>2117.7</v>
      </c>
      <c r="T12" s="273">
        <v>2108.5</v>
      </c>
      <c r="U12" s="273">
        <f t="shared" si="1"/>
        <v>38830.8</v>
      </c>
      <c r="V12" s="273">
        <f t="shared" si="1"/>
        <v>38815.4</v>
      </c>
      <c r="W12" s="273">
        <v>553</v>
      </c>
      <c r="X12" s="273">
        <v>500</v>
      </c>
      <c r="Y12" s="273"/>
      <c r="Z12" s="273"/>
      <c r="AA12" s="273"/>
      <c r="AB12" s="273"/>
      <c r="AC12" s="273"/>
      <c r="AD12" s="273">
        <v>0</v>
      </c>
      <c r="AE12" s="273">
        <v>-341.6</v>
      </c>
      <c r="AF12" s="273">
        <v>-363</v>
      </c>
      <c r="AG12" s="273">
        <v>-390.7</v>
      </c>
      <c r="AH12" s="273"/>
      <c r="AI12" s="273"/>
      <c r="AJ12" s="273">
        <v>63.2</v>
      </c>
      <c r="AK12" s="273">
        <v>63.2</v>
      </c>
      <c r="AL12" s="273">
        <f t="shared" si="2"/>
        <v>190</v>
      </c>
      <c r="AM12" s="273">
        <f t="shared" si="2"/>
        <v>-232.3</v>
      </c>
      <c r="AN12" s="273"/>
      <c r="AO12" s="273"/>
    </row>
    <row r="13" spans="1:41" ht="16.5" customHeight="1">
      <c r="A13" s="262">
        <v>3</v>
      </c>
      <c r="B13" s="299" t="s">
        <v>877</v>
      </c>
      <c r="C13" s="273">
        <f t="shared" si="0"/>
        <v>6848.9</v>
      </c>
      <c r="D13" s="273">
        <f t="shared" si="0"/>
        <v>6513.9</v>
      </c>
      <c r="E13" s="273">
        <v>4476</v>
      </c>
      <c r="F13" s="273">
        <v>4438</v>
      </c>
      <c r="G13" s="273">
        <v>1098</v>
      </c>
      <c r="H13" s="273">
        <v>986.9</v>
      </c>
      <c r="I13" s="273">
        <v>716</v>
      </c>
      <c r="J13" s="273">
        <v>592.6</v>
      </c>
      <c r="K13" s="300"/>
      <c r="L13" s="300"/>
      <c r="M13" s="273"/>
      <c r="N13" s="273"/>
      <c r="O13" s="273"/>
      <c r="P13" s="273"/>
      <c r="Q13" s="273"/>
      <c r="R13" s="273"/>
      <c r="S13" s="273">
        <v>353</v>
      </c>
      <c r="T13" s="273">
        <v>348</v>
      </c>
      <c r="U13" s="273">
        <f t="shared" si="1"/>
        <v>6643</v>
      </c>
      <c r="V13" s="273">
        <f t="shared" si="1"/>
        <v>6365.5</v>
      </c>
      <c r="W13" s="273">
        <v>2105.9</v>
      </c>
      <c r="X13" s="273">
        <v>1798.3</v>
      </c>
      <c r="Y13" s="273"/>
      <c r="Z13" s="273"/>
      <c r="AA13" s="273"/>
      <c r="AB13" s="273"/>
      <c r="AC13" s="273"/>
      <c r="AD13" s="273">
        <v>-1217.9</v>
      </c>
      <c r="AE13" s="273">
        <v>-1217.9</v>
      </c>
      <c r="AF13" s="273">
        <v>-682.1</v>
      </c>
      <c r="AG13" s="273">
        <v>-432</v>
      </c>
      <c r="AH13" s="273"/>
      <c r="AI13" s="273"/>
      <c r="AJ13" s="273"/>
      <c r="AK13" s="273"/>
      <c r="AL13" s="273">
        <f t="shared" si="2"/>
        <v>205.89999999999998</v>
      </c>
      <c r="AM13" s="273">
        <f t="shared" si="2"/>
        <v>148.39999999999986</v>
      </c>
      <c r="AN13" s="273"/>
      <c r="AO13" s="273"/>
    </row>
    <row r="14" spans="1:41" ht="16.5" customHeight="1">
      <c r="A14" s="262">
        <v>4</v>
      </c>
      <c r="B14" s="299" t="s">
        <v>878</v>
      </c>
      <c r="C14" s="273">
        <f t="shared" si="0"/>
        <v>4687.299999999999</v>
      </c>
      <c r="D14" s="273">
        <f t="shared" si="0"/>
        <v>4309.3</v>
      </c>
      <c r="E14" s="273">
        <v>2941</v>
      </c>
      <c r="F14" s="273">
        <v>2940</v>
      </c>
      <c r="G14" s="273">
        <v>681.6</v>
      </c>
      <c r="H14" s="273">
        <v>673</v>
      </c>
      <c r="I14" s="273">
        <v>803.8</v>
      </c>
      <c r="J14" s="273">
        <v>654.8</v>
      </c>
      <c r="K14" s="300"/>
      <c r="L14" s="300"/>
      <c r="M14" s="273"/>
      <c r="N14" s="273"/>
      <c r="O14" s="273"/>
      <c r="P14" s="273"/>
      <c r="Q14" s="273"/>
      <c r="R14" s="273"/>
      <c r="S14" s="273">
        <v>260.9</v>
      </c>
      <c r="T14" s="273">
        <v>41.5</v>
      </c>
      <c r="U14" s="273">
        <f t="shared" si="1"/>
        <v>4687.299999999999</v>
      </c>
      <c r="V14" s="273">
        <f t="shared" si="1"/>
        <v>4309.3</v>
      </c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>
        <f t="shared" si="2"/>
        <v>0</v>
      </c>
      <c r="AM14" s="273">
        <f t="shared" si="2"/>
        <v>0</v>
      </c>
      <c r="AN14" s="273"/>
      <c r="AO14" s="273"/>
    </row>
    <row r="15" spans="1:41" ht="16.5" customHeight="1">
      <c r="A15" s="262">
        <v>5</v>
      </c>
      <c r="B15" s="299" t="s">
        <v>879</v>
      </c>
      <c r="C15" s="273">
        <f t="shared" si="0"/>
        <v>58814.299999999996</v>
      </c>
      <c r="D15" s="273">
        <f t="shared" si="0"/>
        <v>37396.3</v>
      </c>
      <c r="E15" s="273">
        <v>14930</v>
      </c>
      <c r="F15" s="273">
        <v>14922.9</v>
      </c>
      <c r="G15" s="273">
        <v>3010</v>
      </c>
      <c r="H15" s="273">
        <v>2852.2</v>
      </c>
      <c r="I15" s="273">
        <v>7604.9</v>
      </c>
      <c r="J15" s="273">
        <v>3946.1</v>
      </c>
      <c r="K15" s="300"/>
      <c r="L15" s="300"/>
      <c r="M15" s="273"/>
      <c r="N15" s="273"/>
      <c r="O15" s="273">
        <v>13280</v>
      </c>
      <c r="P15" s="273">
        <v>13160</v>
      </c>
      <c r="Q15" s="273">
        <v>3000</v>
      </c>
      <c r="R15" s="273">
        <v>2900</v>
      </c>
      <c r="S15" s="273">
        <v>4751.3</v>
      </c>
      <c r="T15" s="273">
        <v>1540.8</v>
      </c>
      <c r="U15" s="273">
        <f t="shared" si="1"/>
        <v>46576.2</v>
      </c>
      <c r="V15" s="273">
        <f t="shared" si="1"/>
        <v>39322</v>
      </c>
      <c r="W15" s="273">
        <v>12600.6</v>
      </c>
      <c r="X15" s="273">
        <v>128</v>
      </c>
      <c r="Y15" s="273"/>
      <c r="Z15" s="273">
        <v>1738.1</v>
      </c>
      <c r="AA15" s="273">
        <v>40</v>
      </c>
      <c r="AB15" s="273"/>
      <c r="AC15" s="273"/>
      <c r="AD15" s="273">
        <v>-150.6</v>
      </c>
      <c r="AE15" s="273">
        <v>-150.7</v>
      </c>
      <c r="AF15" s="273">
        <v>-1950</v>
      </c>
      <c r="AG15" s="273">
        <v>-1943</v>
      </c>
      <c r="AH15" s="273"/>
      <c r="AI15" s="273"/>
      <c r="AJ15" s="273"/>
      <c r="AK15" s="273"/>
      <c r="AL15" s="273">
        <f t="shared" si="2"/>
        <v>12238.1</v>
      </c>
      <c r="AM15" s="273">
        <f t="shared" si="2"/>
        <v>-1925.7</v>
      </c>
      <c r="AN15" s="273">
        <v>1738.1</v>
      </c>
      <c r="AO15" s="273">
        <v>40</v>
      </c>
    </row>
    <row r="16" spans="1:41" ht="16.5" customHeight="1">
      <c r="A16" s="262">
        <v>6</v>
      </c>
      <c r="B16" s="299" t="s">
        <v>880</v>
      </c>
      <c r="C16" s="273">
        <f t="shared" si="0"/>
        <v>62390.9</v>
      </c>
      <c r="D16" s="273">
        <f t="shared" si="0"/>
        <v>59980</v>
      </c>
      <c r="E16" s="273">
        <v>25940</v>
      </c>
      <c r="F16" s="273">
        <v>25753.6</v>
      </c>
      <c r="G16" s="273">
        <v>5180</v>
      </c>
      <c r="H16" s="273">
        <v>5175.3</v>
      </c>
      <c r="I16" s="273">
        <v>8734.9</v>
      </c>
      <c r="J16" s="273">
        <v>7737.9</v>
      </c>
      <c r="K16" s="300"/>
      <c r="L16" s="300"/>
      <c r="M16" s="273"/>
      <c r="N16" s="273"/>
      <c r="O16" s="273">
        <v>15250</v>
      </c>
      <c r="P16" s="273">
        <v>14940</v>
      </c>
      <c r="Q16" s="273">
        <v>400</v>
      </c>
      <c r="R16" s="273">
        <v>270</v>
      </c>
      <c r="S16" s="273">
        <v>6860</v>
      </c>
      <c r="T16" s="273">
        <v>6081.6</v>
      </c>
      <c r="U16" s="273">
        <f t="shared" si="1"/>
        <v>62364.9</v>
      </c>
      <c r="V16" s="273">
        <f t="shared" si="1"/>
        <v>59958.4</v>
      </c>
      <c r="W16" s="273">
        <v>7711</v>
      </c>
      <c r="X16" s="273">
        <v>5661.6</v>
      </c>
      <c r="Y16" s="273"/>
      <c r="Z16" s="273"/>
      <c r="AA16" s="273"/>
      <c r="AB16" s="273"/>
      <c r="AC16" s="273"/>
      <c r="AD16" s="273">
        <v>-335</v>
      </c>
      <c r="AE16" s="273">
        <v>-193.6</v>
      </c>
      <c r="AF16" s="273">
        <v>-5100</v>
      </c>
      <c r="AG16" s="273">
        <v>-3234.4</v>
      </c>
      <c r="AH16" s="273"/>
      <c r="AI16" s="273"/>
      <c r="AJ16" s="273">
        <v>2250</v>
      </c>
      <c r="AK16" s="273">
        <v>2212</v>
      </c>
      <c r="AL16" s="273">
        <f t="shared" si="2"/>
        <v>2276</v>
      </c>
      <c r="AM16" s="273">
        <f t="shared" si="2"/>
        <v>2233.6</v>
      </c>
      <c r="AN16" s="273">
        <v>2250</v>
      </c>
      <c r="AO16" s="273">
        <v>2212</v>
      </c>
    </row>
    <row r="17" spans="1:41" ht="16.5" customHeight="1">
      <c r="A17" s="262">
        <v>7</v>
      </c>
      <c r="B17" s="299" t="s">
        <v>881</v>
      </c>
      <c r="C17" s="273">
        <f t="shared" si="0"/>
        <v>7407.799999999999</v>
      </c>
      <c r="D17" s="273">
        <f t="shared" si="0"/>
        <v>7388.5</v>
      </c>
      <c r="E17" s="301">
        <v>4351.7</v>
      </c>
      <c r="F17" s="301">
        <v>4351.6</v>
      </c>
      <c r="G17" s="301">
        <v>1187.7</v>
      </c>
      <c r="H17" s="301">
        <v>1187.7</v>
      </c>
      <c r="I17" s="301">
        <v>1198.8</v>
      </c>
      <c r="J17" s="301">
        <v>1198.8</v>
      </c>
      <c r="K17" s="302"/>
      <c r="L17" s="302"/>
      <c r="M17" s="301"/>
      <c r="N17" s="301"/>
      <c r="O17" s="301"/>
      <c r="P17" s="301"/>
      <c r="Q17" s="301">
        <v>150</v>
      </c>
      <c r="R17" s="301">
        <v>150</v>
      </c>
      <c r="S17" s="301">
        <v>500.4</v>
      </c>
      <c r="T17" s="301">
        <v>500.4</v>
      </c>
      <c r="U17" s="273">
        <f t="shared" si="1"/>
        <v>7388.599999999999</v>
      </c>
      <c r="V17" s="273">
        <f t="shared" si="1"/>
        <v>7388.5</v>
      </c>
      <c r="W17" s="301"/>
      <c r="X17" s="301"/>
      <c r="Y17" s="301"/>
      <c r="Z17" s="301">
        <v>19.2</v>
      </c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273">
        <f t="shared" si="2"/>
        <v>19.2</v>
      </c>
      <c r="AM17" s="273">
        <f t="shared" si="2"/>
        <v>0</v>
      </c>
      <c r="AN17" s="301">
        <v>19.2</v>
      </c>
      <c r="AO17" s="301"/>
    </row>
    <row r="18" spans="1:41" s="307" customFormat="1" ht="16.5" customHeight="1">
      <c r="A18" s="303">
        <v>8</v>
      </c>
      <c r="B18" s="299" t="s">
        <v>882</v>
      </c>
      <c r="C18" s="304">
        <f t="shared" si="0"/>
        <v>53170.200000000004</v>
      </c>
      <c r="D18" s="304">
        <f t="shared" si="0"/>
        <v>46286.9</v>
      </c>
      <c r="E18" s="305">
        <v>16420</v>
      </c>
      <c r="F18" s="305">
        <v>16195.4</v>
      </c>
      <c r="G18" s="305">
        <v>3778</v>
      </c>
      <c r="H18" s="305">
        <v>3327.7</v>
      </c>
      <c r="I18" s="305">
        <v>6105</v>
      </c>
      <c r="J18" s="305">
        <v>4122.5</v>
      </c>
      <c r="K18" s="306"/>
      <c r="L18" s="306"/>
      <c r="M18" s="305"/>
      <c r="N18" s="305"/>
      <c r="O18" s="305">
        <v>12690.4</v>
      </c>
      <c r="P18" s="305">
        <v>12689.7</v>
      </c>
      <c r="Q18" s="305">
        <v>3000</v>
      </c>
      <c r="R18" s="305">
        <v>2990</v>
      </c>
      <c r="S18" s="305">
        <v>7685.4</v>
      </c>
      <c r="T18" s="305">
        <v>7014.6</v>
      </c>
      <c r="U18" s="304">
        <f t="shared" si="1"/>
        <v>49678.8</v>
      </c>
      <c r="V18" s="304">
        <f t="shared" si="1"/>
        <v>46339.9</v>
      </c>
      <c r="W18" s="305">
        <v>3991.4</v>
      </c>
      <c r="X18" s="305">
        <v>1360</v>
      </c>
      <c r="Y18" s="305"/>
      <c r="Z18" s="305"/>
      <c r="AA18" s="305"/>
      <c r="AB18" s="305"/>
      <c r="AC18" s="305"/>
      <c r="AD18" s="305"/>
      <c r="AE18" s="305">
        <v>-473.3</v>
      </c>
      <c r="AF18" s="305">
        <v>-500</v>
      </c>
      <c r="AG18" s="305">
        <v>-939.7</v>
      </c>
      <c r="AH18" s="305"/>
      <c r="AI18" s="305"/>
      <c r="AJ18" s="305"/>
      <c r="AK18" s="305"/>
      <c r="AL18" s="304">
        <f t="shared" si="2"/>
        <v>3491.4</v>
      </c>
      <c r="AM18" s="304">
        <f t="shared" si="2"/>
        <v>-53</v>
      </c>
      <c r="AN18" s="305"/>
      <c r="AO18" s="305"/>
    </row>
    <row r="19" spans="1:41" ht="16.5" customHeight="1">
      <c r="A19" s="262">
        <v>9</v>
      </c>
      <c r="B19" s="299" t="s">
        <v>883</v>
      </c>
      <c r="C19" s="273">
        <f t="shared" si="0"/>
        <v>28632.7</v>
      </c>
      <c r="D19" s="273">
        <f t="shared" si="0"/>
        <v>27559.2</v>
      </c>
      <c r="E19" s="301">
        <v>8581</v>
      </c>
      <c r="F19" s="301">
        <v>8569.8</v>
      </c>
      <c r="G19" s="301">
        <v>2092</v>
      </c>
      <c r="H19" s="301">
        <v>1962.5</v>
      </c>
      <c r="I19" s="301">
        <v>3750</v>
      </c>
      <c r="J19" s="301">
        <v>3552.4</v>
      </c>
      <c r="K19" s="302"/>
      <c r="L19" s="302"/>
      <c r="M19" s="301"/>
      <c r="N19" s="301"/>
      <c r="O19" s="301">
        <v>9800</v>
      </c>
      <c r="P19" s="301">
        <v>9800</v>
      </c>
      <c r="Q19" s="301">
        <v>3130</v>
      </c>
      <c r="R19" s="301">
        <v>3080</v>
      </c>
      <c r="S19" s="301">
        <v>1272</v>
      </c>
      <c r="T19" s="301">
        <v>1263.8</v>
      </c>
      <c r="U19" s="273">
        <f t="shared" si="1"/>
        <v>28625</v>
      </c>
      <c r="V19" s="273">
        <f t="shared" si="1"/>
        <v>28228.5</v>
      </c>
      <c r="W19" s="301">
        <v>853.9</v>
      </c>
      <c r="X19" s="301">
        <v>853.9</v>
      </c>
      <c r="Y19" s="301"/>
      <c r="Z19" s="301"/>
      <c r="AA19" s="301"/>
      <c r="AB19" s="301"/>
      <c r="AC19" s="301"/>
      <c r="AD19" s="301"/>
      <c r="AE19" s="301"/>
      <c r="AF19" s="301">
        <v>-846.2</v>
      </c>
      <c r="AG19" s="301">
        <v>-1523.2</v>
      </c>
      <c r="AH19" s="301"/>
      <c r="AI19" s="301"/>
      <c r="AJ19" s="301"/>
      <c r="AK19" s="301"/>
      <c r="AL19" s="273">
        <f t="shared" si="2"/>
        <v>7.699999999999932</v>
      </c>
      <c r="AM19" s="273">
        <f t="shared" si="2"/>
        <v>-669.3000000000001</v>
      </c>
      <c r="AN19" s="301"/>
      <c r="AO19" s="301"/>
    </row>
    <row r="20" spans="1:41" ht="16.5" customHeight="1">
      <c r="A20" s="262">
        <v>10</v>
      </c>
      <c r="B20" s="299" t="s">
        <v>884</v>
      </c>
      <c r="C20" s="273">
        <f t="shared" si="0"/>
        <v>7191.1</v>
      </c>
      <c r="D20" s="273">
        <f t="shared" si="0"/>
        <v>4759.5</v>
      </c>
      <c r="E20" s="301">
        <v>4258</v>
      </c>
      <c r="F20" s="301">
        <v>4257.8</v>
      </c>
      <c r="G20" s="301">
        <v>974</v>
      </c>
      <c r="H20" s="301">
        <v>973.2</v>
      </c>
      <c r="I20" s="301">
        <v>1225.6</v>
      </c>
      <c r="J20" s="301">
        <v>1176.9</v>
      </c>
      <c r="K20" s="302"/>
      <c r="L20" s="302"/>
      <c r="M20" s="301"/>
      <c r="N20" s="301"/>
      <c r="O20" s="301"/>
      <c r="P20" s="301"/>
      <c r="Q20" s="301">
        <v>200</v>
      </c>
      <c r="R20" s="301">
        <v>200</v>
      </c>
      <c r="S20" s="301">
        <v>369.4</v>
      </c>
      <c r="T20" s="301">
        <v>266</v>
      </c>
      <c r="U20" s="273">
        <f t="shared" si="1"/>
        <v>7027</v>
      </c>
      <c r="V20" s="273">
        <f t="shared" si="1"/>
        <v>6873.900000000001</v>
      </c>
      <c r="W20" s="301">
        <v>614.1</v>
      </c>
      <c r="X20" s="301">
        <v>614</v>
      </c>
      <c r="Y20" s="301"/>
      <c r="Z20" s="301"/>
      <c r="AA20" s="301"/>
      <c r="AB20" s="301"/>
      <c r="AC20" s="301"/>
      <c r="AD20" s="301"/>
      <c r="AE20" s="301"/>
      <c r="AF20" s="301">
        <v>-450</v>
      </c>
      <c r="AG20" s="301">
        <v>-2728.4</v>
      </c>
      <c r="AH20" s="301"/>
      <c r="AI20" s="301"/>
      <c r="AJ20" s="301"/>
      <c r="AK20" s="301"/>
      <c r="AL20" s="273">
        <f t="shared" si="2"/>
        <v>164.10000000000002</v>
      </c>
      <c r="AM20" s="273">
        <f t="shared" si="2"/>
        <v>-2114.4</v>
      </c>
      <c r="AN20" s="301"/>
      <c r="AO20" s="301"/>
    </row>
    <row r="21" spans="1:41" ht="16.5" customHeight="1">
      <c r="A21" s="262">
        <v>11</v>
      </c>
      <c r="B21" s="299" t="s">
        <v>885</v>
      </c>
      <c r="C21" s="273">
        <f t="shared" si="0"/>
        <v>9942</v>
      </c>
      <c r="D21" s="273">
        <f t="shared" si="0"/>
        <v>9649.1</v>
      </c>
      <c r="E21" s="301">
        <v>5940</v>
      </c>
      <c r="F21" s="301">
        <v>5830.4</v>
      </c>
      <c r="G21" s="301">
        <v>1490</v>
      </c>
      <c r="H21" s="301">
        <v>1489.9</v>
      </c>
      <c r="I21" s="301">
        <v>1351.2</v>
      </c>
      <c r="J21" s="301">
        <v>1266.6</v>
      </c>
      <c r="K21" s="302"/>
      <c r="L21" s="302"/>
      <c r="M21" s="301"/>
      <c r="N21" s="301"/>
      <c r="O21" s="301"/>
      <c r="P21" s="301"/>
      <c r="Q21" s="301">
        <v>1011</v>
      </c>
      <c r="R21" s="301">
        <v>1011</v>
      </c>
      <c r="S21" s="301">
        <v>140</v>
      </c>
      <c r="T21" s="301">
        <v>138.2</v>
      </c>
      <c r="U21" s="273">
        <f t="shared" si="1"/>
        <v>9932.2</v>
      </c>
      <c r="V21" s="273">
        <f t="shared" si="1"/>
        <v>9736.1</v>
      </c>
      <c r="W21" s="301">
        <v>1067.1</v>
      </c>
      <c r="X21" s="301">
        <v>980</v>
      </c>
      <c r="Y21" s="301"/>
      <c r="Z21" s="301">
        <v>9.8</v>
      </c>
      <c r="AA21" s="301"/>
      <c r="AB21" s="301"/>
      <c r="AC21" s="301"/>
      <c r="AD21" s="301">
        <v>-887.9</v>
      </c>
      <c r="AE21" s="301">
        <v>-887.9</v>
      </c>
      <c r="AF21" s="301">
        <v>-179.2</v>
      </c>
      <c r="AG21" s="301">
        <v>-179.1</v>
      </c>
      <c r="AH21" s="301"/>
      <c r="AI21" s="301"/>
      <c r="AJ21" s="301"/>
      <c r="AK21" s="301"/>
      <c r="AL21" s="273">
        <f t="shared" si="2"/>
        <v>9.799999999999898</v>
      </c>
      <c r="AM21" s="273">
        <f t="shared" si="2"/>
        <v>-86.99999999999997</v>
      </c>
      <c r="AN21" s="301">
        <v>9.8</v>
      </c>
      <c r="AO21" s="301"/>
    </row>
    <row r="22" spans="1:41" ht="16.5" customHeight="1">
      <c r="A22" s="262">
        <v>12</v>
      </c>
      <c r="B22" s="299" t="s">
        <v>886</v>
      </c>
      <c r="C22" s="273">
        <f t="shared" si="0"/>
        <v>5302.2</v>
      </c>
      <c r="D22" s="273">
        <f t="shared" si="0"/>
        <v>5295.7</v>
      </c>
      <c r="E22" s="301">
        <v>3600</v>
      </c>
      <c r="F22" s="301">
        <v>3600</v>
      </c>
      <c r="G22" s="301">
        <v>779.2</v>
      </c>
      <c r="H22" s="301">
        <v>779.2</v>
      </c>
      <c r="I22" s="301">
        <v>574</v>
      </c>
      <c r="J22" s="301">
        <v>567.5</v>
      </c>
      <c r="K22" s="302"/>
      <c r="L22" s="302"/>
      <c r="M22" s="301"/>
      <c r="N22" s="301"/>
      <c r="O22" s="301"/>
      <c r="P22" s="301"/>
      <c r="Q22" s="301"/>
      <c r="R22" s="301"/>
      <c r="S22" s="301">
        <v>349</v>
      </c>
      <c r="T22" s="301">
        <v>349</v>
      </c>
      <c r="U22" s="273">
        <f t="shared" si="1"/>
        <v>5302.2</v>
      </c>
      <c r="V22" s="273">
        <f t="shared" si="1"/>
        <v>5295.7</v>
      </c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273">
        <f t="shared" si="2"/>
        <v>0</v>
      </c>
      <c r="AM22" s="273">
        <f t="shared" si="2"/>
        <v>0</v>
      </c>
      <c r="AN22" s="301"/>
      <c r="AO22" s="301"/>
    </row>
    <row r="23" spans="1:41" ht="16.5" customHeight="1">
      <c r="A23" s="262">
        <v>13</v>
      </c>
      <c r="B23" s="299" t="s">
        <v>887</v>
      </c>
      <c r="C23" s="273">
        <f t="shared" si="0"/>
        <v>12167.9</v>
      </c>
      <c r="D23" s="273">
        <f t="shared" si="0"/>
        <v>11907.9</v>
      </c>
      <c r="E23" s="301">
        <v>7162</v>
      </c>
      <c r="F23" s="301">
        <v>7161.9</v>
      </c>
      <c r="G23" s="301">
        <v>1361.9</v>
      </c>
      <c r="H23" s="301">
        <v>1298.3</v>
      </c>
      <c r="I23" s="301">
        <v>1600.5</v>
      </c>
      <c r="J23" s="301">
        <v>1408.2</v>
      </c>
      <c r="K23" s="302"/>
      <c r="L23" s="302"/>
      <c r="M23" s="301"/>
      <c r="N23" s="301"/>
      <c r="O23" s="301"/>
      <c r="P23" s="301"/>
      <c r="Q23" s="301">
        <v>650</v>
      </c>
      <c r="R23" s="301">
        <v>650</v>
      </c>
      <c r="S23" s="301">
        <v>158</v>
      </c>
      <c r="T23" s="301">
        <v>154</v>
      </c>
      <c r="U23" s="273">
        <f t="shared" si="1"/>
        <v>10932.4</v>
      </c>
      <c r="V23" s="273">
        <f t="shared" si="1"/>
        <v>10672.4</v>
      </c>
      <c r="W23" s="301">
        <v>2110</v>
      </c>
      <c r="X23" s="301">
        <v>1992</v>
      </c>
      <c r="Y23" s="301"/>
      <c r="Z23" s="301"/>
      <c r="AA23" s="301"/>
      <c r="AB23" s="301"/>
      <c r="AC23" s="301"/>
      <c r="AD23" s="301">
        <v>-172</v>
      </c>
      <c r="AE23" s="301">
        <v>-171.7</v>
      </c>
      <c r="AF23" s="301">
        <v>-702.5</v>
      </c>
      <c r="AG23" s="301">
        <v>-584.8</v>
      </c>
      <c r="AH23" s="301"/>
      <c r="AI23" s="301"/>
      <c r="AJ23" s="301"/>
      <c r="AK23" s="301"/>
      <c r="AL23" s="273">
        <f t="shared" si="2"/>
        <v>1235.5</v>
      </c>
      <c r="AM23" s="273">
        <f t="shared" si="2"/>
        <v>1235.5</v>
      </c>
      <c r="AN23" s="301"/>
      <c r="AO23" s="301"/>
    </row>
    <row r="24" spans="1:41" ht="16.5" customHeight="1">
      <c r="A24" s="262">
        <v>14</v>
      </c>
      <c r="B24" s="299" t="s">
        <v>888</v>
      </c>
      <c r="C24" s="273">
        <f t="shared" si="0"/>
        <v>26129.199999999997</v>
      </c>
      <c r="D24" s="273">
        <f t="shared" si="0"/>
        <v>23466.699999999997</v>
      </c>
      <c r="E24" s="301">
        <v>10710</v>
      </c>
      <c r="F24" s="301">
        <v>10184.9</v>
      </c>
      <c r="G24" s="301">
        <v>2265</v>
      </c>
      <c r="H24" s="301">
        <v>1976</v>
      </c>
      <c r="I24" s="301">
        <v>3158</v>
      </c>
      <c r="J24" s="301">
        <v>2040.8</v>
      </c>
      <c r="K24" s="302"/>
      <c r="L24" s="302"/>
      <c r="M24" s="301"/>
      <c r="N24" s="301"/>
      <c r="O24" s="301">
        <v>6953</v>
      </c>
      <c r="P24" s="301">
        <v>6743</v>
      </c>
      <c r="Q24" s="301">
        <v>1320</v>
      </c>
      <c r="R24" s="301">
        <v>1264</v>
      </c>
      <c r="S24" s="301">
        <v>1346.6</v>
      </c>
      <c r="T24" s="301">
        <v>1258</v>
      </c>
      <c r="U24" s="273">
        <f t="shared" si="1"/>
        <v>25752.6</v>
      </c>
      <c r="V24" s="273">
        <f t="shared" si="1"/>
        <v>23466.699999999997</v>
      </c>
      <c r="W24" s="301">
        <v>376.6</v>
      </c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273">
        <f t="shared" si="2"/>
        <v>376.6</v>
      </c>
      <c r="AM24" s="273">
        <f t="shared" si="2"/>
        <v>0</v>
      </c>
      <c r="AN24" s="301"/>
      <c r="AO24" s="301"/>
    </row>
    <row r="25" spans="1:41" ht="16.5" customHeight="1">
      <c r="A25" s="262">
        <v>15</v>
      </c>
      <c r="B25" s="299" t="s">
        <v>889</v>
      </c>
      <c r="C25" s="273">
        <f t="shared" si="0"/>
        <v>8167.5</v>
      </c>
      <c r="D25" s="273">
        <f t="shared" si="0"/>
        <v>8016.5</v>
      </c>
      <c r="E25" s="301">
        <v>5004</v>
      </c>
      <c r="F25" s="301">
        <v>5003</v>
      </c>
      <c r="G25" s="301">
        <v>1068.3</v>
      </c>
      <c r="H25" s="301">
        <v>1068.2</v>
      </c>
      <c r="I25" s="301">
        <v>1566.5</v>
      </c>
      <c r="J25" s="301">
        <v>1431.3</v>
      </c>
      <c r="K25" s="302"/>
      <c r="L25" s="302"/>
      <c r="M25" s="301"/>
      <c r="N25" s="301"/>
      <c r="O25" s="301"/>
      <c r="P25" s="301"/>
      <c r="Q25" s="301">
        <v>150</v>
      </c>
      <c r="R25" s="301">
        <v>150</v>
      </c>
      <c r="S25" s="301">
        <v>364</v>
      </c>
      <c r="T25" s="301">
        <v>364</v>
      </c>
      <c r="U25" s="273">
        <f t="shared" si="1"/>
        <v>8152.8</v>
      </c>
      <c r="V25" s="273">
        <f t="shared" si="1"/>
        <v>8016.5</v>
      </c>
      <c r="W25" s="301">
        <v>14.7</v>
      </c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273">
        <f t="shared" si="2"/>
        <v>14.7</v>
      </c>
      <c r="AM25" s="273">
        <f t="shared" si="2"/>
        <v>0</v>
      </c>
      <c r="AN25" s="301"/>
      <c r="AO25" s="301"/>
    </row>
    <row r="26" spans="1:41" ht="16.5" customHeight="1">
      <c r="A26" s="262">
        <v>16</v>
      </c>
      <c r="B26" s="299" t="s">
        <v>890</v>
      </c>
      <c r="C26" s="273">
        <f t="shared" si="0"/>
        <v>4804.7</v>
      </c>
      <c r="D26" s="273">
        <f t="shared" si="0"/>
        <v>4724.5</v>
      </c>
      <c r="E26" s="301">
        <v>2950</v>
      </c>
      <c r="F26" s="301">
        <v>2950</v>
      </c>
      <c r="G26" s="301">
        <v>660</v>
      </c>
      <c r="H26" s="301">
        <v>658.7</v>
      </c>
      <c r="I26" s="301">
        <v>1078.8</v>
      </c>
      <c r="J26" s="301">
        <v>1065.8</v>
      </c>
      <c r="K26" s="302"/>
      <c r="L26" s="302"/>
      <c r="M26" s="301"/>
      <c r="N26" s="301"/>
      <c r="O26" s="301"/>
      <c r="P26" s="301"/>
      <c r="Q26" s="301"/>
      <c r="R26" s="301"/>
      <c r="S26" s="301">
        <v>50</v>
      </c>
      <c r="T26" s="301">
        <v>50</v>
      </c>
      <c r="U26" s="273">
        <f t="shared" si="1"/>
        <v>4738.8</v>
      </c>
      <c r="V26" s="273">
        <f t="shared" si="1"/>
        <v>4724.5</v>
      </c>
      <c r="W26" s="301">
        <v>65.9</v>
      </c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273">
        <f t="shared" si="2"/>
        <v>65.9</v>
      </c>
      <c r="AM26" s="273">
        <f t="shared" si="2"/>
        <v>0</v>
      </c>
      <c r="AN26" s="301"/>
      <c r="AO26" s="301"/>
    </row>
    <row r="27" spans="1:41" ht="16.5" customHeight="1">
      <c r="A27" s="262">
        <v>17</v>
      </c>
      <c r="B27" s="299" t="s">
        <v>891</v>
      </c>
      <c r="C27" s="273">
        <f t="shared" si="0"/>
        <v>14517.8</v>
      </c>
      <c r="D27" s="273">
        <f t="shared" si="0"/>
        <v>9811.3</v>
      </c>
      <c r="E27" s="301">
        <v>4212</v>
      </c>
      <c r="F27" s="301">
        <v>3974.4</v>
      </c>
      <c r="G27" s="301">
        <v>1063.8</v>
      </c>
      <c r="H27" s="301">
        <v>967.9</v>
      </c>
      <c r="I27" s="301">
        <v>1257.1</v>
      </c>
      <c r="J27" s="301">
        <v>684.3</v>
      </c>
      <c r="K27" s="302"/>
      <c r="L27" s="302"/>
      <c r="M27" s="301"/>
      <c r="N27" s="301"/>
      <c r="O27" s="301"/>
      <c r="P27" s="301"/>
      <c r="Q27" s="301">
        <v>200</v>
      </c>
      <c r="R27" s="301">
        <v>104.2</v>
      </c>
      <c r="S27" s="301">
        <v>130</v>
      </c>
      <c r="T27" s="301">
        <v>64.5</v>
      </c>
      <c r="U27" s="273">
        <f t="shared" si="1"/>
        <v>6862.9</v>
      </c>
      <c r="V27" s="273">
        <f t="shared" si="1"/>
        <v>5795.3</v>
      </c>
      <c r="W27" s="301">
        <v>8154.9</v>
      </c>
      <c r="X27" s="301">
        <v>4464.5</v>
      </c>
      <c r="Y27" s="301"/>
      <c r="Z27" s="301"/>
      <c r="AA27" s="301"/>
      <c r="AB27" s="301"/>
      <c r="AC27" s="301"/>
      <c r="AD27" s="301"/>
      <c r="AE27" s="301"/>
      <c r="AF27" s="301">
        <v>-500</v>
      </c>
      <c r="AG27" s="301">
        <v>-448.5</v>
      </c>
      <c r="AH27" s="301"/>
      <c r="AI27" s="301"/>
      <c r="AJ27" s="301"/>
      <c r="AK27" s="301"/>
      <c r="AL27" s="273">
        <f t="shared" si="2"/>
        <v>7654.9</v>
      </c>
      <c r="AM27" s="273">
        <f t="shared" si="2"/>
        <v>4016</v>
      </c>
      <c r="AN27" s="301"/>
      <c r="AO27" s="301"/>
    </row>
    <row r="28" spans="1:41" ht="16.5" customHeight="1">
      <c r="A28" s="262">
        <v>18</v>
      </c>
      <c r="B28" s="299" t="s">
        <v>892</v>
      </c>
      <c r="C28" s="273">
        <f t="shared" si="0"/>
        <v>18816.2</v>
      </c>
      <c r="D28" s="273">
        <f t="shared" si="0"/>
        <v>18718.3</v>
      </c>
      <c r="E28" s="301">
        <v>8537.7</v>
      </c>
      <c r="F28" s="301">
        <v>8531.7</v>
      </c>
      <c r="G28" s="301">
        <v>1913.8</v>
      </c>
      <c r="H28" s="301">
        <v>1913.4</v>
      </c>
      <c r="I28" s="301">
        <v>3534</v>
      </c>
      <c r="J28" s="301">
        <v>3488.6</v>
      </c>
      <c r="K28" s="302"/>
      <c r="L28" s="302"/>
      <c r="M28" s="301"/>
      <c r="N28" s="301"/>
      <c r="O28" s="301">
        <v>3550</v>
      </c>
      <c r="P28" s="301">
        <v>3539</v>
      </c>
      <c r="Q28" s="301">
        <v>500</v>
      </c>
      <c r="R28" s="301">
        <v>500</v>
      </c>
      <c r="S28" s="301">
        <v>714</v>
      </c>
      <c r="T28" s="301">
        <v>698</v>
      </c>
      <c r="U28" s="273">
        <f t="shared" si="1"/>
        <v>18749.5</v>
      </c>
      <c r="V28" s="273">
        <f t="shared" si="1"/>
        <v>18670.7</v>
      </c>
      <c r="W28" s="301">
        <v>1066.7</v>
      </c>
      <c r="X28" s="301">
        <v>100</v>
      </c>
      <c r="Y28" s="301"/>
      <c r="Z28" s="301"/>
      <c r="AA28" s="301"/>
      <c r="AB28" s="301"/>
      <c r="AC28" s="301"/>
      <c r="AD28" s="301"/>
      <c r="AE28" s="301">
        <v>-36.1</v>
      </c>
      <c r="AF28" s="301">
        <v>-1000</v>
      </c>
      <c r="AG28" s="301">
        <v>-16.3</v>
      </c>
      <c r="AH28" s="301"/>
      <c r="AI28" s="301"/>
      <c r="AJ28" s="301"/>
      <c r="AK28" s="301"/>
      <c r="AL28" s="273">
        <f t="shared" si="2"/>
        <v>66.70000000000005</v>
      </c>
      <c r="AM28" s="273">
        <f t="shared" si="2"/>
        <v>47.599999999999994</v>
      </c>
      <c r="AN28" s="301"/>
      <c r="AO28" s="301"/>
    </row>
    <row r="29" spans="1:41" ht="16.5" customHeight="1">
      <c r="A29" s="262">
        <v>19</v>
      </c>
      <c r="B29" s="299" t="s">
        <v>893</v>
      </c>
      <c r="C29" s="273">
        <f t="shared" si="0"/>
        <v>37286.5</v>
      </c>
      <c r="D29" s="273">
        <f t="shared" si="0"/>
        <v>37016.100000000006</v>
      </c>
      <c r="E29" s="301">
        <v>11190.7</v>
      </c>
      <c r="F29" s="301">
        <v>11190.7</v>
      </c>
      <c r="G29" s="301">
        <v>2237.9</v>
      </c>
      <c r="H29" s="301">
        <v>2237.9</v>
      </c>
      <c r="I29" s="301">
        <v>6418.5</v>
      </c>
      <c r="J29" s="301">
        <v>6158.3</v>
      </c>
      <c r="K29" s="302"/>
      <c r="L29" s="302"/>
      <c r="M29" s="301"/>
      <c r="N29" s="301"/>
      <c r="O29" s="301"/>
      <c r="P29" s="301"/>
      <c r="Q29" s="301">
        <v>1686.8</v>
      </c>
      <c r="R29" s="301">
        <v>1685</v>
      </c>
      <c r="S29" s="301">
        <v>8807.2</v>
      </c>
      <c r="T29" s="301">
        <v>8798.6</v>
      </c>
      <c r="U29" s="273">
        <f t="shared" si="1"/>
        <v>30341.100000000002</v>
      </c>
      <c r="V29" s="273">
        <f t="shared" si="1"/>
        <v>30070.500000000004</v>
      </c>
      <c r="W29" s="301">
        <v>16275.6</v>
      </c>
      <c r="X29" s="301">
        <v>16275.6</v>
      </c>
      <c r="Y29" s="301"/>
      <c r="Z29" s="301">
        <v>216</v>
      </c>
      <c r="AA29" s="301">
        <v>216</v>
      </c>
      <c r="AB29" s="301"/>
      <c r="AC29" s="301"/>
      <c r="AD29" s="301"/>
      <c r="AE29" s="301"/>
      <c r="AF29" s="301">
        <v>-1970</v>
      </c>
      <c r="AG29" s="301">
        <v>-1970</v>
      </c>
      <c r="AH29" s="301"/>
      <c r="AI29" s="301"/>
      <c r="AJ29" s="301">
        <v>7576.2</v>
      </c>
      <c r="AK29" s="301">
        <v>7576</v>
      </c>
      <c r="AL29" s="273">
        <f t="shared" si="2"/>
        <v>14521.599999999999</v>
      </c>
      <c r="AM29" s="273">
        <f t="shared" si="2"/>
        <v>14521.599999999999</v>
      </c>
      <c r="AN29" s="301">
        <v>216</v>
      </c>
      <c r="AO29" s="301">
        <v>216</v>
      </c>
    </row>
    <row r="30" spans="1:41" s="307" customFormat="1" ht="16.5" customHeight="1">
      <c r="A30" s="262">
        <v>20</v>
      </c>
      <c r="B30" s="299" t="s">
        <v>894</v>
      </c>
      <c r="C30" s="304">
        <f t="shared" si="0"/>
        <v>25008.3</v>
      </c>
      <c r="D30" s="304">
        <f t="shared" si="0"/>
        <v>18489.7</v>
      </c>
      <c r="E30" s="305">
        <v>7752</v>
      </c>
      <c r="F30" s="305">
        <v>7752</v>
      </c>
      <c r="G30" s="305">
        <v>1786</v>
      </c>
      <c r="H30" s="305">
        <v>1781</v>
      </c>
      <c r="I30" s="305">
        <v>2398.5</v>
      </c>
      <c r="J30" s="305">
        <v>2384.3</v>
      </c>
      <c r="K30" s="306"/>
      <c r="L30" s="306"/>
      <c r="M30" s="305"/>
      <c r="N30" s="305"/>
      <c r="O30" s="305"/>
      <c r="P30" s="305"/>
      <c r="Q30" s="305">
        <v>380</v>
      </c>
      <c r="R30" s="305">
        <v>380</v>
      </c>
      <c r="S30" s="305">
        <v>415.9</v>
      </c>
      <c r="T30" s="305">
        <v>415.9</v>
      </c>
      <c r="U30" s="304">
        <f t="shared" si="1"/>
        <v>12732.4</v>
      </c>
      <c r="V30" s="304">
        <f t="shared" si="1"/>
        <v>12713.2</v>
      </c>
      <c r="W30" s="305">
        <v>12275.9</v>
      </c>
      <c r="X30" s="305">
        <v>5776.5</v>
      </c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4">
        <f t="shared" si="2"/>
        <v>12275.9</v>
      </c>
      <c r="AM30" s="304">
        <f t="shared" si="2"/>
        <v>5776.5</v>
      </c>
      <c r="AN30" s="305"/>
      <c r="AO30" s="305"/>
    </row>
    <row r="31" spans="1:41" ht="16.5" customHeight="1">
      <c r="A31" s="708" t="s">
        <v>895</v>
      </c>
      <c r="B31" s="709"/>
      <c r="C31" s="308">
        <f aca="true" t="shared" si="3" ref="C31:AK31">SUM(C11:C30)</f>
        <v>744201.2999999999</v>
      </c>
      <c r="D31" s="308">
        <f t="shared" si="3"/>
        <v>686160.5</v>
      </c>
      <c r="E31" s="308">
        <f t="shared" si="3"/>
        <v>242002.70000000004</v>
      </c>
      <c r="F31" s="308">
        <f t="shared" si="3"/>
        <v>240607.79999999996</v>
      </c>
      <c r="G31" s="308">
        <f t="shared" si="3"/>
        <v>51978.8</v>
      </c>
      <c r="H31" s="308">
        <f t="shared" si="3"/>
        <v>50611.5</v>
      </c>
      <c r="I31" s="308">
        <f t="shared" si="3"/>
        <v>149604.99999999997</v>
      </c>
      <c r="J31" s="308">
        <f t="shared" si="3"/>
        <v>139720.9</v>
      </c>
      <c r="K31" s="309">
        <f t="shared" si="3"/>
        <v>0</v>
      </c>
      <c r="L31" s="309">
        <f t="shared" si="3"/>
        <v>0</v>
      </c>
      <c r="M31" s="308">
        <f t="shared" si="3"/>
        <v>0</v>
      </c>
      <c r="N31" s="308">
        <f t="shared" si="3"/>
        <v>0</v>
      </c>
      <c r="O31" s="308">
        <f t="shared" si="3"/>
        <v>177787.1</v>
      </c>
      <c r="P31" s="308">
        <f t="shared" si="3"/>
        <v>177135.2</v>
      </c>
      <c r="Q31" s="308">
        <f t="shared" si="3"/>
        <v>19729.8</v>
      </c>
      <c r="R31" s="308">
        <f t="shared" si="3"/>
        <v>19286.2</v>
      </c>
      <c r="S31" s="308">
        <f t="shared" si="3"/>
        <v>44350.30000000001</v>
      </c>
      <c r="T31" s="308">
        <f t="shared" si="3"/>
        <v>32750.9</v>
      </c>
      <c r="U31" s="308">
        <f t="shared" si="3"/>
        <v>685453.7000000001</v>
      </c>
      <c r="V31" s="308">
        <f t="shared" si="3"/>
        <v>660112.4999999999</v>
      </c>
      <c r="W31" s="308">
        <f t="shared" si="3"/>
        <v>113660.29999999999</v>
      </c>
      <c r="X31" s="308">
        <f t="shared" si="3"/>
        <v>84163.3</v>
      </c>
      <c r="Y31" s="308">
        <f t="shared" si="3"/>
        <v>7632.1</v>
      </c>
      <c r="Z31" s="308">
        <f t="shared" si="3"/>
        <v>1983.1</v>
      </c>
      <c r="AA31" s="308">
        <f t="shared" si="3"/>
        <v>256</v>
      </c>
      <c r="AB31" s="308">
        <f t="shared" si="3"/>
        <v>0</v>
      </c>
      <c r="AC31" s="308">
        <f t="shared" si="3"/>
        <v>0</v>
      </c>
      <c r="AD31" s="308">
        <f t="shared" si="3"/>
        <v>-8763.4</v>
      </c>
      <c r="AE31" s="308">
        <f t="shared" si="3"/>
        <v>-15580.400000000001</v>
      </c>
      <c r="AF31" s="308">
        <f t="shared" si="3"/>
        <v>-38242.99999999999</v>
      </c>
      <c r="AG31" s="308">
        <f t="shared" si="3"/>
        <v>-32939.7</v>
      </c>
      <c r="AH31" s="308">
        <f t="shared" si="3"/>
        <v>0</v>
      </c>
      <c r="AI31" s="308">
        <f t="shared" si="3"/>
        <v>0</v>
      </c>
      <c r="AJ31" s="308">
        <f t="shared" si="3"/>
        <v>9889.4</v>
      </c>
      <c r="AK31" s="308">
        <f t="shared" si="3"/>
        <v>9851.2</v>
      </c>
      <c r="AL31" s="308">
        <f>SUM(AL11:AL30)</f>
        <v>68636.99999999999</v>
      </c>
      <c r="AM31" s="308">
        <f>SUM(AM11:AM30)</f>
        <v>35899.200000000004</v>
      </c>
      <c r="AN31" s="308">
        <f>SUM(AN11:AN30)</f>
        <v>4233.1</v>
      </c>
      <c r="AO31" s="308">
        <f>SUM(AO11:AO30)</f>
        <v>2468</v>
      </c>
    </row>
    <row r="32" spans="1:41" ht="16.5" customHeight="1">
      <c r="A32" s="262">
        <v>21</v>
      </c>
      <c r="B32" s="299" t="s">
        <v>896</v>
      </c>
      <c r="C32" s="273">
        <f aca="true" t="shared" si="4" ref="C32:D34">U32+AL32-AJ32</f>
        <v>334542.1</v>
      </c>
      <c r="D32" s="273">
        <f t="shared" si="4"/>
        <v>6356.899999999965</v>
      </c>
      <c r="E32" s="301">
        <v>49090</v>
      </c>
      <c r="F32" s="301">
        <v>49090</v>
      </c>
      <c r="G32" s="301">
        <v>8473.2</v>
      </c>
      <c r="H32" s="301">
        <v>8473.1</v>
      </c>
      <c r="I32" s="301">
        <v>107756.8</v>
      </c>
      <c r="J32" s="301">
        <v>107292.8</v>
      </c>
      <c r="K32" s="302"/>
      <c r="L32" s="302"/>
      <c r="M32" s="301">
        <v>128868.4</v>
      </c>
      <c r="N32" s="301">
        <v>128868.4</v>
      </c>
      <c r="O32" s="301">
        <v>1285</v>
      </c>
      <c r="P32" s="301">
        <v>1209.6</v>
      </c>
      <c r="Q32" s="301">
        <v>4726.1</v>
      </c>
      <c r="R32" s="301">
        <v>4716.4</v>
      </c>
      <c r="S32" s="301">
        <v>690</v>
      </c>
      <c r="T32" s="301">
        <v>669</v>
      </c>
      <c r="U32" s="273">
        <f aca="true" t="shared" si="5" ref="U32:V37">S32+Q32+O32+M32+K32+I32+G32+E32</f>
        <v>300889.5</v>
      </c>
      <c r="V32" s="273">
        <f t="shared" si="5"/>
        <v>300319.30000000005</v>
      </c>
      <c r="W32" s="301">
        <v>853652.6</v>
      </c>
      <c r="X32" s="301">
        <v>543803.1</v>
      </c>
      <c r="Y32" s="301">
        <v>0</v>
      </c>
      <c r="Z32" s="301"/>
      <c r="AA32" s="301"/>
      <c r="AB32" s="301"/>
      <c r="AC32" s="301"/>
      <c r="AD32" s="301">
        <v>-20000</v>
      </c>
      <c r="AE32" s="301">
        <v>-31236.2</v>
      </c>
      <c r="AF32" s="301">
        <v>-800000</v>
      </c>
      <c r="AG32" s="301">
        <v>-806529.3</v>
      </c>
      <c r="AH32" s="301"/>
      <c r="AI32" s="301"/>
      <c r="AJ32" s="301"/>
      <c r="AK32" s="301"/>
      <c r="AL32" s="273">
        <f aca="true" t="shared" si="6" ref="AL32:AM37">W32+Z32+AB32+AD32+AF32+AH32</f>
        <v>33652.59999999998</v>
      </c>
      <c r="AM32" s="273">
        <f t="shared" si="6"/>
        <v>-293962.4000000001</v>
      </c>
      <c r="AN32" s="301"/>
      <c r="AO32" s="301"/>
    </row>
    <row r="33" spans="1:41" ht="16.5" customHeight="1">
      <c r="A33" s="262">
        <v>22</v>
      </c>
      <c r="B33" s="299" t="s">
        <v>897</v>
      </c>
      <c r="C33" s="273">
        <f t="shared" si="4"/>
        <v>5413.4</v>
      </c>
      <c r="D33" s="273">
        <f t="shared" si="4"/>
        <v>5119.8</v>
      </c>
      <c r="E33" s="301">
        <v>3300</v>
      </c>
      <c r="F33" s="301">
        <v>3300</v>
      </c>
      <c r="G33" s="301">
        <v>792</v>
      </c>
      <c r="H33" s="301">
        <v>755</v>
      </c>
      <c r="I33" s="301">
        <v>934</v>
      </c>
      <c r="J33" s="301">
        <v>757</v>
      </c>
      <c r="K33" s="302"/>
      <c r="L33" s="302"/>
      <c r="M33" s="301"/>
      <c r="N33" s="301"/>
      <c r="O33" s="301">
        <v>125</v>
      </c>
      <c r="P33" s="301">
        <v>122.8</v>
      </c>
      <c r="Q33" s="301"/>
      <c r="R33" s="301"/>
      <c r="S33" s="301">
        <v>15</v>
      </c>
      <c r="T33" s="301">
        <v>15</v>
      </c>
      <c r="U33" s="273">
        <f t="shared" si="5"/>
        <v>5166</v>
      </c>
      <c r="V33" s="273">
        <f t="shared" si="5"/>
        <v>4949.8</v>
      </c>
      <c r="W33" s="301">
        <v>451.8</v>
      </c>
      <c r="X33" s="301">
        <v>374.4</v>
      </c>
      <c r="Y33" s="301"/>
      <c r="Z33" s="301"/>
      <c r="AA33" s="301"/>
      <c r="AB33" s="301"/>
      <c r="AC33" s="301"/>
      <c r="AD33" s="301"/>
      <c r="AE33" s="301"/>
      <c r="AF33" s="301">
        <v>-204.4</v>
      </c>
      <c r="AG33" s="301">
        <v>-204.4</v>
      </c>
      <c r="AH33" s="301"/>
      <c r="AI33" s="301"/>
      <c r="AJ33" s="301"/>
      <c r="AK33" s="301"/>
      <c r="AL33" s="273">
        <f t="shared" si="6"/>
        <v>247.4</v>
      </c>
      <c r="AM33" s="273">
        <f t="shared" si="6"/>
        <v>169.99999999999997</v>
      </c>
      <c r="AN33" s="301"/>
      <c r="AO33" s="301"/>
    </row>
    <row r="34" spans="1:41" ht="16.5" customHeight="1">
      <c r="A34" s="303">
        <v>23</v>
      </c>
      <c r="B34" s="299" t="s">
        <v>898</v>
      </c>
      <c r="C34" s="273">
        <f t="shared" si="4"/>
        <v>18775.399999999998</v>
      </c>
      <c r="D34" s="273">
        <f t="shared" si="4"/>
        <v>18737.600000000002</v>
      </c>
      <c r="E34" s="301">
        <v>10271.2</v>
      </c>
      <c r="F34" s="301">
        <v>10265.9</v>
      </c>
      <c r="G34" s="301">
        <v>1707.1</v>
      </c>
      <c r="H34" s="301">
        <v>1679.2</v>
      </c>
      <c r="I34" s="301">
        <v>6484.8</v>
      </c>
      <c r="J34" s="301">
        <v>6480.8</v>
      </c>
      <c r="K34" s="302"/>
      <c r="L34" s="302"/>
      <c r="M34" s="301"/>
      <c r="N34" s="301"/>
      <c r="O34" s="301"/>
      <c r="P34" s="301"/>
      <c r="Q34" s="301"/>
      <c r="R34" s="301"/>
      <c r="S34" s="301"/>
      <c r="T34" s="301"/>
      <c r="U34" s="273">
        <f t="shared" si="5"/>
        <v>18463.1</v>
      </c>
      <c r="V34" s="273">
        <f t="shared" si="5"/>
        <v>18425.9</v>
      </c>
      <c r="W34" s="301">
        <v>1322.3</v>
      </c>
      <c r="X34" s="301">
        <v>784</v>
      </c>
      <c r="Y34" s="301"/>
      <c r="Z34" s="301"/>
      <c r="AA34" s="301"/>
      <c r="AB34" s="301"/>
      <c r="AC34" s="301"/>
      <c r="AD34" s="301"/>
      <c r="AE34" s="301"/>
      <c r="AF34" s="301">
        <v>-1010</v>
      </c>
      <c r="AG34" s="301">
        <v>-472.3</v>
      </c>
      <c r="AH34" s="301"/>
      <c r="AI34" s="301"/>
      <c r="AJ34" s="301"/>
      <c r="AK34" s="301"/>
      <c r="AL34" s="273">
        <f t="shared" si="6"/>
        <v>312.29999999999995</v>
      </c>
      <c r="AM34" s="273">
        <f t="shared" si="6"/>
        <v>311.7</v>
      </c>
      <c r="AN34" s="301"/>
      <c r="AO34" s="301"/>
    </row>
    <row r="35" spans="1:41" ht="16.5" customHeight="1">
      <c r="A35" s="303">
        <v>24</v>
      </c>
      <c r="B35" s="299" t="s">
        <v>899</v>
      </c>
      <c r="C35" s="273">
        <f>U35+AL35</f>
        <v>24270</v>
      </c>
      <c r="D35" s="273">
        <f>V35+AM35</f>
        <v>24200.399999999998</v>
      </c>
      <c r="E35" s="301">
        <v>10323.7</v>
      </c>
      <c r="F35" s="301">
        <v>10309.4</v>
      </c>
      <c r="G35" s="301">
        <v>2071.6</v>
      </c>
      <c r="H35" s="301">
        <v>2071.6</v>
      </c>
      <c r="I35" s="301">
        <v>10996.5</v>
      </c>
      <c r="J35" s="301">
        <v>10946.2</v>
      </c>
      <c r="K35" s="302"/>
      <c r="L35" s="302"/>
      <c r="M35" s="301"/>
      <c r="N35" s="301"/>
      <c r="O35" s="301">
        <v>170</v>
      </c>
      <c r="P35" s="301">
        <v>170</v>
      </c>
      <c r="Q35" s="301">
        <v>660</v>
      </c>
      <c r="R35" s="301">
        <v>660</v>
      </c>
      <c r="S35" s="301">
        <v>45.4</v>
      </c>
      <c r="T35" s="301">
        <v>44.4</v>
      </c>
      <c r="U35" s="273">
        <f t="shared" si="5"/>
        <v>24267.2</v>
      </c>
      <c r="V35" s="273">
        <f t="shared" si="5"/>
        <v>24201.6</v>
      </c>
      <c r="W35" s="301">
        <v>4285.8</v>
      </c>
      <c r="X35" s="301">
        <v>3881</v>
      </c>
      <c r="Y35" s="301"/>
      <c r="Z35" s="301"/>
      <c r="AA35" s="301"/>
      <c r="AB35" s="301"/>
      <c r="AC35" s="301"/>
      <c r="AD35" s="301">
        <v>-1398</v>
      </c>
      <c r="AE35" s="301">
        <v>-1298.3</v>
      </c>
      <c r="AF35" s="301">
        <v>-2885</v>
      </c>
      <c r="AG35" s="301">
        <v>-2583.9</v>
      </c>
      <c r="AH35" s="301"/>
      <c r="AI35" s="301"/>
      <c r="AJ35" s="301"/>
      <c r="AK35" s="301"/>
      <c r="AL35" s="273">
        <f t="shared" si="6"/>
        <v>2.800000000000182</v>
      </c>
      <c r="AM35" s="273">
        <f t="shared" si="6"/>
        <v>-1.2000000000002728</v>
      </c>
      <c r="AN35" s="301"/>
      <c r="AO35" s="301"/>
    </row>
    <row r="36" spans="1:41" ht="16.5" customHeight="1">
      <c r="A36" s="262">
        <v>25</v>
      </c>
      <c r="B36" s="299" t="s">
        <v>900</v>
      </c>
      <c r="C36" s="273">
        <f>U36+AL36-AJ36</f>
        <v>5815.8</v>
      </c>
      <c r="D36" s="273">
        <f>V36+AM36-AK36</f>
        <v>5042.7</v>
      </c>
      <c r="E36" s="301">
        <v>3024</v>
      </c>
      <c r="F36" s="301">
        <v>2564.7</v>
      </c>
      <c r="G36" s="301">
        <v>768</v>
      </c>
      <c r="H36" s="301">
        <v>536</v>
      </c>
      <c r="I36" s="301">
        <v>1512</v>
      </c>
      <c r="J36" s="301">
        <v>1454</v>
      </c>
      <c r="K36" s="302"/>
      <c r="L36" s="302"/>
      <c r="M36" s="301"/>
      <c r="N36" s="301"/>
      <c r="O36" s="301">
        <v>60</v>
      </c>
      <c r="P36" s="301">
        <v>60</v>
      </c>
      <c r="Q36" s="301">
        <v>180</v>
      </c>
      <c r="R36" s="301">
        <v>172</v>
      </c>
      <c r="S36" s="301">
        <v>27.8</v>
      </c>
      <c r="T36" s="301">
        <v>12</v>
      </c>
      <c r="U36" s="273">
        <f t="shared" si="5"/>
        <v>5571.8</v>
      </c>
      <c r="V36" s="273">
        <f t="shared" si="5"/>
        <v>4798.7</v>
      </c>
      <c r="W36" s="301">
        <v>244</v>
      </c>
      <c r="X36" s="301">
        <v>244</v>
      </c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273">
        <f t="shared" si="6"/>
        <v>244</v>
      </c>
      <c r="AM36" s="273">
        <f t="shared" si="6"/>
        <v>244</v>
      </c>
      <c r="AN36" s="301"/>
      <c r="AO36" s="301"/>
    </row>
    <row r="37" spans="1:41" ht="16.5" customHeight="1">
      <c r="A37" s="262">
        <v>26</v>
      </c>
      <c r="B37" s="299" t="s">
        <v>901</v>
      </c>
      <c r="C37" s="273">
        <f>U37+AL37-AJ37</f>
        <v>71838.3</v>
      </c>
      <c r="D37" s="273">
        <f>V37+AM37-AK37</f>
        <v>66670.1</v>
      </c>
      <c r="E37" s="301">
        <v>22845.5</v>
      </c>
      <c r="F37" s="301">
        <v>22605.9</v>
      </c>
      <c r="G37" s="301">
        <v>4390</v>
      </c>
      <c r="H37" s="301">
        <v>4118.8</v>
      </c>
      <c r="I37" s="301">
        <v>7747.2</v>
      </c>
      <c r="J37" s="301">
        <v>7110.8</v>
      </c>
      <c r="K37" s="302"/>
      <c r="L37" s="302"/>
      <c r="M37" s="301">
        <v>22831.2</v>
      </c>
      <c r="N37" s="301">
        <v>22403</v>
      </c>
      <c r="O37" s="301">
        <v>280</v>
      </c>
      <c r="P37" s="301">
        <v>280</v>
      </c>
      <c r="Q37" s="301">
        <v>1930</v>
      </c>
      <c r="R37" s="301">
        <v>1930</v>
      </c>
      <c r="S37" s="301">
        <v>4533.6</v>
      </c>
      <c r="T37" s="301">
        <v>2156</v>
      </c>
      <c r="U37" s="273">
        <f t="shared" si="5"/>
        <v>64557.5</v>
      </c>
      <c r="V37" s="273">
        <f t="shared" si="5"/>
        <v>60604.50000000001</v>
      </c>
      <c r="W37" s="301">
        <v>28800.3</v>
      </c>
      <c r="X37" s="301">
        <v>26876.5</v>
      </c>
      <c r="Y37" s="301"/>
      <c r="Z37" s="301"/>
      <c r="AA37" s="301"/>
      <c r="AB37" s="301"/>
      <c r="AC37" s="301"/>
      <c r="AD37" s="301">
        <v>-6481.5</v>
      </c>
      <c r="AE37" s="301">
        <v>-7638.5</v>
      </c>
      <c r="AF37" s="301">
        <v>-12920</v>
      </c>
      <c r="AG37" s="301">
        <v>-11054.4</v>
      </c>
      <c r="AH37" s="301"/>
      <c r="AI37" s="301"/>
      <c r="AJ37" s="301">
        <v>2118</v>
      </c>
      <c r="AK37" s="301">
        <v>2118</v>
      </c>
      <c r="AL37" s="273">
        <f t="shared" si="6"/>
        <v>9398.8</v>
      </c>
      <c r="AM37" s="273">
        <f t="shared" si="6"/>
        <v>8183.6</v>
      </c>
      <c r="AN37" s="301"/>
      <c r="AO37" s="301"/>
    </row>
    <row r="38" spans="1:41" ht="16.5" customHeight="1">
      <c r="A38" s="708" t="s">
        <v>902</v>
      </c>
      <c r="B38" s="709"/>
      <c r="C38" s="308">
        <f aca="true" t="shared" si="7" ref="C38:AK38">SUM(C32:C37)</f>
        <v>460655</v>
      </c>
      <c r="D38" s="308">
        <f t="shared" si="7"/>
        <v>126127.49999999997</v>
      </c>
      <c r="E38" s="308">
        <f t="shared" si="7"/>
        <v>98854.4</v>
      </c>
      <c r="F38" s="308">
        <f t="shared" si="7"/>
        <v>98135.9</v>
      </c>
      <c r="G38" s="308">
        <f t="shared" si="7"/>
        <v>18201.9</v>
      </c>
      <c r="H38" s="308">
        <f t="shared" si="7"/>
        <v>17633.7</v>
      </c>
      <c r="I38" s="308">
        <f t="shared" si="7"/>
        <v>135431.30000000002</v>
      </c>
      <c r="J38" s="308">
        <f t="shared" si="7"/>
        <v>134041.6</v>
      </c>
      <c r="K38" s="309">
        <f t="shared" si="7"/>
        <v>0</v>
      </c>
      <c r="L38" s="309">
        <f t="shared" si="7"/>
        <v>0</v>
      </c>
      <c r="M38" s="308">
        <f t="shared" si="7"/>
        <v>151699.6</v>
      </c>
      <c r="N38" s="308">
        <f t="shared" si="7"/>
        <v>151271.4</v>
      </c>
      <c r="O38" s="308">
        <f t="shared" si="7"/>
        <v>1920</v>
      </c>
      <c r="P38" s="308">
        <f t="shared" si="7"/>
        <v>1842.3999999999999</v>
      </c>
      <c r="Q38" s="308">
        <f t="shared" si="7"/>
        <v>7496.1</v>
      </c>
      <c r="R38" s="308">
        <f t="shared" si="7"/>
        <v>7478.4</v>
      </c>
      <c r="S38" s="308">
        <f t="shared" si="7"/>
        <v>5311.8</v>
      </c>
      <c r="T38" s="308">
        <f t="shared" si="7"/>
        <v>2896.4</v>
      </c>
      <c r="U38" s="308">
        <f t="shared" si="7"/>
        <v>418915.1</v>
      </c>
      <c r="V38" s="308">
        <f t="shared" si="7"/>
        <v>413299.80000000005</v>
      </c>
      <c r="W38" s="308">
        <f t="shared" si="7"/>
        <v>888756.8000000002</v>
      </c>
      <c r="X38" s="308">
        <f t="shared" si="7"/>
        <v>575963</v>
      </c>
      <c r="Y38" s="308">
        <f t="shared" si="7"/>
        <v>0</v>
      </c>
      <c r="Z38" s="308">
        <f t="shared" si="7"/>
        <v>0</v>
      </c>
      <c r="AA38" s="308">
        <f t="shared" si="7"/>
        <v>0</v>
      </c>
      <c r="AB38" s="308">
        <f t="shared" si="7"/>
        <v>0</v>
      </c>
      <c r="AC38" s="308">
        <f t="shared" si="7"/>
        <v>0</v>
      </c>
      <c r="AD38" s="308">
        <f t="shared" si="7"/>
        <v>-27879.5</v>
      </c>
      <c r="AE38" s="308">
        <f t="shared" si="7"/>
        <v>-40173</v>
      </c>
      <c r="AF38" s="308">
        <f t="shared" si="7"/>
        <v>-817019.4</v>
      </c>
      <c r="AG38" s="308">
        <f t="shared" si="7"/>
        <v>-820844.3000000002</v>
      </c>
      <c r="AH38" s="308">
        <f t="shared" si="7"/>
        <v>0</v>
      </c>
      <c r="AI38" s="308">
        <f t="shared" si="7"/>
        <v>0</v>
      </c>
      <c r="AJ38" s="308">
        <f t="shared" si="7"/>
        <v>2118</v>
      </c>
      <c r="AK38" s="308">
        <f t="shared" si="7"/>
        <v>2118</v>
      </c>
      <c r="AL38" s="308">
        <f>SUM(AL32:AL37)</f>
        <v>43857.89999999998</v>
      </c>
      <c r="AM38" s="308">
        <f>SUM(AM32:AM37)</f>
        <v>-285054.3000000001</v>
      </c>
      <c r="AN38" s="308">
        <f>SUM(AN32:AN37)</f>
        <v>0</v>
      </c>
      <c r="AO38" s="308">
        <f>SUM(AO32:AO37)</f>
        <v>0</v>
      </c>
    </row>
    <row r="39" spans="1:42" ht="16.5" customHeight="1">
      <c r="A39" s="262">
        <v>27</v>
      </c>
      <c r="B39" s="299" t="s">
        <v>903</v>
      </c>
      <c r="C39" s="273">
        <f aca="true" t="shared" si="8" ref="C39:D55">U39+AL39-AJ39</f>
        <v>152380.50000000003</v>
      </c>
      <c r="D39" s="273">
        <f t="shared" si="8"/>
        <v>144155.59999999998</v>
      </c>
      <c r="E39" s="301">
        <v>47528.3</v>
      </c>
      <c r="F39" s="301">
        <v>45416.1</v>
      </c>
      <c r="G39" s="301">
        <v>11431.8</v>
      </c>
      <c r="H39" s="301">
        <v>9875.8</v>
      </c>
      <c r="I39" s="301">
        <v>18240.1</v>
      </c>
      <c r="J39" s="301">
        <v>17550</v>
      </c>
      <c r="K39" s="302"/>
      <c r="L39" s="302"/>
      <c r="M39" s="301">
        <v>67431.6</v>
      </c>
      <c r="N39" s="301">
        <v>65714.5</v>
      </c>
      <c r="O39" s="301"/>
      <c r="P39" s="301"/>
      <c r="Q39" s="301">
        <v>5000</v>
      </c>
      <c r="R39" s="301">
        <v>4888</v>
      </c>
      <c r="S39" s="301">
        <v>1141.1</v>
      </c>
      <c r="T39" s="301">
        <v>65.4</v>
      </c>
      <c r="U39" s="273">
        <f aca="true" t="shared" si="9" ref="U39:V55">S39+Q39+O39+M39+K39+I39+G39+E39</f>
        <v>150772.90000000002</v>
      </c>
      <c r="V39" s="273">
        <f t="shared" si="9"/>
        <v>143509.8</v>
      </c>
      <c r="W39" s="301">
        <v>7520.1</v>
      </c>
      <c r="X39" s="301">
        <v>7520</v>
      </c>
      <c r="Y39" s="301"/>
      <c r="Z39" s="301">
        <v>87.5</v>
      </c>
      <c r="AA39" s="301"/>
      <c r="AB39" s="301"/>
      <c r="AC39" s="301"/>
      <c r="AD39" s="301">
        <v>-6000</v>
      </c>
      <c r="AE39" s="301">
        <v>-4609.8</v>
      </c>
      <c r="AF39" s="301">
        <v>0</v>
      </c>
      <c r="AG39" s="301">
        <v>-2264.4</v>
      </c>
      <c r="AH39" s="301"/>
      <c r="AI39" s="310"/>
      <c r="AJ39" s="301"/>
      <c r="AK39" s="301"/>
      <c r="AL39" s="273">
        <f aca="true" t="shared" si="10" ref="AL39:AM55">W39+Z39+AB39+AD39+AF39+AH39</f>
        <v>1607.6000000000004</v>
      </c>
      <c r="AM39" s="273">
        <f t="shared" si="10"/>
        <v>645.7999999999997</v>
      </c>
      <c r="AN39" s="301">
        <v>87.5</v>
      </c>
      <c r="AO39" s="301"/>
      <c r="AP39" s="311"/>
    </row>
    <row r="40" spans="1:42" ht="16.5" customHeight="1">
      <c r="A40" s="303">
        <v>28</v>
      </c>
      <c r="B40" s="299" t="s">
        <v>904</v>
      </c>
      <c r="C40" s="273">
        <f t="shared" si="8"/>
        <v>48375.899999999994</v>
      </c>
      <c r="D40" s="273">
        <f t="shared" si="8"/>
        <v>36196.200000000004</v>
      </c>
      <c r="E40" s="301">
        <v>13082.2</v>
      </c>
      <c r="F40" s="301">
        <v>12763.8</v>
      </c>
      <c r="G40" s="301">
        <v>2867.8</v>
      </c>
      <c r="H40" s="301">
        <v>2579.4</v>
      </c>
      <c r="I40" s="301">
        <v>10700</v>
      </c>
      <c r="J40" s="301">
        <v>9523.6</v>
      </c>
      <c r="K40" s="302"/>
      <c r="L40" s="302"/>
      <c r="M40" s="301">
        <v>8100</v>
      </c>
      <c r="N40" s="301">
        <v>8100</v>
      </c>
      <c r="O40" s="301"/>
      <c r="P40" s="301"/>
      <c r="Q40" s="301"/>
      <c r="R40" s="301"/>
      <c r="S40" s="301">
        <v>3545.7</v>
      </c>
      <c r="T40" s="301">
        <v>400</v>
      </c>
      <c r="U40" s="273">
        <f t="shared" si="9"/>
        <v>38295.7</v>
      </c>
      <c r="V40" s="273">
        <f t="shared" si="9"/>
        <v>33366.8</v>
      </c>
      <c r="W40" s="301">
        <v>10080.2</v>
      </c>
      <c r="X40" s="301">
        <v>3288.9</v>
      </c>
      <c r="Y40" s="301"/>
      <c r="Z40" s="301"/>
      <c r="AA40" s="301"/>
      <c r="AB40" s="301"/>
      <c r="AC40" s="301"/>
      <c r="AD40" s="301"/>
      <c r="AE40" s="301">
        <v>-459.5</v>
      </c>
      <c r="AF40" s="301"/>
      <c r="AG40" s="310"/>
      <c r="AH40" s="301"/>
      <c r="AI40" s="310"/>
      <c r="AJ40" s="301"/>
      <c r="AK40" s="301"/>
      <c r="AL40" s="273">
        <f t="shared" si="10"/>
        <v>10080.2</v>
      </c>
      <c r="AM40" s="273">
        <f t="shared" si="10"/>
        <v>2829.4</v>
      </c>
      <c r="AN40" s="301"/>
      <c r="AO40" s="301"/>
      <c r="AP40" s="311"/>
    </row>
    <row r="41" spans="1:42" ht="16.5" customHeight="1">
      <c r="A41" s="262">
        <v>29</v>
      </c>
      <c r="B41" s="299" t="s">
        <v>905</v>
      </c>
      <c r="C41" s="273">
        <f t="shared" si="8"/>
        <v>8722.8</v>
      </c>
      <c r="D41" s="273">
        <f t="shared" si="8"/>
        <v>8722.699999999999</v>
      </c>
      <c r="E41" s="301">
        <v>3029.7</v>
      </c>
      <c r="F41" s="301">
        <v>3029.6</v>
      </c>
      <c r="G41" s="301">
        <v>810</v>
      </c>
      <c r="H41" s="301">
        <v>810</v>
      </c>
      <c r="I41" s="301">
        <v>1682.8</v>
      </c>
      <c r="J41" s="301">
        <v>1682.8</v>
      </c>
      <c r="K41" s="302"/>
      <c r="L41" s="302"/>
      <c r="M41" s="301">
        <v>2740</v>
      </c>
      <c r="N41" s="301">
        <v>2740</v>
      </c>
      <c r="O41" s="301"/>
      <c r="P41" s="301"/>
      <c r="Q41" s="301"/>
      <c r="R41" s="301"/>
      <c r="S41" s="301">
        <v>110</v>
      </c>
      <c r="T41" s="301">
        <v>110</v>
      </c>
      <c r="U41" s="273">
        <f t="shared" si="9"/>
        <v>8372.5</v>
      </c>
      <c r="V41" s="273">
        <f t="shared" si="9"/>
        <v>8372.4</v>
      </c>
      <c r="W41" s="301">
        <v>350.3</v>
      </c>
      <c r="X41" s="301">
        <v>350.3</v>
      </c>
      <c r="Y41" s="301"/>
      <c r="Z41" s="301"/>
      <c r="AA41" s="301"/>
      <c r="AB41" s="301"/>
      <c r="AC41" s="301"/>
      <c r="AD41" s="301"/>
      <c r="AE41" s="310"/>
      <c r="AF41" s="301"/>
      <c r="AG41" s="310"/>
      <c r="AH41" s="301"/>
      <c r="AI41" s="310"/>
      <c r="AJ41" s="301"/>
      <c r="AK41" s="301"/>
      <c r="AL41" s="273">
        <f t="shared" si="10"/>
        <v>350.3</v>
      </c>
      <c r="AM41" s="273">
        <f t="shared" si="10"/>
        <v>350.3</v>
      </c>
      <c r="AN41" s="301"/>
      <c r="AO41" s="301"/>
      <c r="AP41" s="311"/>
    </row>
    <row r="42" spans="1:42" ht="16.5" customHeight="1">
      <c r="A42" s="262">
        <v>30</v>
      </c>
      <c r="B42" s="299" t="s">
        <v>906</v>
      </c>
      <c r="C42" s="273">
        <f t="shared" si="8"/>
        <v>52646.6</v>
      </c>
      <c r="D42" s="273">
        <f t="shared" si="8"/>
        <v>48656.8</v>
      </c>
      <c r="E42" s="301">
        <v>15405</v>
      </c>
      <c r="F42" s="301">
        <v>14060.5</v>
      </c>
      <c r="G42" s="301">
        <v>3372</v>
      </c>
      <c r="H42" s="301">
        <v>3049</v>
      </c>
      <c r="I42" s="301">
        <v>10671.7</v>
      </c>
      <c r="J42" s="301">
        <v>9614.9</v>
      </c>
      <c r="K42" s="302"/>
      <c r="L42" s="302"/>
      <c r="M42" s="301">
        <v>15838</v>
      </c>
      <c r="N42" s="301">
        <v>15032.4</v>
      </c>
      <c r="O42" s="301">
        <v>1000</v>
      </c>
      <c r="P42" s="301">
        <v>1000</v>
      </c>
      <c r="Q42" s="301">
        <v>600</v>
      </c>
      <c r="R42" s="301">
        <v>566</v>
      </c>
      <c r="S42" s="301">
        <v>1969.5</v>
      </c>
      <c r="T42" s="301">
        <v>1960</v>
      </c>
      <c r="U42" s="273">
        <f t="shared" si="9"/>
        <v>48856.2</v>
      </c>
      <c r="V42" s="273">
        <f t="shared" si="9"/>
        <v>45282.8</v>
      </c>
      <c r="W42" s="301">
        <v>5750.4</v>
      </c>
      <c r="X42" s="301">
        <v>5556</v>
      </c>
      <c r="Y42" s="301"/>
      <c r="Z42" s="301"/>
      <c r="AA42" s="301"/>
      <c r="AB42" s="301"/>
      <c r="AC42" s="301"/>
      <c r="AD42" s="301"/>
      <c r="AE42" s="301"/>
      <c r="AF42" s="301"/>
      <c r="AG42" s="301">
        <v>-222</v>
      </c>
      <c r="AH42" s="301"/>
      <c r="AI42" s="301"/>
      <c r="AJ42" s="301">
        <v>1960</v>
      </c>
      <c r="AK42" s="301">
        <v>1960</v>
      </c>
      <c r="AL42" s="273">
        <f t="shared" si="10"/>
        <v>5750.4</v>
      </c>
      <c r="AM42" s="273">
        <f t="shared" si="10"/>
        <v>5334</v>
      </c>
      <c r="AN42" s="301"/>
      <c r="AO42" s="301"/>
      <c r="AP42" s="311"/>
    </row>
    <row r="43" spans="1:42" s="307" customFormat="1" ht="16.5" customHeight="1">
      <c r="A43" s="262">
        <v>31</v>
      </c>
      <c r="B43" s="299" t="s">
        <v>907</v>
      </c>
      <c r="C43" s="304">
        <f t="shared" si="8"/>
        <v>28398.3</v>
      </c>
      <c r="D43" s="304">
        <f t="shared" si="8"/>
        <v>22295.5</v>
      </c>
      <c r="E43" s="305">
        <v>8190</v>
      </c>
      <c r="F43" s="305">
        <v>7639.2</v>
      </c>
      <c r="G43" s="305">
        <v>1720</v>
      </c>
      <c r="H43" s="305">
        <v>1638.8</v>
      </c>
      <c r="I43" s="305">
        <v>6181.6</v>
      </c>
      <c r="J43" s="305">
        <v>4458.8</v>
      </c>
      <c r="K43" s="306"/>
      <c r="L43" s="306"/>
      <c r="M43" s="305">
        <v>5260</v>
      </c>
      <c r="N43" s="305">
        <v>5260</v>
      </c>
      <c r="O43" s="305"/>
      <c r="P43" s="305"/>
      <c r="Q43" s="305">
        <v>1000</v>
      </c>
      <c r="R43" s="305">
        <v>1000</v>
      </c>
      <c r="S43" s="305">
        <v>1610</v>
      </c>
      <c r="T43" s="305">
        <v>340.7</v>
      </c>
      <c r="U43" s="304">
        <f t="shared" si="9"/>
        <v>23961.6</v>
      </c>
      <c r="V43" s="304">
        <f t="shared" si="9"/>
        <v>20337.5</v>
      </c>
      <c r="W43" s="305">
        <v>4185.7</v>
      </c>
      <c r="X43" s="305">
        <v>3554</v>
      </c>
      <c r="Y43" s="305"/>
      <c r="Z43" s="305">
        <v>251</v>
      </c>
      <c r="AA43" s="305"/>
      <c r="AB43" s="305"/>
      <c r="AC43" s="305"/>
      <c r="AD43" s="305"/>
      <c r="AE43" s="305">
        <v>-91.7</v>
      </c>
      <c r="AF43" s="305"/>
      <c r="AG43" s="305">
        <v>-1504.3</v>
      </c>
      <c r="AH43" s="305"/>
      <c r="AI43" s="305"/>
      <c r="AJ43" s="305"/>
      <c r="AK43" s="305"/>
      <c r="AL43" s="304">
        <f t="shared" si="10"/>
        <v>4436.7</v>
      </c>
      <c r="AM43" s="304">
        <f t="shared" si="10"/>
        <v>1958.0000000000002</v>
      </c>
      <c r="AN43" s="305">
        <v>251</v>
      </c>
      <c r="AO43" s="305"/>
      <c r="AP43" s="311"/>
    </row>
    <row r="44" spans="1:42" ht="16.5" customHeight="1">
      <c r="A44" s="262">
        <v>32</v>
      </c>
      <c r="B44" s="299" t="s">
        <v>908</v>
      </c>
      <c r="C44" s="273">
        <f t="shared" si="8"/>
        <v>5641.099999999999</v>
      </c>
      <c r="D44" s="273">
        <f t="shared" si="8"/>
        <v>5203.5</v>
      </c>
      <c r="E44" s="301">
        <v>3070.6</v>
      </c>
      <c r="F44" s="301">
        <v>3070.1</v>
      </c>
      <c r="G44" s="301">
        <v>756</v>
      </c>
      <c r="H44" s="301">
        <v>749</v>
      </c>
      <c r="I44" s="301">
        <v>1319.2</v>
      </c>
      <c r="J44" s="301">
        <v>1281.3</v>
      </c>
      <c r="K44" s="302"/>
      <c r="L44" s="302"/>
      <c r="M44" s="301"/>
      <c r="N44" s="301"/>
      <c r="O44" s="301"/>
      <c r="P44" s="301"/>
      <c r="Q44" s="301">
        <v>30</v>
      </c>
      <c r="R44" s="301">
        <v>30</v>
      </c>
      <c r="S44" s="301">
        <v>351.6</v>
      </c>
      <c r="T44" s="301">
        <v>73.1</v>
      </c>
      <c r="U44" s="273">
        <f t="shared" si="9"/>
        <v>5527.4</v>
      </c>
      <c r="V44" s="273">
        <f t="shared" si="9"/>
        <v>5203.5</v>
      </c>
      <c r="W44" s="301">
        <v>113.7</v>
      </c>
      <c r="X44" s="301"/>
      <c r="Y44" s="301"/>
      <c r="Z44" s="301"/>
      <c r="AA44" s="301"/>
      <c r="AB44" s="301"/>
      <c r="AC44" s="301"/>
      <c r="AD44" s="301"/>
      <c r="AE44" s="301"/>
      <c r="AF44" s="301"/>
      <c r="AG44" s="310"/>
      <c r="AH44" s="301"/>
      <c r="AI44" s="310"/>
      <c r="AJ44" s="301"/>
      <c r="AK44" s="301"/>
      <c r="AL44" s="273">
        <f t="shared" si="10"/>
        <v>113.7</v>
      </c>
      <c r="AM44" s="273">
        <f t="shared" si="10"/>
        <v>0</v>
      </c>
      <c r="AN44" s="301"/>
      <c r="AO44" s="301"/>
      <c r="AP44" s="311"/>
    </row>
    <row r="45" spans="1:42" ht="16.5" customHeight="1">
      <c r="A45" s="262">
        <v>33</v>
      </c>
      <c r="B45" s="299" t="s">
        <v>909</v>
      </c>
      <c r="C45" s="273">
        <f t="shared" si="8"/>
        <v>29346.3</v>
      </c>
      <c r="D45" s="273">
        <f t="shared" si="8"/>
        <v>29279.7</v>
      </c>
      <c r="E45" s="301">
        <v>14100</v>
      </c>
      <c r="F45" s="301">
        <v>14089.6</v>
      </c>
      <c r="G45" s="301">
        <v>3465</v>
      </c>
      <c r="H45" s="301">
        <v>3418.5</v>
      </c>
      <c r="I45" s="301">
        <v>7651.6</v>
      </c>
      <c r="J45" s="301">
        <v>7645.8</v>
      </c>
      <c r="K45" s="302"/>
      <c r="L45" s="302"/>
      <c r="M45" s="301"/>
      <c r="N45" s="301"/>
      <c r="O45" s="301"/>
      <c r="P45" s="301"/>
      <c r="Q45" s="301">
        <v>875</v>
      </c>
      <c r="R45" s="301">
        <v>875</v>
      </c>
      <c r="S45" s="301">
        <v>1608.4</v>
      </c>
      <c r="T45" s="301">
        <v>1608.4</v>
      </c>
      <c r="U45" s="273">
        <f t="shared" si="9"/>
        <v>27700</v>
      </c>
      <c r="V45" s="273">
        <f t="shared" si="9"/>
        <v>27637.300000000003</v>
      </c>
      <c r="W45" s="301">
        <v>2984.7</v>
      </c>
      <c r="X45" s="301">
        <v>2984.6</v>
      </c>
      <c r="Y45" s="301"/>
      <c r="Z45" s="301"/>
      <c r="AA45" s="301"/>
      <c r="AB45" s="301"/>
      <c r="AC45" s="301"/>
      <c r="AD45" s="301"/>
      <c r="AE45" s="301">
        <v>-3.8</v>
      </c>
      <c r="AF45" s="301"/>
      <c r="AG45" s="310"/>
      <c r="AH45" s="301"/>
      <c r="AI45" s="310"/>
      <c r="AJ45" s="301">
        <v>1338.4</v>
      </c>
      <c r="AK45" s="301">
        <v>1338.4</v>
      </c>
      <c r="AL45" s="273">
        <f t="shared" si="10"/>
        <v>2984.7</v>
      </c>
      <c r="AM45" s="273">
        <f t="shared" si="10"/>
        <v>2980.7999999999997</v>
      </c>
      <c r="AN45" s="301"/>
      <c r="AO45" s="301"/>
      <c r="AP45" s="311"/>
    </row>
    <row r="46" spans="1:42" ht="16.5" customHeight="1">
      <c r="A46" s="262">
        <v>34</v>
      </c>
      <c r="B46" s="299" t="s">
        <v>910</v>
      </c>
      <c r="C46" s="273">
        <f t="shared" si="8"/>
        <v>21896.8</v>
      </c>
      <c r="D46" s="273">
        <f t="shared" si="8"/>
        <v>19779.4</v>
      </c>
      <c r="E46" s="301">
        <v>6731.6</v>
      </c>
      <c r="F46" s="301">
        <v>6304.2</v>
      </c>
      <c r="G46" s="301">
        <v>1494</v>
      </c>
      <c r="H46" s="301">
        <v>1379.9</v>
      </c>
      <c r="I46" s="301">
        <v>4907.5</v>
      </c>
      <c r="J46" s="301">
        <v>4373.6</v>
      </c>
      <c r="K46" s="302"/>
      <c r="L46" s="302"/>
      <c r="M46" s="301">
        <v>4500</v>
      </c>
      <c r="N46" s="301">
        <v>4500</v>
      </c>
      <c r="O46" s="301"/>
      <c r="P46" s="301"/>
      <c r="Q46" s="301">
        <v>1100</v>
      </c>
      <c r="R46" s="301">
        <v>895</v>
      </c>
      <c r="S46" s="301">
        <v>465.6</v>
      </c>
      <c r="T46" s="301">
        <v>231</v>
      </c>
      <c r="U46" s="273">
        <f t="shared" si="9"/>
        <v>19198.7</v>
      </c>
      <c r="V46" s="273">
        <f t="shared" si="9"/>
        <v>17683.7</v>
      </c>
      <c r="W46" s="301">
        <v>2103</v>
      </c>
      <c r="X46" s="301">
        <v>2103</v>
      </c>
      <c r="Y46" s="301"/>
      <c r="Z46" s="301">
        <v>595.1</v>
      </c>
      <c r="AA46" s="301"/>
      <c r="AB46" s="301"/>
      <c r="AC46" s="301"/>
      <c r="AD46" s="301"/>
      <c r="AE46" s="301"/>
      <c r="AF46" s="301"/>
      <c r="AG46" s="301">
        <v>-7.3</v>
      </c>
      <c r="AH46" s="301"/>
      <c r="AI46" s="310"/>
      <c r="AJ46" s="301"/>
      <c r="AK46" s="301"/>
      <c r="AL46" s="273">
        <f t="shared" si="10"/>
        <v>2698.1</v>
      </c>
      <c r="AM46" s="273">
        <f t="shared" si="10"/>
        <v>2095.7</v>
      </c>
      <c r="AN46" s="301">
        <v>595.1</v>
      </c>
      <c r="AO46" s="301"/>
      <c r="AP46" s="311"/>
    </row>
    <row r="47" spans="1:42" ht="16.5" customHeight="1">
      <c r="A47" s="262">
        <v>35</v>
      </c>
      <c r="B47" s="299" t="s">
        <v>911</v>
      </c>
      <c r="C47" s="273">
        <f t="shared" si="8"/>
        <v>32737.4</v>
      </c>
      <c r="D47" s="273">
        <f t="shared" si="8"/>
        <v>25428.199999999997</v>
      </c>
      <c r="E47" s="301">
        <v>12608</v>
      </c>
      <c r="F47" s="301">
        <v>12138</v>
      </c>
      <c r="G47" s="301">
        <v>3861</v>
      </c>
      <c r="H47" s="301">
        <v>3296.4</v>
      </c>
      <c r="I47" s="301">
        <v>10105</v>
      </c>
      <c r="J47" s="301">
        <v>8328.8</v>
      </c>
      <c r="K47" s="302"/>
      <c r="L47" s="302"/>
      <c r="M47" s="301"/>
      <c r="N47" s="301"/>
      <c r="O47" s="301"/>
      <c r="P47" s="301"/>
      <c r="Q47" s="301"/>
      <c r="R47" s="301"/>
      <c r="S47" s="301">
        <v>2315.8</v>
      </c>
      <c r="T47" s="301">
        <v>440</v>
      </c>
      <c r="U47" s="273">
        <f t="shared" si="9"/>
        <v>28889.8</v>
      </c>
      <c r="V47" s="273">
        <f t="shared" si="9"/>
        <v>24203.199999999997</v>
      </c>
      <c r="W47" s="301">
        <v>8147.6</v>
      </c>
      <c r="X47" s="301">
        <v>1225</v>
      </c>
      <c r="Y47" s="301"/>
      <c r="Z47" s="301"/>
      <c r="AA47" s="301"/>
      <c r="AB47" s="301"/>
      <c r="AC47" s="301"/>
      <c r="AD47" s="301">
        <v>-4000</v>
      </c>
      <c r="AE47" s="301"/>
      <c r="AF47" s="301">
        <v>-300</v>
      </c>
      <c r="AG47" s="310"/>
      <c r="AH47" s="301"/>
      <c r="AI47" s="310"/>
      <c r="AJ47" s="301"/>
      <c r="AK47" s="301"/>
      <c r="AL47" s="273">
        <f t="shared" si="10"/>
        <v>3847.6000000000004</v>
      </c>
      <c r="AM47" s="273">
        <f t="shared" si="10"/>
        <v>1225</v>
      </c>
      <c r="AN47" s="301"/>
      <c r="AO47" s="301"/>
      <c r="AP47" s="311"/>
    </row>
    <row r="48" spans="1:42" ht="16.5" customHeight="1">
      <c r="A48" s="303">
        <v>36</v>
      </c>
      <c r="B48" s="299" t="s">
        <v>912</v>
      </c>
      <c r="C48" s="273">
        <f t="shared" si="8"/>
        <v>17660.6</v>
      </c>
      <c r="D48" s="273">
        <f t="shared" si="8"/>
        <v>14315.2</v>
      </c>
      <c r="E48" s="301">
        <v>7180</v>
      </c>
      <c r="F48" s="301">
        <v>6934.8</v>
      </c>
      <c r="G48" s="301">
        <v>1500</v>
      </c>
      <c r="H48" s="301">
        <v>1488</v>
      </c>
      <c r="I48" s="301">
        <v>3863.6</v>
      </c>
      <c r="J48" s="301">
        <v>2960.4</v>
      </c>
      <c r="K48" s="302"/>
      <c r="L48" s="302"/>
      <c r="M48" s="301">
        <v>2700</v>
      </c>
      <c r="N48" s="301">
        <v>2700</v>
      </c>
      <c r="O48" s="301"/>
      <c r="P48" s="301"/>
      <c r="Q48" s="301"/>
      <c r="R48" s="301"/>
      <c r="S48" s="301">
        <v>600</v>
      </c>
      <c r="T48" s="301">
        <v>232</v>
      </c>
      <c r="U48" s="273">
        <f t="shared" si="9"/>
        <v>15843.6</v>
      </c>
      <c r="V48" s="273">
        <f t="shared" si="9"/>
        <v>14315.2</v>
      </c>
      <c r="W48" s="301">
        <v>1817</v>
      </c>
      <c r="X48" s="301"/>
      <c r="Y48" s="301"/>
      <c r="Z48" s="301"/>
      <c r="AA48" s="301"/>
      <c r="AB48" s="301"/>
      <c r="AC48" s="301"/>
      <c r="AD48" s="301"/>
      <c r="AE48" s="301"/>
      <c r="AF48" s="301"/>
      <c r="AG48" s="310"/>
      <c r="AH48" s="301"/>
      <c r="AI48" s="310"/>
      <c r="AJ48" s="301"/>
      <c r="AK48" s="301"/>
      <c r="AL48" s="273">
        <f t="shared" si="10"/>
        <v>1817</v>
      </c>
      <c r="AM48" s="273">
        <f t="shared" si="10"/>
        <v>0</v>
      </c>
      <c r="AN48" s="301"/>
      <c r="AO48" s="301"/>
      <c r="AP48" s="311"/>
    </row>
    <row r="49" spans="1:42" ht="16.5" customHeight="1">
      <c r="A49" s="262">
        <v>37</v>
      </c>
      <c r="B49" s="299" t="s">
        <v>913</v>
      </c>
      <c r="C49" s="273">
        <f t="shared" si="8"/>
        <v>19035.8</v>
      </c>
      <c r="D49" s="273">
        <f t="shared" si="8"/>
        <v>17945.5</v>
      </c>
      <c r="E49" s="301">
        <v>10761.8</v>
      </c>
      <c r="F49" s="301">
        <v>10202.7</v>
      </c>
      <c r="G49" s="301">
        <v>2834.5</v>
      </c>
      <c r="H49" s="301">
        <v>2762.1</v>
      </c>
      <c r="I49" s="301">
        <v>3779.5</v>
      </c>
      <c r="J49" s="301">
        <v>3320.7</v>
      </c>
      <c r="K49" s="302"/>
      <c r="L49" s="302"/>
      <c r="M49" s="301"/>
      <c r="N49" s="301"/>
      <c r="O49" s="301">
        <v>1200</v>
      </c>
      <c r="P49" s="301">
        <v>1200</v>
      </c>
      <c r="Q49" s="301">
        <v>300</v>
      </c>
      <c r="R49" s="301">
        <v>300</v>
      </c>
      <c r="S49" s="301">
        <v>160</v>
      </c>
      <c r="T49" s="301">
        <v>160</v>
      </c>
      <c r="U49" s="273">
        <f t="shared" si="9"/>
        <v>19035.8</v>
      </c>
      <c r="V49" s="273">
        <f t="shared" si="9"/>
        <v>17945.5</v>
      </c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10"/>
      <c r="AH49" s="301"/>
      <c r="AI49" s="310"/>
      <c r="AJ49" s="301"/>
      <c r="AK49" s="301"/>
      <c r="AL49" s="273">
        <f t="shared" si="10"/>
        <v>0</v>
      </c>
      <c r="AM49" s="273">
        <f t="shared" si="10"/>
        <v>0</v>
      </c>
      <c r="AN49" s="301"/>
      <c r="AO49" s="301"/>
      <c r="AP49" s="311"/>
    </row>
    <row r="50" spans="1:42" ht="16.5" customHeight="1">
      <c r="A50" s="262">
        <v>38</v>
      </c>
      <c r="B50" s="299" t="s">
        <v>914</v>
      </c>
      <c r="C50" s="273">
        <f t="shared" si="8"/>
        <v>14962.400000000001</v>
      </c>
      <c r="D50" s="273">
        <f t="shared" si="8"/>
        <v>10419.699999999999</v>
      </c>
      <c r="E50" s="301">
        <v>6530</v>
      </c>
      <c r="F50" s="301">
        <v>5854.9</v>
      </c>
      <c r="G50" s="301">
        <v>1690.2</v>
      </c>
      <c r="H50" s="301">
        <v>1487</v>
      </c>
      <c r="I50" s="301">
        <v>3352.5</v>
      </c>
      <c r="J50" s="301">
        <v>2304</v>
      </c>
      <c r="K50" s="302"/>
      <c r="L50" s="302"/>
      <c r="M50" s="301"/>
      <c r="N50" s="301"/>
      <c r="O50" s="301"/>
      <c r="P50" s="301"/>
      <c r="Q50" s="301">
        <v>200</v>
      </c>
      <c r="R50" s="301">
        <v>150</v>
      </c>
      <c r="S50" s="301">
        <v>157</v>
      </c>
      <c r="T50" s="301">
        <v>156.9</v>
      </c>
      <c r="U50" s="273">
        <f t="shared" si="9"/>
        <v>11929.7</v>
      </c>
      <c r="V50" s="273">
        <f t="shared" si="9"/>
        <v>9952.8</v>
      </c>
      <c r="W50" s="301">
        <v>1005</v>
      </c>
      <c r="X50" s="301">
        <v>500</v>
      </c>
      <c r="Y50" s="301"/>
      <c r="Z50" s="301">
        <v>2027.7</v>
      </c>
      <c r="AA50" s="301"/>
      <c r="AB50" s="301"/>
      <c r="AC50" s="301"/>
      <c r="AD50" s="301"/>
      <c r="AE50" s="301"/>
      <c r="AF50" s="301"/>
      <c r="AG50" s="312">
        <v>-33.1</v>
      </c>
      <c r="AH50" s="301"/>
      <c r="AI50" s="310"/>
      <c r="AJ50" s="301"/>
      <c r="AK50" s="301"/>
      <c r="AL50" s="273">
        <f t="shared" si="10"/>
        <v>3032.7</v>
      </c>
      <c r="AM50" s="273">
        <f t="shared" si="10"/>
        <v>466.9</v>
      </c>
      <c r="AN50" s="301">
        <v>2027.7</v>
      </c>
      <c r="AO50" s="301"/>
      <c r="AP50" s="311"/>
    </row>
    <row r="51" spans="1:42" ht="16.5" customHeight="1">
      <c r="A51" s="262">
        <v>39</v>
      </c>
      <c r="B51" s="299" t="s">
        <v>915</v>
      </c>
      <c r="C51" s="273">
        <f t="shared" si="8"/>
        <v>17700</v>
      </c>
      <c r="D51" s="273">
        <f t="shared" si="8"/>
        <v>16314.4</v>
      </c>
      <c r="E51" s="301">
        <v>7170</v>
      </c>
      <c r="F51" s="301">
        <v>7163</v>
      </c>
      <c r="G51" s="301">
        <v>1868</v>
      </c>
      <c r="H51" s="301">
        <v>1838.6</v>
      </c>
      <c r="I51" s="301">
        <v>4315.1</v>
      </c>
      <c r="J51" s="301">
        <v>3816.5</v>
      </c>
      <c r="K51" s="302"/>
      <c r="L51" s="302"/>
      <c r="M51" s="301">
        <v>2900</v>
      </c>
      <c r="N51" s="301">
        <v>2781</v>
      </c>
      <c r="O51" s="301"/>
      <c r="P51" s="301"/>
      <c r="Q51" s="301"/>
      <c r="R51" s="301"/>
      <c r="S51" s="301">
        <v>820</v>
      </c>
      <c r="T51" s="301">
        <v>180</v>
      </c>
      <c r="U51" s="273">
        <f t="shared" si="9"/>
        <v>17073.1</v>
      </c>
      <c r="V51" s="273">
        <f t="shared" si="9"/>
        <v>15779.1</v>
      </c>
      <c r="W51" s="301">
        <v>600</v>
      </c>
      <c r="X51" s="301">
        <v>600</v>
      </c>
      <c r="Y51" s="301"/>
      <c r="Z51" s="301">
        <v>26.9</v>
      </c>
      <c r="AA51" s="301"/>
      <c r="AB51" s="301"/>
      <c r="AC51" s="301"/>
      <c r="AD51" s="301"/>
      <c r="AE51" s="301">
        <v>-64.7</v>
      </c>
      <c r="AF51" s="301"/>
      <c r="AG51" s="310"/>
      <c r="AH51" s="301"/>
      <c r="AI51" s="310"/>
      <c r="AJ51" s="301"/>
      <c r="AK51" s="301"/>
      <c r="AL51" s="273">
        <f t="shared" si="10"/>
        <v>626.9</v>
      </c>
      <c r="AM51" s="273">
        <f t="shared" si="10"/>
        <v>535.3</v>
      </c>
      <c r="AN51" s="301">
        <v>26.9</v>
      </c>
      <c r="AO51" s="301"/>
      <c r="AP51" s="311"/>
    </row>
    <row r="52" spans="1:42" ht="16.5" customHeight="1">
      <c r="A52" s="262">
        <v>40</v>
      </c>
      <c r="B52" s="299" t="s">
        <v>916</v>
      </c>
      <c r="C52" s="273">
        <f t="shared" si="8"/>
        <v>29393.5</v>
      </c>
      <c r="D52" s="273">
        <f t="shared" si="8"/>
        <v>21790.5</v>
      </c>
      <c r="E52" s="301">
        <v>10117.2</v>
      </c>
      <c r="F52" s="301">
        <v>9904.9</v>
      </c>
      <c r="G52" s="301">
        <v>2195.2</v>
      </c>
      <c r="H52" s="301">
        <v>2191.9</v>
      </c>
      <c r="I52" s="301">
        <v>7108.2</v>
      </c>
      <c r="J52" s="301">
        <v>4456.3</v>
      </c>
      <c r="K52" s="302"/>
      <c r="L52" s="302"/>
      <c r="M52" s="301">
        <v>4000</v>
      </c>
      <c r="N52" s="301">
        <v>4000</v>
      </c>
      <c r="O52" s="301"/>
      <c r="P52" s="301"/>
      <c r="Q52" s="301">
        <v>1340</v>
      </c>
      <c r="R52" s="301">
        <v>825</v>
      </c>
      <c r="S52" s="301">
        <v>485.5</v>
      </c>
      <c r="T52" s="301">
        <v>412.4</v>
      </c>
      <c r="U52" s="273">
        <f t="shared" si="9"/>
        <v>25246.100000000002</v>
      </c>
      <c r="V52" s="273">
        <f t="shared" si="9"/>
        <v>21790.5</v>
      </c>
      <c r="W52" s="301">
        <v>4147.4</v>
      </c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10"/>
      <c r="AJ52" s="301"/>
      <c r="AK52" s="301"/>
      <c r="AL52" s="273">
        <f t="shared" si="10"/>
        <v>4147.4</v>
      </c>
      <c r="AM52" s="273">
        <f t="shared" si="10"/>
        <v>0</v>
      </c>
      <c r="AN52" s="301"/>
      <c r="AO52" s="301"/>
      <c r="AP52" s="311"/>
    </row>
    <row r="53" spans="1:42" ht="16.5" customHeight="1">
      <c r="A53" s="262">
        <v>41</v>
      </c>
      <c r="B53" s="299" t="s">
        <v>917</v>
      </c>
      <c r="C53" s="273">
        <f t="shared" si="8"/>
        <v>13929</v>
      </c>
      <c r="D53" s="273">
        <f t="shared" si="8"/>
        <v>11046.399999999998</v>
      </c>
      <c r="E53" s="301">
        <v>4488</v>
      </c>
      <c r="F53" s="301">
        <v>4488</v>
      </c>
      <c r="G53" s="301">
        <v>1081.2</v>
      </c>
      <c r="H53" s="301">
        <v>1081.2</v>
      </c>
      <c r="I53" s="301">
        <v>2980</v>
      </c>
      <c r="J53" s="301">
        <v>1632.4</v>
      </c>
      <c r="K53" s="302"/>
      <c r="L53" s="302"/>
      <c r="M53" s="301">
        <v>1857</v>
      </c>
      <c r="N53" s="301">
        <v>1800</v>
      </c>
      <c r="O53" s="301"/>
      <c r="P53" s="301"/>
      <c r="Q53" s="301">
        <v>960</v>
      </c>
      <c r="R53" s="301">
        <v>960</v>
      </c>
      <c r="S53" s="301">
        <v>328.3</v>
      </c>
      <c r="T53" s="301">
        <v>110</v>
      </c>
      <c r="U53" s="273">
        <f t="shared" si="9"/>
        <v>11694.5</v>
      </c>
      <c r="V53" s="273">
        <f t="shared" si="9"/>
        <v>10071.599999999999</v>
      </c>
      <c r="W53" s="301">
        <v>2234.5</v>
      </c>
      <c r="X53" s="301">
        <v>998.7</v>
      </c>
      <c r="Y53" s="301"/>
      <c r="Z53" s="301"/>
      <c r="AA53" s="301"/>
      <c r="AB53" s="301"/>
      <c r="AC53" s="301"/>
      <c r="AD53" s="301"/>
      <c r="AE53" s="301"/>
      <c r="AF53" s="301"/>
      <c r="AG53" s="301">
        <v>-23.9</v>
      </c>
      <c r="AH53" s="301"/>
      <c r="AI53" s="310"/>
      <c r="AJ53" s="301"/>
      <c r="AK53" s="301"/>
      <c r="AL53" s="273">
        <f t="shared" si="10"/>
        <v>2234.5</v>
      </c>
      <c r="AM53" s="273">
        <f t="shared" si="10"/>
        <v>974.8000000000001</v>
      </c>
      <c r="AN53" s="301"/>
      <c r="AO53" s="301"/>
      <c r="AP53" s="311"/>
    </row>
    <row r="54" spans="1:46" ht="16.5" customHeight="1">
      <c r="A54" s="262">
        <v>42</v>
      </c>
      <c r="B54" s="299" t="s">
        <v>918</v>
      </c>
      <c r="C54" s="273">
        <f t="shared" si="8"/>
        <v>15084.9</v>
      </c>
      <c r="D54" s="273">
        <f t="shared" si="8"/>
        <v>13377.900000000001</v>
      </c>
      <c r="E54" s="301">
        <v>7791</v>
      </c>
      <c r="F54" s="301">
        <v>6909.8</v>
      </c>
      <c r="G54" s="301">
        <v>2031.6</v>
      </c>
      <c r="H54" s="301">
        <v>1823</v>
      </c>
      <c r="I54" s="301">
        <v>4528.5</v>
      </c>
      <c r="J54" s="301">
        <v>3942.1</v>
      </c>
      <c r="K54" s="302"/>
      <c r="L54" s="302"/>
      <c r="M54" s="301"/>
      <c r="N54" s="301"/>
      <c r="O54" s="301"/>
      <c r="P54" s="301"/>
      <c r="Q54" s="301">
        <v>400</v>
      </c>
      <c r="R54" s="301">
        <v>400</v>
      </c>
      <c r="S54" s="301">
        <v>150</v>
      </c>
      <c r="T54" s="301">
        <v>120</v>
      </c>
      <c r="U54" s="273">
        <f t="shared" si="9"/>
        <v>14901.1</v>
      </c>
      <c r="V54" s="273">
        <f t="shared" si="9"/>
        <v>13194.900000000001</v>
      </c>
      <c r="W54" s="301">
        <v>683.8</v>
      </c>
      <c r="X54" s="301">
        <v>183</v>
      </c>
      <c r="Y54" s="301"/>
      <c r="Z54" s="301"/>
      <c r="AA54" s="301"/>
      <c r="AB54" s="301"/>
      <c r="AC54" s="301"/>
      <c r="AD54" s="301"/>
      <c r="AE54" s="301"/>
      <c r="AF54" s="301">
        <v>-500</v>
      </c>
      <c r="AG54" s="301"/>
      <c r="AH54" s="301"/>
      <c r="AI54" s="310"/>
      <c r="AJ54" s="301"/>
      <c r="AK54" s="301"/>
      <c r="AL54" s="273">
        <f t="shared" si="10"/>
        <v>183.79999999999995</v>
      </c>
      <c r="AM54" s="273">
        <f t="shared" si="10"/>
        <v>183</v>
      </c>
      <c r="AN54" s="301"/>
      <c r="AO54" s="301"/>
      <c r="AP54" s="311"/>
      <c r="AT54" s="271"/>
    </row>
    <row r="55" spans="1:46" ht="16.5" customHeight="1">
      <c r="A55" s="262">
        <v>43</v>
      </c>
      <c r="B55" s="299" t="s">
        <v>919</v>
      </c>
      <c r="C55" s="273">
        <f t="shared" si="8"/>
        <v>26414.8</v>
      </c>
      <c r="D55" s="273">
        <f t="shared" si="8"/>
        <v>20627.100000000002</v>
      </c>
      <c r="E55" s="301">
        <v>12309.3</v>
      </c>
      <c r="F55" s="301">
        <v>11465.7</v>
      </c>
      <c r="G55" s="301">
        <v>3397.5</v>
      </c>
      <c r="H55" s="301">
        <v>3135.6</v>
      </c>
      <c r="I55" s="301">
        <v>7412.1</v>
      </c>
      <c r="J55" s="301">
        <v>4502</v>
      </c>
      <c r="K55" s="302"/>
      <c r="L55" s="302"/>
      <c r="M55" s="301"/>
      <c r="N55" s="301"/>
      <c r="O55" s="301">
        <v>1000</v>
      </c>
      <c r="P55" s="301">
        <v>1000</v>
      </c>
      <c r="Q55" s="301"/>
      <c r="R55" s="301"/>
      <c r="S55" s="301">
        <v>1914.9</v>
      </c>
      <c r="T55" s="301">
        <v>215</v>
      </c>
      <c r="U55" s="273">
        <f t="shared" si="9"/>
        <v>26033.8</v>
      </c>
      <c r="V55" s="273">
        <f t="shared" si="9"/>
        <v>20318.300000000003</v>
      </c>
      <c r="W55" s="301">
        <v>661</v>
      </c>
      <c r="X55" s="301">
        <v>352</v>
      </c>
      <c r="Y55" s="301"/>
      <c r="Z55" s="301"/>
      <c r="AA55" s="301"/>
      <c r="AB55" s="301"/>
      <c r="AC55" s="301"/>
      <c r="AD55" s="301"/>
      <c r="AE55" s="301">
        <v>-43.2</v>
      </c>
      <c r="AF55" s="301"/>
      <c r="AG55" s="301"/>
      <c r="AH55" s="301"/>
      <c r="AI55" s="301"/>
      <c r="AJ55" s="301">
        <v>280</v>
      </c>
      <c r="AK55" s="301"/>
      <c r="AL55" s="273">
        <f t="shared" si="10"/>
        <v>661</v>
      </c>
      <c r="AM55" s="273">
        <f t="shared" si="10"/>
        <v>308.8</v>
      </c>
      <c r="AN55" s="301"/>
      <c r="AO55" s="301"/>
      <c r="AP55" s="311"/>
      <c r="AT55" s="271"/>
    </row>
    <row r="56" spans="1:46" ht="16.5" customHeight="1">
      <c r="A56" s="708" t="s">
        <v>920</v>
      </c>
      <c r="B56" s="709"/>
      <c r="C56" s="308">
        <f aca="true" t="shared" si="11" ref="C56:AK56">SUM(C39:C55)</f>
        <v>534326.7000000001</v>
      </c>
      <c r="D56" s="308">
        <f t="shared" si="11"/>
        <v>465554.3000000001</v>
      </c>
      <c r="E56" s="308">
        <f t="shared" si="11"/>
        <v>190092.7</v>
      </c>
      <c r="F56" s="308">
        <f t="shared" si="11"/>
        <v>181434.9</v>
      </c>
      <c r="G56" s="308">
        <f t="shared" si="11"/>
        <v>46375.79999999999</v>
      </c>
      <c r="H56" s="308">
        <f t="shared" si="11"/>
        <v>42604.2</v>
      </c>
      <c r="I56" s="308">
        <f t="shared" si="11"/>
        <v>108799.00000000001</v>
      </c>
      <c r="J56" s="308">
        <f t="shared" si="11"/>
        <v>91394</v>
      </c>
      <c r="K56" s="309">
        <f t="shared" si="11"/>
        <v>0</v>
      </c>
      <c r="L56" s="309">
        <f t="shared" si="11"/>
        <v>0</v>
      </c>
      <c r="M56" s="308">
        <f t="shared" si="11"/>
        <v>115326.6</v>
      </c>
      <c r="N56" s="308">
        <f t="shared" si="11"/>
        <v>112627.9</v>
      </c>
      <c r="O56" s="308">
        <f t="shared" si="11"/>
        <v>3200</v>
      </c>
      <c r="P56" s="308">
        <f t="shared" si="11"/>
        <v>3200</v>
      </c>
      <c r="Q56" s="308">
        <f t="shared" si="11"/>
        <v>11805</v>
      </c>
      <c r="R56" s="308">
        <f t="shared" si="11"/>
        <v>10889</v>
      </c>
      <c r="S56" s="308">
        <f t="shared" si="11"/>
        <v>17733.4</v>
      </c>
      <c r="T56" s="308">
        <f t="shared" si="11"/>
        <v>6814.9</v>
      </c>
      <c r="U56" s="308">
        <f t="shared" si="11"/>
        <v>493332.49999999994</v>
      </c>
      <c r="V56" s="308">
        <f t="shared" si="11"/>
        <v>448964.89999999997</v>
      </c>
      <c r="W56" s="308">
        <f t="shared" si="11"/>
        <v>52384.40000000001</v>
      </c>
      <c r="X56" s="308">
        <f t="shared" si="11"/>
        <v>29215.499999999996</v>
      </c>
      <c r="Y56" s="308">
        <f t="shared" si="11"/>
        <v>0</v>
      </c>
      <c r="Z56" s="308">
        <f t="shared" si="11"/>
        <v>2988.2000000000003</v>
      </c>
      <c r="AA56" s="308">
        <f t="shared" si="11"/>
        <v>0</v>
      </c>
      <c r="AB56" s="308">
        <f t="shared" si="11"/>
        <v>0</v>
      </c>
      <c r="AC56" s="308">
        <f t="shared" si="11"/>
        <v>0</v>
      </c>
      <c r="AD56" s="308">
        <f t="shared" si="11"/>
        <v>-10000</v>
      </c>
      <c r="AE56" s="308">
        <f t="shared" si="11"/>
        <v>-5272.7</v>
      </c>
      <c r="AF56" s="308">
        <f t="shared" si="11"/>
        <v>-800</v>
      </c>
      <c r="AG56" s="308">
        <f t="shared" si="11"/>
        <v>-4055</v>
      </c>
      <c r="AH56" s="308">
        <f t="shared" si="11"/>
        <v>0</v>
      </c>
      <c r="AI56" s="308">
        <f t="shared" si="11"/>
        <v>0</v>
      </c>
      <c r="AJ56" s="308">
        <f t="shared" si="11"/>
        <v>3578.4</v>
      </c>
      <c r="AK56" s="308">
        <f t="shared" si="11"/>
        <v>3298.4</v>
      </c>
      <c r="AL56" s="308">
        <f>SUM(AL39:AL55)</f>
        <v>44572.600000000006</v>
      </c>
      <c r="AM56" s="308">
        <f>SUM(AM39:AM55)</f>
        <v>19887.8</v>
      </c>
      <c r="AN56" s="308">
        <f>SUM(AN39:AN55)</f>
        <v>2988.2000000000003</v>
      </c>
      <c r="AO56" s="308">
        <f>SUM(AO39:AO55)</f>
        <v>0</v>
      </c>
      <c r="AT56" s="271"/>
    </row>
    <row r="57" spans="1:46" ht="16.5" customHeight="1">
      <c r="A57" s="262">
        <v>44</v>
      </c>
      <c r="B57" s="299" t="s">
        <v>921</v>
      </c>
      <c r="C57" s="273">
        <f aca="true" t="shared" si="12" ref="C57:D72">U57+AL57-AJ57</f>
        <v>122342.70000000001</v>
      </c>
      <c r="D57" s="273">
        <f t="shared" si="12"/>
        <v>114981.1</v>
      </c>
      <c r="E57" s="301">
        <v>55140.6</v>
      </c>
      <c r="F57" s="301">
        <v>53194.3</v>
      </c>
      <c r="G57" s="301">
        <v>13047</v>
      </c>
      <c r="H57" s="301">
        <v>12836.1</v>
      </c>
      <c r="I57" s="301">
        <v>31451.9</v>
      </c>
      <c r="J57" s="301">
        <v>30092.7</v>
      </c>
      <c r="K57" s="302"/>
      <c r="L57" s="302"/>
      <c r="M57" s="301">
        <v>8785.7</v>
      </c>
      <c r="N57" s="301">
        <v>8725.7</v>
      </c>
      <c r="O57" s="301">
        <v>500</v>
      </c>
      <c r="P57" s="301">
        <v>400</v>
      </c>
      <c r="Q57" s="301">
        <v>3900</v>
      </c>
      <c r="R57" s="301">
        <v>3764</v>
      </c>
      <c r="S57" s="301">
        <v>1255</v>
      </c>
      <c r="T57" s="301">
        <v>738.2</v>
      </c>
      <c r="U57" s="273">
        <f aca="true" t="shared" si="13" ref="U57:V75">S57+Q57+O57+M57+K57+I57+G57+E57</f>
        <v>114080.20000000001</v>
      </c>
      <c r="V57" s="273">
        <f t="shared" si="13"/>
        <v>109751</v>
      </c>
      <c r="W57" s="301">
        <v>13096.3</v>
      </c>
      <c r="X57" s="301">
        <v>12309.9</v>
      </c>
      <c r="Y57" s="301"/>
      <c r="Z57" s="301"/>
      <c r="AA57" s="301"/>
      <c r="AB57" s="301">
        <v>100</v>
      </c>
      <c r="AC57" s="301">
        <v>100</v>
      </c>
      <c r="AD57" s="301">
        <v>-1097.3</v>
      </c>
      <c r="AE57" s="301">
        <v>-1310.7</v>
      </c>
      <c r="AF57" s="301">
        <v>-3836.5</v>
      </c>
      <c r="AG57" s="301">
        <v>-5869.1</v>
      </c>
      <c r="AH57" s="301"/>
      <c r="AI57" s="301"/>
      <c r="AJ57" s="301"/>
      <c r="AK57" s="301"/>
      <c r="AL57" s="273">
        <f aca="true" t="shared" si="14" ref="AL57:AM75">W57+Z57+AB57+AD57+AF57+AH57</f>
        <v>8262.5</v>
      </c>
      <c r="AM57" s="273">
        <f t="shared" si="14"/>
        <v>5230.0999999999985</v>
      </c>
      <c r="AN57" s="301"/>
      <c r="AO57" s="301"/>
      <c r="AT57" s="271"/>
    </row>
    <row r="58" spans="1:46" s="316" customFormat="1" ht="16.5" customHeight="1">
      <c r="A58" s="313">
        <v>45</v>
      </c>
      <c r="B58" s="299" t="s">
        <v>922</v>
      </c>
      <c r="C58" s="314">
        <f t="shared" si="12"/>
        <v>45978.6</v>
      </c>
      <c r="D58" s="314">
        <f t="shared" si="12"/>
        <v>34689.799999999996</v>
      </c>
      <c r="E58" s="312">
        <v>11400</v>
      </c>
      <c r="F58" s="312">
        <v>11149.2</v>
      </c>
      <c r="G58" s="312">
        <v>2100</v>
      </c>
      <c r="H58" s="312">
        <v>2016.1</v>
      </c>
      <c r="I58" s="312">
        <v>5904.6</v>
      </c>
      <c r="J58" s="312">
        <v>5208.8</v>
      </c>
      <c r="K58" s="315"/>
      <c r="L58" s="315"/>
      <c r="M58" s="312">
        <v>16622.1</v>
      </c>
      <c r="N58" s="312">
        <v>16471.6</v>
      </c>
      <c r="O58" s="312"/>
      <c r="P58" s="312"/>
      <c r="Q58" s="312">
        <v>500</v>
      </c>
      <c r="R58" s="312">
        <v>500</v>
      </c>
      <c r="S58" s="312">
        <v>1147.9</v>
      </c>
      <c r="T58" s="312">
        <v>255.9</v>
      </c>
      <c r="U58" s="314">
        <f t="shared" si="13"/>
        <v>37674.6</v>
      </c>
      <c r="V58" s="314">
        <f t="shared" si="13"/>
        <v>35601.6</v>
      </c>
      <c r="W58" s="312">
        <v>20259</v>
      </c>
      <c r="X58" s="312">
        <v>1661</v>
      </c>
      <c r="Y58" s="312"/>
      <c r="Z58" s="312"/>
      <c r="AA58" s="312"/>
      <c r="AB58" s="312">
        <v>45</v>
      </c>
      <c r="AC58" s="312"/>
      <c r="AD58" s="312">
        <v>-10000</v>
      </c>
      <c r="AE58" s="312">
        <v>-51.6</v>
      </c>
      <c r="AF58" s="312">
        <v>-2000</v>
      </c>
      <c r="AG58" s="312">
        <v>-2521.2</v>
      </c>
      <c r="AH58" s="312"/>
      <c r="AI58" s="312"/>
      <c r="AJ58" s="312"/>
      <c r="AK58" s="312"/>
      <c r="AL58" s="273">
        <f t="shared" si="14"/>
        <v>8304</v>
      </c>
      <c r="AM58" s="273">
        <f t="shared" si="14"/>
        <v>-911.7999999999997</v>
      </c>
      <c r="AN58" s="312"/>
      <c r="AO58" s="312"/>
      <c r="AT58" s="317"/>
    </row>
    <row r="59" spans="1:46" ht="16.5" customHeight="1">
      <c r="A59" s="262">
        <v>46</v>
      </c>
      <c r="B59" s="299" t="s">
        <v>923</v>
      </c>
      <c r="C59" s="273">
        <f t="shared" si="12"/>
        <v>22994.8</v>
      </c>
      <c r="D59" s="273">
        <f t="shared" si="12"/>
        <v>18119.6</v>
      </c>
      <c r="E59" s="301">
        <v>11370</v>
      </c>
      <c r="F59" s="301">
        <v>11150.8</v>
      </c>
      <c r="G59" s="301">
        <v>2640</v>
      </c>
      <c r="H59" s="301">
        <v>2482.1</v>
      </c>
      <c r="I59" s="301">
        <v>5215.3</v>
      </c>
      <c r="J59" s="301">
        <v>3102.9</v>
      </c>
      <c r="K59" s="302"/>
      <c r="L59" s="302"/>
      <c r="M59" s="301"/>
      <c r="N59" s="301"/>
      <c r="O59" s="301"/>
      <c r="P59" s="301"/>
      <c r="Q59" s="301">
        <v>500</v>
      </c>
      <c r="R59" s="301">
        <v>495</v>
      </c>
      <c r="S59" s="301">
        <v>727</v>
      </c>
      <c r="T59" s="301">
        <v>488.8</v>
      </c>
      <c r="U59" s="273">
        <f t="shared" si="13"/>
        <v>20452.3</v>
      </c>
      <c r="V59" s="273">
        <f t="shared" si="13"/>
        <v>17719.6</v>
      </c>
      <c r="W59" s="301">
        <v>2542.5</v>
      </c>
      <c r="X59" s="301">
        <v>400</v>
      </c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273">
        <f t="shared" si="14"/>
        <v>2542.5</v>
      </c>
      <c r="AM59" s="273">
        <f t="shared" si="14"/>
        <v>400</v>
      </c>
      <c r="AN59" s="301"/>
      <c r="AO59" s="301"/>
      <c r="AT59" s="271"/>
    </row>
    <row r="60" spans="1:46" ht="16.5" customHeight="1">
      <c r="A60" s="262">
        <v>47</v>
      </c>
      <c r="B60" s="299" t="s">
        <v>924</v>
      </c>
      <c r="C60" s="273">
        <f t="shared" si="12"/>
        <v>44010.5</v>
      </c>
      <c r="D60" s="273">
        <f t="shared" si="12"/>
        <v>35183.200000000004</v>
      </c>
      <c r="E60" s="301">
        <v>12432</v>
      </c>
      <c r="F60" s="301">
        <v>12418.9</v>
      </c>
      <c r="G60" s="301">
        <v>2742.8</v>
      </c>
      <c r="H60" s="301">
        <v>2589.7</v>
      </c>
      <c r="I60" s="301">
        <v>12000.7</v>
      </c>
      <c r="J60" s="301">
        <v>11131.1</v>
      </c>
      <c r="K60" s="302"/>
      <c r="L60" s="302"/>
      <c r="M60" s="301">
        <v>4644.8</v>
      </c>
      <c r="N60" s="301">
        <v>4644.8</v>
      </c>
      <c r="O60" s="301">
        <v>150</v>
      </c>
      <c r="P60" s="301"/>
      <c r="Q60" s="301">
        <v>1700</v>
      </c>
      <c r="R60" s="301">
        <v>1575</v>
      </c>
      <c r="S60" s="301">
        <v>9745</v>
      </c>
      <c r="T60" s="301">
        <v>2344.3</v>
      </c>
      <c r="U60" s="273">
        <f t="shared" si="13"/>
        <v>43415.3</v>
      </c>
      <c r="V60" s="273">
        <f t="shared" si="13"/>
        <v>34703.8</v>
      </c>
      <c r="W60" s="301">
        <v>2645.2</v>
      </c>
      <c r="X60" s="301">
        <v>2588</v>
      </c>
      <c r="Y60" s="301"/>
      <c r="Z60" s="301"/>
      <c r="AA60" s="301"/>
      <c r="AB60" s="301"/>
      <c r="AC60" s="301"/>
      <c r="AD60" s="301"/>
      <c r="AE60" s="301"/>
      <c r="AF60" s="301">
        <v>0</v>
      </c>
      <c r="AG60" s="301">
        <v>-58.6</v>
      </c>
      <c r="AH60" s="301"/>
      <c r="AI60" s="301"/>
      <c r="AJ60" s="301">
        <v>2050</v>
      </c>
      <c r="AK60" s="301">
        <v>2050</v>
      </c>
      <c r="AL60" s="273">
        <f t="shared" si="14"/>
        <v>2645.2</v>
      </c>
      <c r="AM60" s="273">
        <f t="shared" si="14"/>
        <v>2529.4</v>
      </c>
      <c r="AN60" s="301"/>
      <c r="AO60" s="301"/>
      <c r="AT60" s="271"/>
    </row>
    <row r="61" spans="1:46" ht="16.5" customHeight="1">
      <c r="A61" s="262">
        <v>48</v>
      </c>
      <c r="B61" s="299" t="s">
        <v>925</v>
      </c>
      <c r="C61" s="273">
        <f t="shared" si="12"/>
        <v>15558.8</v>
      </c>
      <c r="D61" s="273">
        <f t="shared" si="12"/>
        <v>12051.199999999999</v>
      </c>
      <c r="E61" s="301">
        <v>6893.1</v>
      </c>
      <c r="F61" s="301">
        <v>6887.9</v>
      </c>
      <c r="G61" s="301">
        <v>1365</v>
      </c>
      <c r="H61" s="301">
        <v>1282.4</v>
      </c>
      <c r="I61" s="301">
        <v>3155.6</v>
      </c>
      <c r="J61" s="301">
        <v>2939.2</v>
      </c>
      <c r="K61" s="302"/>
      <c r="L61" s="302"/>
      <c r="M61" s="301"/>
      <c r="N61" s="301"/>
      <c r="O61" s="301"/>
      <c r="P61" s="301"/>
      <c r="Q61" s="301">
        <v>400</v>
      </c>
      <c r="R61" s="301">
        <v>400</v>
      </c>
      <c r="S61" s="301">
        <v>211.9</v>
      </c>
      <c r="T61" s="301">
        <v>168.8</v>
      </c>
      <c r="U61" s="273">
        <f t="shared" si="13"/>
        <v>12025.6</v>
      </c>
      <c r="V61" s="273">
        <f t="shared" si="13"/>
        <v>11678.3</v>
      </c>
      <c r="W61" s="301">
        <v>4540.2</v>
      </c>
      <c r="X61" s="301">
        <v>1634.3</v>
      </c>
      <c r="Y61" s="301"/>
      <c r="Z61" s="301"/>
      <c r="AA61" s="301"/>
      <c r="AB61" s="301">
        <v>120</v>
      </c>
      <c r="AC61" s="301">
        <v>120</v>
      </c>
      <c r="AD61" s="301">
        <v>-986</v>
      </c>
      <c r="AE61" s="301">
        <v>-1118.3</v>
      </c>
      <c r="AF61" s="301">
        <v>-141</v>
      </c>
      <c r="AG61" s="301">
        <v>-263.1</v>
      </c>
      <c r="AH61" s="301"/>
      <c r="AI61" s="301"/>
      <c r="AJ61" s="301"/>
      <c r="AK61" s="301"/>
      <c r="AL61" s="273">
        <f t="shared" si="14"/>
        <v>3533.2</v>
      </c>
      <c r="AM61" s="273">
        <f t="shared" si="14"/>
        <v>372.9</v>
      </c>
      <c r="AN61" s="301"/>
      <c r="AO61" s="301"/>
      <c r="AT61" s="271"/>
    </row>
    <row r="62" spans="1:46" s="307" customFormat="1" ht="16.5" customHeight="1">
      <c r="A62" s="303">
        <v>49</v>
      </c>
      <c r="B62" s="299" t="s">
        <v>926</v>
      </c>
      <c r="C62" s="304">
        <f t="shared" si="12"/>
        <v>10505.1</v>
      </c>
      <c r="D62" s="304">
        <f t="shared" si="12"/>
        <v>9829.7</v>
      </c>
      <c r="E62" s="305">
        <v>4955</v>
      </c>
      <c r="F62" s="305">
        <v>4902.6</v>
      </c>
      <c r="G62" s="305">
        <v>1014</v>
      </c>
      <c r="H62" s="305">
        <v>991.4</v>
      </c>
      <c r="I62" s="305">
        <v>3750.5</v>
      </c>
      <c r="J62" s="305">
        <v>3677</v>
      </c>
      <c r="K62" s="306"/>
      <c r="L62" s="306"/>
      <c r="M62" s="305"/>
      <c r="N62" s="305"/>
      <c r="O62" s="305"/>
      <c r="P62" s="305"/>
      <c r="Q62" s="305"/>
      <c r="R62" s="305"/>
      <c r="S62" s="305">
        <v>136</v>
      </c>
      <c r="T62" s="305">
        <v>109.1</v>
      </c>
      <c r="U62" s="304">
        <f t="shared" si="13"/>
        <v>9855.5</v>
      </c>
      <c r="V62" s="304">
        <f t="shared" si="13"/>
        <v>9680.1</v>
      </c>
      <c r="W62" s="305">
        <v>604.6</v>
      </c>
      <c r="X62" s="305">
        <v>150</v>
      </c>
      <c r="Y62" s="305"/>
      <c r="Z62" s="305"/>
      <c r="AA62" s="305"/>
      <c r="AB62" s="305">
        <v>45</v>
      </c>
      <c r="AC62" s="305">
        <v>45</v>
      </c>
      <c r="AD62" s="305"/>
      <c r="AE62" s="305"/>
      <c r="AF62" s="305"/>
      <c r="AG62" s="305">
        <v>-45.4</v>
      </c>
      <c r="AH62" s="305"/>
      <c r="AI62" s="305"/>
      <c r="AJ62" s="305"/>
      <c r="AK62" s="305"/>
      <c r="AL62" s="304">
        <f t="shared" si="14"/>
        <v>649.6</v>
      </c>
      <c r="AM62" s="304">
        <f t="shared" si="14"/>
        <v>149.6</v>
      </c>
      <c r="AN62" s="305"/>
      <c r="AO62" s="305"/>
      <c r="AT62" s="318"/>
    </row>
    <row r="63" spans="1:46" ht="16.5" customHeight="1">
      <c r="A63" s="303">
        <v>50</v>
      </c>
      <c r="B63" s="299" t="s">
        <v>927</v>
      </c>
      <c r="C63" s="273">
        <f t="shared" si="12"/>
        <v>55548.1</v>
      </c>
      <c r="D63" s="304">
        <f>V63+AM63-AK63</f>
        <v>43792.8</v>
      </c>
      <c r="E63" s="301">
        <v>13200</v>
      </c>
      <c r="F63" s="301">
        <v>12646.6</v>
      </c>
      <c r="G63" s="301">
        <v>3200</v>
      </c>
      <c r="H63" s="301">
        <v>2778.8</v>
      </c>
      <c r="I63" s="301">
        <v>8750.1</v>
      </c>
      <c r="J63" s="301">
        <v>6540.8</v>
      </c>
      <c r="K63" s="302"/>
      <c r="L63" s="302"/>
      <c r="M63" s="301">
        <v>19224.3</v>
      </c>
      <c r="N63" s="301">
        <v>18580</v>
      </c>
      <c r="O63" s="301">
        <v>1372.7</v>
      </c>
      <c r="P63" s="301">
        <v>1372.7</v>
      </c>
      <c r="Q63" s="301">
        <v>1500</v>
      </c>
      <c r="R63" s="301">
        <v>1485</v>
      </c>
      <c r="S63" s="301">
        <v>1406.1</v>
      </c>
      <c r="T63" s="301">
        <v>192</v>
      </c>
      <c r="U63" s="273">
        <f t="shared" si="13"/>
        <v>48653.2</v>
      </c>
      <c r="V63" s="273">
        <f t="shared" si="13"/>
        <v>43595.9</v>
      </c>
      <c r="W63" s="301">
        <v>7214.9</v>
      </c>
      <c r="X63" s="301">
        <v>374.8</v>
      </c>
      <c r="Y63" s="301"/>
      <c r="Z63" s="301"/>
      <c r="AA63" s="301"/>
      <c r="AB63" s="301"/>
      <c r="AC63" s="301"/>
      <c r="AD63" s="301"/>
      <c r="AE63" s="301"/>
      <c r="AF63" s="301"/>
      <c r="AG63" s="301">
        <v>-34.9</v>
      </c>
      <c r="AH63" s="301"/>
      <c r="AI63" s="301"/>
      <c r="AJ63" s="301">
        <v>320</v>
      </c>
      <c r="AK63" s="301">
        <v>143</v>
      </c>
      <c r="AL63" s="273">
        <f t="shared" si="14"/>
        <v>7214.9</v>
      </c>
      <c r="AM63" s="273">
        <f t="shared" si="14"/>
        <v>339.90000000000003</v>
      </c>
      <c r="AN63" s="301"/>
      <c r="AO63" s="301"/>
      <c r="AT63" s="271"/>
    </row>
    <row r="64" spans="1:47" ht="16.5" customHeight="1">
      <c r="A64" s="262">
        <v>51</v>
      </c>
      <c r="B64" s="299" t="s">
        <v>928</v>
      </c>
      <c r="C64" s="273">
        <f t="shared" si="12"/>
        <v>15673.400000000001</v>
      </c>
      <c r="D64" s="273">
        <f t="shared" si="12"/>
        <v>11390</v>
      </c>
      <c r="E64" s="301">
        <v>7409.2</v>
      </c>
      <c r="F64" s="301">
        <v>5643.9</v>
      </c>
      <c r="G64" s="301">
        <v>1992</v>
      </c>
      <c r="H64" s="301">
        <v>1398.3</v>
      </c>
      <c r="I64" s="301">
        <v>2050</v>
      </c>
      <c r="J64" s="301">
        <v>1147.8</v>
      </c>
      <c r="K64" s="302"/>
      <c r="L64" s="302"/>
      <c r="M64" s="301">
        <v>3000</v>
      </c>
      <c r="N64" s="301">
        <v>3000</v>
      </c>
      <c r="O64" s="301"/>
      <c r="P64" s="301"/>
      <c r="Q64" s="301">
        <v>100</v>
      </c>
      <c r="R64" s="301">
        <v>100</v>
      </c>
      <c r="S64" s="301">
        <v>1120</v>
      </c>
      <c r="T64" s="301">
        <v>100</v>
      </c>
      <c r="U64" s="273">
        <f t="shared" si="13"/>
        <v>15671.2</v>
      </c>
      <c r="V64" s="273">
        <f t="shared" si="13"/>
        <v>11390</v>
      </c>
      <c r="W64" s="301"/>
      <c r="X64" s="301"/>
      <c r="Y64" s="301"/>
      <c r="Z64" s="301"/>
      <c r="AA64" s="301"/>
      <c r="AB64" s="301">
        <v>2.2</v>
      </c>
      <c r="AC64" s="301"/>
      <c r="AD64" s="301"/>
      <c r="AE64" s="301"/>
      <c r="AF64" s="301"/>
      <c r="AG64" s="301"/>
      <c r="AH64" s="301"/>
      <c r="AI64" s="301"/>
      <c r="AJ64" s="301"/>
      <c r="AK64" s="301"/>
      <c r="AL64" s="273">
        <f t="shared" si="14"/>
        <v>2.2</v>
      </c>
      <c r="AM64" s="273">
        <f t="shared" si="14"/>
        <v>0</v>
      </c>
      <c r="AN64" s="301"/>
      <c r="AO64" s="301"/>
      <c r="AT64" s="271"/>
      <c r="AU64" s="271"/>
    </row>
    <row r="65" spans="1:46" ht="16.5" customHeight="1">
      <c r="A65" s="262">
        <v>52</v>
      </c>
      <c r="B65" s="299" t="s">
        <v>929</v>
      </c>
      <c r="C65" s="273">
        <f t="shared" si="12"/>
        <v>6001</v>
      </c>
      <c r="D65" s="273">
        <f t="shared" si="12"/>
        <v>4827.4</v>
      </c>
      <c r="E65" s="301">
        <v>3395</v>
      </c>
      <c r="F65" s="301">
        <v>3185.4</v>
      </c>
      <c r="G65" s="301">
        <v>965</v>
      </c>
      <c r="H65" s="301">
        <v>965</v>
      </c>
      <c r="I65" s="301">
        <v>1300.9</v>
      </c>
      <c r="J65" s="301">
        <v>434.6</v>
      </c>
      <c r="K65" s="302"/>
      <c r="L65" s="302"/>
      <c r="M65" s="301"/>
      <c r="N65" s="301"/>
      <c r="O65" s="301"/>
      <c r="P65" s="301"/>
      <c r="Q65" s="301">
        <v>200</v>
      </c>
      <c r="R65" s="301">
        <v>190</v>
      </c>
      <c r="S65" s="301">
        <v>140</v>
      </c>
      <c r="T65" s="301">
        <v>52.4</v>
      </c>
      <c r="U65" s="273">
        <f t="shared" si="13"/>
        <v>6000.9</v>
      </c>
      <c r="V65" s="273">
        <f t="shared" si="13"/>
        <v>4827.4</v>
      </c>
      <c r="W65" s="301">
        <v>0.1</v>
      </c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273">
        <f t="shared" si="14"/>
        <v>0.1</v>
      </c>
      <c r="AM65" s="273">
        <f t="shared" si="14"/>
        <v>0</v>
      </c>
      <c r="AN65" s="301"/>
      <c r="AO65" s="301"/>
      <c r="AT65" s="271"/>
    </row>
    <row r="66" spans="1:46" ht="16.5" customHeight="1">
      <c r="A66" s="262">
        <v>53</v>
      </c>
      <c r="B66" s="299" t="s">
        <v>930</v>
      </c>
      <c r="C66" s="273">
        <f t="shared" si="12"/>
        <v>9816.7</v>
      </c>
      <c r="D66" s="273">
        <f t="shared" si="12"/>
        <v>8848.1</v>
      </c>
      <c r="E66" s="301">
        <v>4730</v>
      </c>
      <c r="F66" s="301">
        <v>4730</v>
      </c>
      <c r="G66" s="301">
        <v>1079</v>
      </c>
      <c r="H66" s="301">
        <v>1021.5</v>
      </c>
      <c r="I66" s="301">
        <v>2816.5</v>
      </c>
      <c r="J66" s="301">
        <v>2644</v>
      </c>
      <c r="K66" s="302"/>
      <c r="L66" s="302"/>
      <c r="M66" s="301"/>
      <c r="N66" s="301"/>
      <c r="O66" s="301"/>
      <c r="P66" s="301"/>
      <c r="Q66" s="301">
        <v>255</v>
      </c>
      <c r="R66" s="301">
        <v>255</v>
      </c>
      <c r="S66" s="301">
        <v>242</v>
      </c>
      <c r="T66" s="301">
        <v>152.6</v>
      </c>
      <c r="U66" s="273">
        <f t="shared" si="13"/>
        <v>9122.5</v>
      </c>
      <c r="V66" s="273">
        <f t="shared" si="13"/>
        <v>8803.1</v>
      </c>
      <c r="W66" s="301">
        <v>649.2</v>
      </c>
      <c r="X66" s="301"/>
      <c r="Y66" s="301"/>
      <c r="Z66" s="301"/>
      <c r="AA66" s="301"/>
      <c r="AB66" s="301">
        <v>45</v>
      </c>
      <c r="AC66" s="301">
        <v>45</v>
      </c>
      <c r="AD66" s="301"/>
      <c r="AE66" s="301"/>
      <c r="AF66" s="301"/>
      <c r="AG66" s="301"/>
      <c r="AH66" s="301"/>
      <c r="AI66" s="301"/>
      <c r="AJ66" s="301"/>
      <c r="AK66" s="301"/>
      <c r="AL66" s="273">
        <f t="shared" si="14"/>
        <v>694.2</v>
      </c>
      <c r="AM66" s="273">
        <f t="shared" si="14"/>
        <v>45</v>
      </c>
      <c r="AN66" s="301"/>
      <c r="AO66" s="301"/>
      <c r="AT66" s="271"/>
    </row>
    <row r="67" spans="1:46" ht="16.5" customHeight="1">
      <c r="A67" s="262">
        <v>54</v>
      </c>
      <c r="B67" s="299" t="s">
        <v>931</v>
      </c>
      <c r="C67" s="273">
        <f t="shared" si="12"/>
        <v>17335.9</v>
      </c>
      <c r="D67" s="273">
        <f t="shared" si="12"/>
        <v>10129.599999999999</v>
      </c>
      <c r="E67" s="301">
        <v>7345.7</v>
      </c>
      <c r="F67" s="301">
        <v>7345.7</v>
      </c>
      <c r="G67" s="301">
        <v>1205.1</v>
      </c>
      <c r="H67" s="301">
        <v>1133.7</v>
      </c>
      <c r="I67" s="301">
        <v>1871.4</v>
      </c>
      <c r="J67" s="301">
        <v>1442.6</v>
      </c>
      <c r="K67" s="302"/>
      <c r="L67" s="302"/>
      <c r="M67" s="301"/>
      <c r="N67" s="301"/>
      <c r="O67" s="301"/>
      <c r="P67" s="301"/>
      <c r="Q67" s="301">
        <v>300</v>
      </c>
      <c r="R67" s="301"/>
      <c r="S67" s="301">
        <v>240</v>
      </c>
      <c r="T67" s="301">
        <v>207.6</v>
      </c>
      <c r="U67" s="273">
        <f t="shared" si="13"/>
        <v>10962.2</v>
      </c>
      <c r="V67" s="273">
        <f t="shared" si="13"/>
        <v>10129.599999999999</v>
      </c>
      <c r="W67" s="301">
        <v>6373.7</v>
      </c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273">
        <f t="shared" si="14"/>
        <v>6373.7</v>
      </c>
      <c r="AM67" s="273">
        <f t="shared" si="14"/>
        <v>0</v>
      </c>
      <c r="AN67" s="301"/>
      <c r="AO67" s="301"/>
      <c r="AT67" s="271"/>
    </row>
    <row r="68" spans="1:46" ht="16.5" customHeight="1">
      <c r="A68" s="262">
        <v>55</v>
      </c>
      <c r="B68" s="299" t="s">
        <v>932</v>
      </c>
      <c r="C68" s="273">
        <f t="shared" si="12"/>
        <v>9611.9</v>
      </c>
      <c r="D68" s="273">
        <f t="shared" si="12"/>
        <v>8096.299999999999</v>
      </c>
      <c r="E68" s="301">
        <v>3900</v>
      </c>
      <c r="F68" s="301">
        <v>3869.4</v>
      </c>
      <c r="G68" s="301">
        <v>1079</v>
      </c>
      <c r="H68" s="301">
        <v>1031.8</v>
      </c>
      <c r="I68" s="301">
        <v>2806.8</v>
      </c>
      <c r="J68" s="301">
        <v>1917.8</v>
      </c>
      <c r="K68" s="302"/>
      <c r="L68" s="302"/>
      <c r="M68" s="301"/>
      <c r="N68" s="301"/>
      <c r="O68" s="301"/>
      <c r="P68" s="301"/>
      <c r="Q68" s="301">
        <v>150</v>
      </c>
      <c r="R68" s="301">
        <v>60</v>
      </c>
      <c r="S68" s="301">
        <v>759</v>
      </c>
      <c r="T68" s="301">
        <v>591</v>
      </c>
      <c r="U68" s="273">
        <f t="shared" si="13"/>
        <v>8694.8</v>
      </c>
      <c r="V68" s="273">
        <f t="shared" si="13"/>
        <v>7470</v>
      </c>
      <c r="W68" s="301">
        <v>1287.8</v>
      </c>
      <c r="X68" s="301">
        <v>997</v>
      </c>
      <c r="Y68" s="301"/>
      <c r="Z68" s="301"/>
      <c r="AA68" s="301"/>
      <c r="AB68" s="301">
        <v>46.3</v>
      </c>
      <c r="AC68" s="301">
        <v>46.3</v>
      </c>
      <c r="AD68" s="301"/>
      <c r="AE68" s="301"/>
      <c r="AF68" s="301"/>
      <c r="AG68" s="301"/>
      <c r="AH68" s="301"/>
      <c r="AI68" s="301"/>
      <c r="AJ68" s="301">
        <v>417</v>
      </c>
      <c r="AK68" s="301">
        <v>417</v>
      </c>
      <c r="AL68" s="273">
        <f t="shared" si="14"/>
        <v>1334.1</v>
      </c>
      <c r="AM68" s="273">
        <f t="shared" si="14"/>
        <v>1043.3</v>
      </c>
      <c r="AN68" s="301"/>
      <c r="AO68" s="301"/>
      <c r="AT68" s="271"/>
    </row>
    <row r="69" spans="1:46" ht="16.5" customHeight="1">
      <c r="A69" s="262">
        <v>56</v>
      </c>
      <c r="B69" s="299" t="s">
        <v>933</v>
      </c>
      <c r="C69" s="273">
        <f t="shared" si="12"/>
        <v>35330.3</v>
      </c>
      <c r="D69" s="273">
        <f t="shared" si="12"/>
        <v>26008.899999999998</v>
      </c>
      <c r="E69" s="301">
        <v>7500</v>
      </c>
      <c r="F69" s="301">
        <v>6883.3</v>
      </c>
      <c r="G69" s="301">
        <v>1600</v>
      </c>
      <c r="H69" s="301">
        <v>1333.4</v>
      </c>
      <c r="I69" s="301">
        <v>8950.7</v>
      </c>
      <c r="J69" s="301">
        <v>5121.4</v>
      </c>
      <c r="K69" s="302"/>
      <c r="L69" s="302"/>
      <c r="M69" s="301">
        <v>11800</v>
      </c>
      <c r="N69" s="301">
        <v>10850</v>
      </c>
      <c r="O69" s="301"/>
      <c r="P69" s="301"/>
      <c r="Q69" s="301">
        <v>1460</v>
      </c>
      <c r="R69" s="301">
        <v>1420</v>
      </c>
      <c r="S69" s="301">
        <v>1316.2</v>
      </c>
      <c r="T69" s="301">
        <v>400.8</v>
      </c>
      <c r="U69" s="273">
        <f t="shared" si="13"/>
        <v>32626.9</v>
      </c>
      <c r="V69" s="273">
        <f t="shared" si="13"/>
        <v>26008.899999999998</v>
      </c>
      <c r="W69" s="301">
        <v>2703.4</v>
      </c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273">
        <f t="shared" si="14"/>
        <v>2703.4</v>
      </c>
      <c r="AM69" s="273">
        <f t="shared" si="14"/>
        <v>0</v>
      </c>
      <c r="AN69" s="301"/>
      <c r="AO69" s="301"/>
      <c r="AT69" s="271"/>
    </row>
    <row r="70" spans="1:46" ht="16.5" customHeight="1">
      <c r="A70" s="262">
        <v>57</v>
      </c>
      <c r="B70" s="299" t="s">
        <v>934</v>
      </c>
      <c r="C70" s="273">
        <f t="shared" si="12"/>
        <v>64908.600000000006</v>
      </c>
      <c r="D70" s="273">
        <f t="shared" si="12"/>
        <v>60393.4</v>
      </c>
      <c r="E70" s="301">
        <v>20713.8</v>
      </c>
      <c r="F70" s="301">
        <v>20689.3</v>
      </c>
      <c r="G70" s="301">
        <v>5000</v>
      </c>
      <c r="H70" s="301">
        <v>4771</v>
      </c>
      <c r="I70" s="301">
        <v>9425.3</v>
      </c>
      <c r="J70" s="301">
        <v>7742.3</v>
      </c>
      <c r="K70" s="302"/>
      <c r="L70" s="302"/>
      <c r="M70" s="301">
        <v>24965.7</v>
      </c>
      <c r="N70" s="301">
        <v>24965</v>
      </c>
      <c r="O70" s="301"/>
      <c r="P70" s="301"/>
      <c r="Q70" s="301">
        <v>1300</v>
      </c>
      <c r="R70" s="301">
        <v>1260</v>
      </c>
      <c r="S70" s="301">
        <v>1915</v>
      </c>
      <c r="T70" s="301">
        <v>151.4</v>
      </c>
      <c r="U70" s="273">
        <f t="shared" si="13"/>
        <v>63319.8</v>
      </c>
      <c r="V70" s="273">
        <f t="shared" si="13"/>
        <v>59579</v>
      </c>
      <c r="W70" s="301">
        <v>4409.9</v>
      </c>
      <c r="X70" s="301">
        <v>4087.5</v>
      </c>
      <c r="Y70" s="301"/>
      <c r="Z70" s="301"/>
      <c r="AA70" s="301"/>
      <c r="AB70" s="301"/>
      <c r="AC70" s="301"/>
      <c r="AD70" s="301">
        <v>-1311.8</v>
      </c>
      <c r="AE70" s="301">
        <v>-1703.8</v>
      </c>
      <c r="AF70" s="301">
        <v>-1509.3</v>
      </c>
      <c r="AG70" s="301">
        <v>-1569.3</v>
      </c>
      <c r="AH70" s="301"/>
      <c r="AI70" s="301"/>
      <c r="AJ70" s="301"/>
      <c r="AK70" s="301"/>
      <c r="AL70" s="273">
        <f t="shared" si="14"/>
        <v>1588.7999999999995</v>
      </c>
      <c r="AM70" s="273">
        <f t="shared" si="14"/>
        <v>814.3999999999999</v>
      </c>
      <c r="AN70" s="301"/>
      <c r="AO70" s="301"/>
      <c r="AT70" s="271"/>
    </row>
    <row r="71" spans="1:46" ht="16.5" customHeight="1">
      <c r="A71" s="262">
        <v>58</v>
      </c>
      <c r="B71" s="299" t="s">
        <v>935</v>
      </c>
      <c r="C71" s="273">
        <f t="shared" si="12"/>
        <v>20496.100000000002</v>
      </c>
      <c r="D71" s="273">
        <f t="shared" si="12"/>
        <v>16946.699999999997</v>
      </c>
      <c r="E71" s="301">
        <v>10080</v>
      </c>
      <c r="F71" s="301">
        <v>8279</v>
      </c>
      <c r="G71" s="301">
        <v>2184</v>
      </c>
      <c r="H71" s="301">
        <v>1956.2</v>
      </c>
      <c r="I71" s="301">
        <v>1680</v>
      </c>
      <c r="J71" s="301">
        <v>1069</v>
      </c>
      <c r="K71" s="302"/>
      <c r="L71" s="302"/>
      <c r="M71" s="301">
        <v>1600</v>
      </c>
      <c r="N71" s="301">
        <v>1600</v>
      </c>
      <c r="O71" s="301"/>
      <c r="P71" s="301"/>
      <c r="Q71" s="301">
        <v>300</v>
      </c>
      <c r="R71" s="301">
        <v>195</v>
      </c>
      <c r="S71" s="301">
        <v>1559.9</v>
      </c>
      <c r="T71" s="301">
        <v>964.1</v>
      </c>
      <c r="U71" s="273">
        <f t="shared" si="13"/>
        <v>17403.9</v>
      </c>
      <c r="V71" s="273">
        <f t="shared" si="13"/>
        <v>14063.3</v>
      </c>
      <c r="W71" s="301">
        <v>3926.2</v>
      </c>
      <c r="X71" s="301">
        <v>3926.2</v>
      </c>
      <c r="Y71" s="301"/>
      <c r="Z71" s="301"/>
      <c r="AA71" s="301"/>
      <c r="AB71" s="301"/>
      <c r="AC71" s="301"/>
      <c r="AD71" s="301"/>
      <c r="AE71" s="301"/>
      <c r="AF71" s="301"/>
      <c r="AG71" s="301">
        <v>-208.8</v>
      </c>
      <c r="AH71" s="301"/>
      <c r="AI71" s="301"/>
      <c r="AJ71" s="301">
        <v>834</v>
      </c>
      <c r="AK71" s="301">
        <v>834</v>
      </c>
      <c r="AL71" s="273">
        <f t="shared" si="14"/>
        <v>3926.2</v>
      </c>
      <c r="AM71" s="273">
        <f t="shared" si="14"/>
        <v>3717.3999999999996</v>
      </c>
      <c r="AN71" s="301"/>
      <c r="AO71" s="301"/>
      <c r="AT71" s="271"/>
    </row>
    <row r="72" spans="1:46" ht="16.5" customHeight="1">
      <c r="A72" s="262">
        <v>59</v>
      </c>
      <c r="B72" s="299" t="s">
        <v>936</v>
      </c>
      <c r="C72" s="273">
        <f t="shared" si="12"/>
        <v>14993.3</v>
      </c>
      <c r="D72" s="273">
        <f t="shared" si="12"/>
        <v>12057.2</v>
      </c>
      <c r="E72" s="301">
        <v>8150</v>
      </c>
      <c r="F72" s="301">
        <v>8149.2</v>
      </c>
      <c r="G72" s="301">
        <v>1680</v>
      </c>
      <c r="H72" s="301">
        <v>1660</v>
      </c>
      <c r="I72" s="301">
        <v>2315</v>
      </c>
      <c r="J72" s="301">
        <v>2200</v>
      </c>
      <c r="K72" s="302"/>
      <c r="L72" s="302"/>
      <c r="M72" s="301"/>
      <c r="N72" s="301"/>
      <c r="O72" s="301"/>
      <c r="P72" s="301"/>
      <c r="Q72" s="301">
        <v>451.9</v>
      </c>
      <c r="R72" s="301">
        <v>450</v>
      </c>
      <c r="S72" s="301">
        <v>213</v>
      </c>
      <c r="T72" s="301">
        <v>152.8</v>
      </c>
      <c r="U72" s="273">
        <f t="shared" si="13"/>
        <v>12809.9</v>
      </c>
      <c r="V72" s="273">
        <f t="shared" si="13"/>
        <v>12612</v>
      </c>
      <c r="W72" s="301">
        <v>2183.4</v>
      </c>
      <c r="X72" s="301">
        <v>250</v>
      </c>
      <c r="Y72" s="301"/>
      <c r="Z72" s="301"/>
      <c r="AA72" s="301"/>
      <c r="AB72" s="301"/>
      <c r="AC72" s="301"/>
      <c r="AD72" s="301"/>
      <c r="AE72" s="301">
        <v>-488</v>
      </c>
      <c r="AF72" s="301"/>
      <c r="AG72" s="301">
        <v>-316.8</v>
      </c>
      <c r="AH72" s="301"/>
      <c r="AI72" s="301"/>
      <c r="AJ72" s="301"/>
      <c r="AK72" s="301"/>
      <c r="AL72" s="273">
        <f t="shared" si="14"/>
        <v>2183.4</v>
      </c>
      <c r="AM72" s="273">
        <f t="shared" si="14"/>
        <v>-554.8</v>
      </c>
      <c r="AN72" s="301"/>
      <c r="AO72" s="301"/>
      <c r="AT72" s="271"/>
    </row>
    <row r="73" spans="1:46" ht="16.5" customHeight="1">
      <c r="A73" s="262">
        <v>60</v>
      </c>
      <c r="B73" s="299" t="s">
        <v>937</v>
      </c>
      <c r="C73" s="273">
        <f aca="true" t="shared" si="15" ref="C73:D75">U73+AL73-AJ73</f>
        <v>21971.1</v>
      </c>
      <c r="D73" s="273">
        <f t="shared" si="15"/>
        <v>21130.9</v>
      </c>
      <c r="E73" s="301">
        <v>10688</v>
      </c>
      <c r="F73" s="301">
        <v>10556.3</v>
      </c>
      <c r="G73" s="301">
        <v>2003</v>
      </c>
      <c r="H73" s="301">
        <v>1987.4</v>
      </c>
      <c r="I73" s="301">
        <v>4235</v>
      </c>
      <c r="J73" s="301">
        <v>3945.2</v>
      </c>
      <c r="K73" s="302"/>
      <c r="L73" s="302"/>
      <c r="M73" s="301"/>
      <c r="N73" s="301"/>
      <c r="O73" s="301"/>
      <c r="P73" s="301"/>
      <c r="Q73" s="301">
        <v>1600</v>
      </c>
      <c r="R73" s="301">
        <v>1600</v>
      </c>
      <c r="S73" s="301">
        <v>2145</v>
      </c>
      <c r="T73" s="301">
        <v>1742</v>
      </c>
      <c r="U73" s="273">
        <f t="shared" si="13"/>
        <v>20671</v>
      </c>
      <c r="V73" s="273">
        <f t="shared" si="13"/>
        <v>19830.9</v>
      </c>
      <c r="W73" s="301">
        <v>2650.1</v>
      </c>
      <c r="X73" s="301">
        <v>2650</v>
      </c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>
        <v>1350</v>
      </c>
      <c r="AK73" s="301">
        <v>1350</v>
      </c>
      <c r="AL73" s="273">
        <f t="shared" si="14"/>
        <v>2650.1</v>
      </c>
      <c r="AM73" s="273">
        <f t="shared" si="14"/>
        <v>2650</v>
      </c>
      <c r="AN73" s="301"/>
      <c r="AO73" s="301"/>
      <c r="AT73" s="271"/>
    </row>
    <row r="74" spans="1:41" ht="16.5" customHeight="1">
      <c r="A74" s="262">
        <v>61</v>
      </c>
      <c r="B74" s="299" t="s">
        <v>938</v>
      </c>
      <c r="C74" s="273">
        <f t="shared" si="15"/>
        <v>18985.100000000002</v>
      </c>
      <c r="D74" s="273">
        <f t="shared" si="15"/>
        <v>15026.899999999998</v>
      </c>
      <c r="E74" s="301">
        <v>6420</v>
      </c>
      <c r="F74" s="301">
        <v>6144.7</v>
      </c>
      <c r="G74" s="301">
        <v>1353</v>
      </c>
      <c r="H74" s="301">
        <v>1348.1</v>
      </c>
      <c r="I74" s="301">
        <v>4257</v>
      </c>
      <c r="J74" s="301">
        <v>3089.2</v>
      </c>
      <c r="K74" s="302"/>
      <c r="L74" s="302"/>
      <c r="M74" s="301">
        <v>3780</v>
      </c>
      <c r="N74" s="301">
        <v>3780</v>
      </c>
      <c r="O74" s="301"/>
      <c r="P74" s="301"/>
      <c r="Q74" s="301">
        <v>240</v>
      </c>
      <c r="R74" s="301">
        <v>240</v>
      </c>
      <c r="S74" s="301">
        <v>1694.7</v>
      </c>
      <c r="T74" s="301">
        <v>224.9</v>
      </c>
      <c r="U74" s="273">
        <f t="shared" si="13"/>
        <v>17744.7</v>
      </c>
      <c r="V74" s="273">
        <f t="shared" si="13"/>
        <v>14826.899999999998</v>
      </c>
      <c r="W74" s="301">
        <v>1240.4</v>
      </c>
      <c r="X74" s="301">
        <v>200</v>
      </c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273">
        <f t="shared" si="14"/>
        <v>1240.4</v>
      </c>
      <c r="AM74" s="273">
        <f t="shared" si="14"/>
        <v>200</v>
      </c>
      <c r="AN74" s="301"/>
      <c r="AO74" s="301"/>
    </row>
    <row r="75" spans="1:41" ht="16.5" customHeight="1">
      <c r="A75" s="262">
        <v>62</v>
      </c>
      <c r="B75" s="299" t="s">
        <v>939</v>
      </c>
      <c r="C75" s="273">
        <f t="shared" si="15"/>
        <v>10138.9</v>
      </c>
      <c r="D75" s="273">
        <f t="shared" si="15"/>
        <v>8588.7</v>
      </c>
      <c r="E75" s="301">
        <v>4860</v>
      </c>
      <c r="F75" s="301">
        <v>4856.8</v>
      </c>
      <c r="G75" s="301">
        <v>1051</v>
      </c>
      <c r="H75" s="301">
        <v>1042.7</v>
      </c>
      <c r="I75" s="301">
        <v>1851</v>
      </c>
      <c r="J75" s="305">
        <v>1693.7</v>
      </c>
      <c r="K75" s="302"/>
      <c r="L75" s="302"/>
      <c r="M75" s="301"/>
      <c r="N75" s="301"/>
      <c r="O75" s="301"/>
      <c r="P75" s="301"/>
      <c r="Q75" s="301">
        <v>850</v>
      </c>
      <c r="R75" s="301">
        <v>850</v>
      </c>
      <c r="S75" s="301">
        <v>388</v>
      </c>
      <c r="T75" s="301">
        <v>145.5</v>
      </c>
      <c r="U75" s="273">
        <f t="shared" si="13"/>
        <v>9000</v>
      </c>
      <c r="V75" s="273">
        <f t="shared" si="13"/>
        <v>8588.7</v>
      </c>
      <c r="W75" s="301">
        <v>1138.9</v>
      </c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273">
        <f t="shared" si="14"/>
        <v>1138.9</v>
      </c>
      <c r="AM75" s="273">
        <f t="shared" si="14"/>
        <v>0</v>
      </c>
      <c r="AN75" s="301"/>
      <c r="AO75" s="301"/>
    </row>
    <row r="76" spans="1:41" ht="16.5" customHeight="1">
      <c r="A76" s="708" t="s">
        <v>940</v>
      </c>
      <c r="B76" s="709"/>
      <c r="C76" s="308">
        <f>SUM(C57:C75)</f>
        <v>562200.9</v>
      </c>
      <c r="D76" s="308">
        <f aca="true" t="shared" si="16" ref="D76:AM76">SUM(D57:D75)</f>
        <v>472091.5000000001</v>
      </c>
      <c r="E76" s="308">
        <f t="shared" si="16"/>
        <v>210582.4</v>
      </c>
      <c r="F76" s="308">
        <f t="shared" si="16"/>
        <v>202683.29999999996</v>
      </c>
      <c r="G76" s="308">
        <f t="shared" si="16"/>
        <v>47299.899999999994</v>
      </c>
      <c r="H76" s="308">
        <f t="shared" si="16"/>
        <v>44625.7</v>
      </c>
      <c r="I76" s="308">
        <f t="shared" si="16"/>
        <v>113788.29999999999</v>
      </c>
      <c r="J76" s="308">
        <f t="shared" si="16"/>
        <v>95140.09999999999</v>
      </c>
      <c r="K76" s="309">
        <f t="shared" si="16"/>
        <v>0</v>
      </c>
      <c r="L76" s="309">
        <f t="shared" si="16"/>
        <v>0</v>
      </c>
      <c r="M76" s="308">
        <f t="shared" si="16"/>
        <v>94422.59999999999</v>
      </c>
      <c r="N76" s="308">
        <f t="shared" si="16"/>
        <v>92617.1</v>
      </c>
      <c r="O76" s="308">
        <f t="shared" si="16"/>
        <v>2022.7</v>
      </c>
      <c r="P76" s="308">
        <f t="shared" si="16"/>
        <v>1772.7</v>
      </c>
      <c r="Q76" s="308">
        <f t="shared" si="16"/>
        <v>15706.9</v>
      </c>
      <c r="R76" s="308">
        <f t="shared" si="16"/>
        <v>14839</v>
      </c>
      <c r="S76" s="308">
        <f t="shared" si="16"/>
        <v>26361.700000000004</v>
      </c>
      <c r="T76" s="308">
        <f t="shared" si="16"/>
        <v>9182.2</v>
      </c>
      <c r="U76" s="308">
        <f t="shared" si="16"/>
        <v>510184.5000000001</v>
      </c>
      <c r="V76" s="308">
        <f t="shared" si="16"/>
        <v>460860.10000000003</v>
      </c>
      <c r="W76" s="308">
        <f t="shared" si="16"/>
        <v>77465.79999999997</v>
      </c>
      <c r="X76" s="308">
        <f t="shared" si="16"/>
        <v>31228.7</v>
      </c>
      <c r="Y76" s="308">
        <f t="shared" si="16"/>
        <v>0</v>
      </c>
      <c r="Z76" s="308">
        <f t="shared" si="16"/>
        <v>0</v>
      </c>
      <c r="AA76" s="308">
        <f t="shared" si="16"/>
        <v>0</v>
      </c>
      <c r="AB76" s="308">
        <f t="shared" si="16"/>
        <v>403.5</v>
      </c>
      <c r="AC76" s="308">
        <f t="shared" si="16"/>
        <v>356.3</v>
      </c>
      <c r="AD76" s="308">
        <f t="shared" si="16"/>
        <v>-13395.099999999999</v>
      </c>
      <c r="AE76" s="308">
        <f t="shared" si="16"/>
        <v>-4672.4</v>
      </c>
      <c r="AF76" s="308">
        <f t="shared" si="16"/>
        <v>-7486.8</v>
      </c>
      <c r="AG76" s="308">
        <f t="shared" si="16"/>
        <v>-10887.199999999997</v>
      </c>
      <c r="AH76" s="308">
        <f t="shared" si="16"/>
        <v>0</v>
      </c>
      <c r="AI76" s="308">
        <f t="shared" si="16"/>
        <v>0</v>
      </c>
      <c r="AJ76" s="308">
        <f t="shared" si="16"/>
        <v>4971</v>
      </c>
      <c r="AK76" s="308">
        <f t="shared" si="16"/>
        <v>4794</v>
      </c>
      <c r="AL76" s="308">
        <f t="shared" si="16"/>
        <v>56987.399999999994</v>
      </c>
      <c r="AM76" s="308">
        <f t="shared" si="16"/>
        <v>16025.399999999998</v>
      </c>
      <c r="AN76" s="308">
        <f>SUM(AN57:AN75)</f>
        <v>0</v>
      </c>
      <c r="AO76" s="308">
        <f>SUM(AO57:AO75)</f>
        <v>0</v>
      </c>
    </row>
    <row r="77" spans="1:41" ht="27" customHeight="1">
      <c r="A77" s="710" t="s">
        <v>941</v>
      </c>
      <c r="B77" s="711"/>
      <c r="C77" s="288">
        <f>C31+C38+C56+C76</f>
        <v>2301383.9</v>
      </c>
      <c r="D77" s="288">
        <f aca="true" t="shared" si="17" ref="D77:AM77">D31+D38+D56+D76</f>
        <v>1749933.8000000003</v>
      </c>
      <c r="E77" s="288">
        <f t="shared" si="17"/>
        <v>741532.2000000001</v>
      </c>
      <c r="F77" s="288">
        <f t="shared" si="17"/>
        <v>722861.8999999999</v>
      </c>
      <c r="G77" s="288">
        <f t="shared" si="17"/>
        <v>163856.4</v>
      </c>
      <c r="H77" s="288">
        <f t="shared" si="17"/>
        <v>155475.09999999998</v>
      </c>
      <c r="I77" s="288">
        <f t="shared" si="17"/>
        <v>507623.6</v>
      </c>
      <c r="J77" s="288">
        <f t="shared" si="17"/>
        <v>460296.6</v>
      </c>
      <c r="K77" s="319">
        <f t="shared" si="17"/>
        <v>0</v>
      </c>
      <c r="L77" s="319">
        <f t="shared" si="17"/>
        <v>0</v>
      </c>
      <c r="M77" s="288">
        <f t="shared" si="17"/>
        <v>361448.8</v>
      </c>
      <c r="N77" s="288">
        <f t="shared" si="17"/>
        <v>356516.4</v>
      </c>
      <c r="O77" s="288">
        <f t="shared" si="17"/>
        <v>184929.80000000002</v>
      </c>
      <c r="P77" s="288">
        <f t="shared" si="17"/>
        <v>183950.30000000002</v>
      </c>
      <c r="Q77" s="288">
        <f t="shared" si="17"/>
        <v>54737.8</v>
      </c>
      <c r="R77" s="288">
        <f t="shared" si="17"/>
        <v>52492.6</v>
      </c>
      <c r="S77" s="288">
        <f t="shared" si="17"/>
        <v>93757.20000000001</v>
      </c>
      <c r="T77" s="288">
        <f t="shared" si="17"/>
        <v>51644.40000000001</v>
      </c>
      <c r="U77" s="288">
        <f t="shared" si="17"/>
        <v>2107885.8000000003</v>
      </c>
      <c r="V77" s="288">
        <f t="shared" si="17"/>
        <v>1983237.2999999998</v>
      </c>
      <c r="W77" s="288">
        <f t="shared" si="17"/>
        <v>1132267.3</v>
      </c>
      <c r="X77" s="288">
        <f t="shared" si="17"/>
        <v>720570.5</v>
      </c>
      <c r="Y77" s="288">
        <f t="shared" si="17"/>
        <v>7632.1</v>
      </c>
      <c r="Z77" s="288">
        <f t="shared" si="17"/>
        <v>4971.3</v>
      </c>
      <c r="AA77" s="288">
        <f t="shared" si="17"/>
        <v>256</v>
      </c>
      <c r="AB77" s="288">
        <f t="shared" si="17"/>
        <v>403.5</v>
      </c>
      <c r="AC77" s="288">
        <f t="shared" si="17"/>
        <v>356.3</v>
      </c>
      <c r="AD77" s="288">
        <f t="shared" si="17"/>
        <v>-60038</v>
      </c>
      <c r="AE77" s="288">
        <f t="shared" si="17"/>
        <v>-65698.5</v>
      </c>
      <c r="AF77" s="288">
        <f t="shared" si="17"/>
        <v>-863549.2000000001</v>
      </c>
      <c r="AG77" s="288">
        <f t="shared" si="17"/>
        <v>-868726.2000000001</v>
      </c>
      <c r="AH77" s="288">
        <f t="shared" si="17"/>
        <v>0</v>
      </c>
      <c r="AI77" s="288">
        <f t="shared" si="17"/>
        <v>0</v>
      </c>
      <c r="AJ77" s="288">
        <f t="shared" si="17"/>
        <v>20556.8</v>
      </c>
      <c r="AK77" s="288">
        <f t="shared" si="17"/>
        <v>20061.6</v>
      </c>
      <c r="AL77" s="288">
        <f t="shared" si="17"/>
        <v>214054.89999999997</v>
      </c>
      <c r="AM77" s="288">
        <f t="shared" si="17"/>
        <v>-213241.9000000001</v>
      </c>
      <c r="AN77" s="288">
        <f>AN31+AN38+AN56+AN76</f>
        <v>7221.300000000001</v>
      </c>
      <c r="AO77" s="288">
        <f>AO31+AO38+AO56+AO76</f>
        <v>2468</v>
      </c>
    </row>
    <row r="78" spans="4:41" ht="5.25" customHeight="1">
      <c r="D78" s="320"/>
      <c r="E78" s="320"/>
      <c r="F78" s="320"/>
      <c r="G78" s="320"/>
      <c r="H78" s="320"/>
      <c r="I78" s="320"/>
      <c r="J78" s="320"/>
      <c r="K78" s="321"/>
      <c r="L78" s="321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</row>
    <row r="79" spans="4:41" ht="13.5" hidden="1">
      <c r="D79" s="320"/>
      <c r="E79" s="320"/>
      <c r="F79" s="320"/>
      <c r="G79" s="320"/>
      <c r="H79" s="320"/>
      <c r="I79" s="320"/>
      <c r="J79" s="320"/>
      <c r="K79" s="321"/>
      <c r="L79" s="321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D79" s="322" t="s">
        <v>942</v>
      </c>
      <c r="AF79" s="289"/>
      <c r="AG79" s="289"/>
      <c r="AH79" s="289"/>
      <c r="AJ79" s="289"/>
      <c r="AK79" s="289"/>
      <c r="AL79" s="289"/>
      <c r="AM79" s="289"/>
      <c r="AO79" s="323" t="s">
        <v>943</v>
      </c>
    </row>
    <row r="80" spans="4:41" ht="5.25" customHeight="1" hidden="1">
      <c r="D80" s="320"/>
      <c r="E80" s="320"/>
      <c r="F80" s="320"/>
      <c r="G80" s="320"/>
      <c r="H80" s="320"/>
      <c r="I80" s="320"/>
      <c r="J80" s="320"/>
      <c r="K80" s="321"/>
      <c r="L80" s="321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4" t="s">
        <v>944</v>
      </c>
      <c r="AE80" s="320"/>
      <c r="AF80" s="320"/>
      <c r="AG80" s="320"/>
      <c r="AH80" s="320"/>
      <c r="AI80" s="320"/>
      <c r="AJ80" s="320"/>
      <c r="AK80" s="320"/>
      <c r="AM80" s="320"/>
      <c r="AN80" s="320"/>
      <c r="AO80" s="320"/>
    </row>
    <row r="81" spans="4:41" ht="13.5" hidden="1">
      <c r="D81" s="320"/>
      <c r="E81" s="320"/>
      <c r="F81" s="320"/>
      <c r="G81" s="320"/>
      <c r="H81" s="320"/>
      <c r="I81" s="320"/>
      <c r="J81" s="320"/>
      <c r="K81" s="321"/>
      <c r="L81" s="321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2" t="s">
        <v>945</v>
      </c>
      <c r="AF81" s="289"/>
      <c r="AH81" s="289"/>
      <c r="AJ81" s="289"/>
      <c r="AK81" s="289"/>
      <c r="AL81" s="289"/>
      <c r="AM81" s="289"/>
      <c r="AO81" s="323" t="s">
        <v>946</v>
      </c>
    </row>
  </sheetData>
  <sheetProtection/>
  <mergeCells count="39">
    <mergeCell ref="A38:B38"/>
    <mergeCell ref="A56:B56"/>
    <mergeCell ref="A76:B76"/>
    <mergeCell ref="A77:B77"/>
    <mergeCell ref="AB7:AC8"/>
    <mergeCell ref="E8:F8"/>
    <mergeCell ref="G8:H8"/>
    <mergeCell ref="K7:L8"/>
    <mergeCell ref="M7:N8"/>
    <mergeCell ref="O7:P8"/>
    <mergeCell ref="AF8:AG8"/>
    <mergeCell ref="AH8:AI8"/>
    <mergeCell ref="A31:B31"/>
    <mergeCell ref="AN5:AO8"/>
    <mergeCell ref="E6:T6"/>
    <mergeCell ref="W6:AC6"/>
    <mergeCell ref="AD6:AE8"/>
    <mergeCell ref="AF6:AI7"/>
    <mergeCell ref="E7:H7"/>
    <mergeCell ref="I7:J8"/>
    <mergeCell ref="AL4:AM4"/>
    <mergeCell ref="E5:T5"/>
    <mergeCell ref="U5:V8"/>
    <mergeCell ref="W5:AC5"/>
    <mergeCell ref="AD5:AI5"/>
    <mergeCell ref="AJ5:AK8"/>
    <mergeCell ref="AL5:AM8"/>
    <mergeCell ref="Q7:R8"/>
    <mergeCell ref="S7:T8"/>
    <mergeCell ref="W7:Y8"/>
    <mergeCell ref="B1:P1"/>
    <mergeCell ref="B2:P2"/>
    <mergeCell ref="O3:P3"/>
    <mergeCell ref="U3:V3"/>
    <mergeCell ref="A4:A9"/>
    <mergeCell ref="B4:B9"/>
    <mergeCell ref="C4:D8"/>
    <mergeCell ref="E4:AA4"/>
    <mergeCell ref="Z7:AA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9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.3984375" style="1" customWidth="1"/>
    <col min="2" max="2" width="16.69921875" style="1" customWidth="1"/>
    <col min="3" max="3" width="12.3984375" style="1" customWidth="1"/>
    <col min="4" max="4" width="10.59765625" style="1" customWidth="1"/>
    <col min="5" max="5" width="11.8984375" style="1" customWidth="1"/>
    <col min="6" max="6" width="12.5" style="1" customWidth="1"/>
    <col min="7" max="7" width="10.59765625" style="1" customWidth="1"/>
    <col min="8" max="8" width="11" style="1" customWidth="1"/>
    <col min="9" max="9" width="10" style="1" hidden="1" customWidth="1"/>
    <col min="10" max="10" width="11.8984375" style="1" customWidth="1"/>
    <col min="11" max="11" width="14.19921875" style="1" customWidth="1"/>
    <col min="12" max="12" width="9.09765625" style="1" customWidth="1"/>
    <col min="13" max="13" width="10" style="1" customWidth="1"/>
    <col min="14" max="14" width="11.5" style="1" customWidth="1"/>
    <col min="15" max="15" width="11.09765625" style="1" customWidth="1"/>
    <col min="16" max="16" width="10.69921875" style="1" customWidth="1"/>
    <col min="17" max="17" width="12.09765625" style="1" customWidth="1"/>
    <col min="18" max="18" width="9.09765625" style="1" customWidth="1"/>
    <col min="19" max="19" width="9.69921875" style="1" customWidth="1"/>
    <col min="20" max="20" width="11" style="1" customWidth="1"/>
    <col min="21" max="21" width="9.69921875" style="1" customWidth="1"/>
    <col min="22" max="22" width="12.5" style="1" customWidth="1"/>
    <col min="23" max="23" width="12.09765625" style="1" customWidth="1"/>
    <col min="24" max="24" width="11.19921875" style="1" customWidth="1"/>
    <col min="25" max="25" width="10.5" style="1" customWidth="1"/>
    <col min="26" max="26" width="9.09765625" style="1" hidden="1" customWidth="1"/>
    <col min="27" max="27" width="10.3984375" style="1" customWidth="1"/>
    <col min="28" max="28" width="10.09765625" style="1" customWidth="1"/>
    <col min="29" max="29" width="9.3984375" style="1" customWidth="1"/>
    <col min="30" max="31" width="9.19921875" style="1" customWidth="1"/>
    <col min="32" max="32" width="11.09765625" style="1" customWidth="1"/>
    <col min="33" max="33" width="10" style="1" customWidth="1"/>
    <col min="34" max="34" width="11.5" style="1" customWidth="1"/>
    <col min="35" max="35" width="13.69921875" style="1" customWidth="1"/>
    <col min="36" max="36" width="9.59765625" style="1" customWidth="1"/>
    <col min="37" max="37" width="11.5" style="1" customWidth="1"/>
    <col min="38" max="38" width="9.59765625" style="1" customWidth="1"/>
    <col min="39" max="39" width="10.3984375" style="1" customWidth="1"/>
    <col min="40" max="40" width="10.69921875" style="1" customWidth="1"/>
    <col min="41" max="41" width="10.3984375" style="1" customWidth="1"/>
    <col min="42" max="42" width="13.59765625" style="1" customWidth="1"/>
    <col min="43" max="43" width="10" style="1" customWidth="1"/>
    <col min="44" max="45" width="10" style="1" hidden="1" customWidth="1"/>
    <col min="46" max="46" width="11" style="1" customWidth="1"/>
    <col min="47" max="47" width="12.8984375" style="1" customWidth="1"/>
    <col min="48" max="48" width="13.5" style="1" bestFit="1" customWidth="1"/>
    <col min="49" max="16384" width="9" style="1" customWidth="1"/>
  </cols>
  <sheetData>
    <row r="1" spans="1:41" ht="18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10"/>
      <c r="Q1" s="10"/>
      <c r="R1" s="10"/>
      <c r="S1" s="10"/>
      <c r="T1" s="10"/>
      <c r="U1" s="10"/>
      <c r="V1" s="10"/>
      <c r="W1" s="1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38.25" customHeight="1">
      <c r="A2" s="399" t="s">
        <v>74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8"/>
      <c r="S2" s="8"/>
      <c r="T2" s="8"/>
      <c r="U2" s="8"/>
      <c r="V2" s="8"/>
      <c r="W2" s="8"/>
      <c r="X2" s="3"/>
      <c r="Y2" s="3"/>
      <c r="Z2" s="3"/>
      <c r="AA2" s="3"/>
      <c r="AB2" s="3"/>
      <c r="AC2" s="6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23" ht="12" customHeight="1">
      <c r="B3" s="4"/>
      <c r="F3" s="42"/>
      <c r="H3" s="42"/>
      <c r="I3" s="42"/>
      <c r="N3" s="373" t="s">
        <v>19</v>
      </c>
      <c r="O3" s="373"/>
      <c r="Q3" s="67"/>
      <c r="R3" s="67"/>
      <c r="V3" s="376"/>
      <c r="W3" s="376"/>
    </row>
    <row r="4" spans="1:47" ht="15" customHeight="1">
      <c r="A4" s="377" t="s">
        <v>2</v>
      </c>
      <c r="B4" s="378" t="s">
        <v>38</v>
      </c>
      <c r="C4" s="381" t="s">
        <v>1138</v>
      </c>
      <c r="D4" s="381"/>
      <c r="E4" s="408" t="s">
        <v>1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380"/>
      <c r="AQ4" s="380"/>
      <c r="AT4" s="400" t="s">
        <v>80</v>
      </c>
      <c r="AU4" s="401"/>
    </row>
    <row r="5" spans="1:47" ht="22.5" customHeight="1">
      <c r="A5" s="377"/>
      <c r="B5" s="378"/>
      <c r="C5" s="381"/>
      <c r="D5" s="381"/>
      <c r="E5" s="383" t="s">
        <v>22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5"/>
      <c r="V5" s="415" t="s">
        <v>3</v>
      </c>
      <c r="W5" s="415"/>
      <c r="X5" s="413" t="s">
        <v>37</v>
      </c>
      <c r="Y5" s="414"/>
      <c r="Z5" s="414"/>
      <c r="AA5" s="414"/>
      <c r="AB5" s="414"/>
      <c r="AC5" s="414"/>
      <c r="AD5" s="414"/>
      <c r="AE5" s="414"/>
      <c r="AF5" s="382" t="s">
        <v>13</v>
      </c>
      <c r="AG5" s="382"/>
      <c r="AH5" s="382"/>
      <c r="AI5" s="382"/>
      <c r="AJ5" s="382"/>
      <c r="AK5" s="382"/>
      <c r="AL5" s="386" t="s">
        <v>20</v>
      </c>
      <c r="AM5" s="387"/>
      <c r="AN5" s="386" t="s">
        <v>54</v>
      </c>
      <c r="AO5" s="387"/>
      <c r="AP5" s="392" t="s">
        <v>4</v>
      </c>
      <c r="AQ5" s="392"/>
      <c r="AT5" s="402"/>
      <c r="AU5" s="403"/>
    </row>
    <row r="6" spans="1:47" ht="13.5" customHeight="1">
      <c r="A6" s="377"/>
      <c r="B6" s="378"/>
      <c r="C6" s="381"/>
      <c r="D6" s="381"/>
      <c r="E6" s="379" t="s">
        <v>5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415"/>
      <c r="W6" s="415"/>
      <c r="X6" s="410"/>
      <c r="Y6" s="411"/>
      <c r="Z6" s="411"/>
      <c r="AA6" s="411"/>
      <c r="AB6" s="411"/>
      <c r="AC6" s="411"/>
      <c r="AD6" s="411"/>
      <c r="AE6" s="412"/>
      <c r="AF6" s="375" t="s">
        <v>14</v>
      </c>
      <c r="AG6" s="375"/>
      <c r="AH6" s="375" t="s">
        <v>15</v>
      </c>
      <c r="AI6" s="375"/>
      <c r="AJ6" s="375"/>
      <c r="AK6" s="375"/>
      <c r="AL6" s="388"/>
      <c r="AM6" s="389"/>
      <c r="AN6" s="388"/>
      <c r="AO6" s="389"/>
      <c r="AP6" s="392"/>
      <c r="AQ6" s="392"/>
      <c r="AT6" s="402"/>
      <c r="AU6" s="403"/>
    </row>
    <row r="7" spans="1:47" ht="24.75" customHeight="1">
      <c r="A7" s="377"/>
      <c r="B7" s="378"/>
      <c r="C7" s="381"/>
      <c r="D7" s="381"/>
      <c r="E7" s="382" t="s">
        <v>9</v>
      </c>
      <c r="F7" s="375"/>
      <c r="G7" s="375"/>
      <c r="H7" s="375"/>
      <c r="I7" s="46"/>
      <c r="J7" s="339" t="s">
        <v>11</v>
      </c>
      <c r="K7" s="339"/>
      <c r="L7" s="370" t="s">
        <v>78</v>
      </c>
      <c r="M7" s="370"/>
      <c r="N7" s="339" t="s">
        <v>6</v>
      </c>
      <c r="O7" s="339"/>
      <c r="P7" s="339" t="s">
        <v>7</v>
      </c>
      <c r="Q7" s="339"/>
      <c r="R7" s="339" t="s">
        <v>8</v>
      </c>
      <c r="S7" s="339"/>
      <c r="T7" s="339" t="s">
        <v>21</v>
      </c>
      <c r="U7" s="339"/>
      <c r="V7" s="415"/>
      <c r="W7" s="415"/>
      <c r="X7" s="416" t="s">
        <v>23</v>
      </c>
      <c r="Y7" s="387"/>
      <c r="Z7" s="396"/>
      <c r="AA7" s="46" t="s">
        <v>68</v>
      </c>
      <c r="AB7" s="386" t="s">
        <v>24</v>
      </c>
      <c r="AC7" s="417"/>
      <c r="AD7" s="404" t="s">
        <v>12</v>
      </c>
      <c r="AE7" s="405"/>
      <c r="AF7" s="375"/>
      <c r="AG7" s="375"/>
      <c r="AH7" s="375"/>
      <c r="AI7" s="375"/>
      <c r="AJ7" s="375"/>
      <c r="AK7" s="375"/>
      <c r="AL7" s="388"/>
      <c r="AM7" s="389"/>
      <c r="AN7" s="388"/>
      <c r="AO7" s="389"/>
      <c r="AP7" s="392"/>
      <c r="AQ7" s="392"/>
      <c r="AT7" s="402"/>
      <c r="AU7" s="403"/>
    </row>
    <row r="8" spans="1:47" ht="69.75" customHeight="1">
      <c r="A8" s="377"/>
      <c r="B8" s="378"/>
      <c r="C8" s="381"/>
      <c r="D8" s="381"/>
      <c r="E8" s="331" t="s">
        <v>16</v>
      </c>
      <c r="F8" s="331"/>
      <c r="G8" s="331" t="s">
        <v>10</v>
      </c>
      <c r="H8" s="331"/>
      <c r="I8" s="44"/>
      <c r="J8" s="339"/>
      <c r="K8" s="339"/>
      <c r="L8" s="370"/>
      <c r="M8" s="370"/>
      <c r="N8" s="339"/>
      <c r="O8" s="339"/>
      <c r="P8" s="339"/>
      <c r="Q8" s="339"/>
      <c r="R8" s="339"/>
      <c r="S8" s="339"/>
      <c r="T8" s="339"/>
      <c r="U8" s="339"/>
      <c r="V8" s="415"/>
      <c r="W8" s="415"/>
      <c r="X8" s="390"/>
      <c r="Y8" s="391"/>
      <c r="Z8" s="397"/>
      <c r="AA8" s="394" t="s">
        <v>69</v>
      </c>
      <c r="AB8" s="418"/>
      <c r="AC8" s="419"/>
      <c r="AD8" s="406"/>
      <c r="AE8" s="407"/>
      <c r="AF8" s="375"/>
      <c r="AG8" s="375"/>
      <c r="AH8" s="375" t="s">
        <v>17</v>
      </c>
      <c r="AI8" s="375"/>
      <c r="AJ8" s="393" t="s">
        <v>18</v>
      </c>
      <c r="AK8" s="393"/>
      <c r="AL8" s="390"/>
      <c r="AM8" s="391"/>
      <c r="AN8" s="390"/>
      <c r="AO8" s="391"/>
      <c r="AP8" s="392"/>
      <c r="AQ8" s="392"/>
      <c r="AT8" s="402"/>
      <c r="AU8" s="403"/>
    </row>
    <row r="9" spans="1:47" ht="27" customHeight="1">
      <c r="A9" s="377"/>
      <c r="B9" s="378"/>
      <c r="C9" s="17" t="s">
        <v>79</v>
      </c>
      <c r="D9" s="11" t="s">
        <v>75</v>
      </c>
      <c r="E9" s="17" t="s">
        <v>79</v>
      </c>
      <c r="F9" s="11" t="s">
        <v>75</v>
      </c>
      <c r="G9" s="17" t="s">
        <v>79</v>
      </c>
      <c r="H9" s="11" t="s">
        <v>75</v>
      </c>
      <c r="I9" s="11"/>
      <c r="J9" s="17" t="s">
        <v>79</v>
      </c>
      <c r="K9" s="11" t="s">
        <v>75</v>
      </c>
      <c r="L9" s="17" t="s">
        <v>79</v>
      </c>
      <c r="M9" s="11" t="s">
        <v>75</v>
      </c>
      <c r="N9" s="17" t="s">
        <v>79</v>
      </c>
      <c r="O9" s="11" t="s">
        <v>75</v>
      </c>
      <c r="P9" s="17" t="s">
        <v>79</v>
      </c>
      <c r="Q9" s="11" t="s">
        <v>75</v>
      </c>
      <c r="R9" s="17" t="s">
        <v>79</v>
      </c>
      <c r="S9" s="11" t="s">
        <v>75</v>
      </c>
      <c r="T9" s="17" t="s">
        <v>79</v>
      </c>
      <c r="U9" s="11" t="s">
        <v>75</v>
      </c>
      <c r="V9" s="17" t="s">
        <v>79</v>
      </c>
      <c r="W9" s="11" t="s">
        <v>75</v>
      </c>
      <c r="X9" s="17" t="s">
        <v>79</v>
      </c>
      <c r="Y9" s="11" t="s">
        <v>75</v>
      </c>
      <c r="Z9" s="398"/>
      <c r="AA9" s="395"/>
      <c r="AB9" s="17" t="s">
        <v>79</v>
      </c>
      <c r="AC9" s="11" t="s">
        <v>75</v>
      </c>
      <c r="AD9" s="17" t="s">
        <v>79</v>
      </c>
      <c r="AE9" s="11" t="s">
        <v>75</v>
      </c>
      <c r="AF9" s="17" t="s">
        <v>79</v>
      </c>
      <c r="AG9" s="11" t="s">
        <v>75</v>
      </c>
      <c r="AH9" s="17" t="s">
        <v>79</v>
      </c>
      <c r="AI9" s="11" t="s">
        <v>75</v>
      </c>
      <c r="AJ9" s="17" t="s">
        <v>79</v>
      </c>
      <c r="AK9" s="11" t="s">
        <v>75</v>
      </c>
      <c r="AL9" s="17" t="s">
        <v>79</v>
      </c>
      <c r="AM9" s="11" t="s">
        <v>75</v>
      </c>
      <c r="AN9" s="17" t="s">
        <v>79</v>
      </c>
      <c r="AO9" s="11" t="s">
        <v>75</v>
      </c>
      <c r="AP9" s="17" t="s">
        <v>79</v>
      </c>
      <c r="AQ9" s="11" t="s">
        <v>75</v>
      </c>
      <c r="AR9" s="42"/>
      <c r="AT9" s="17" t="s">
        <v>79</v>
      </c>
      <c r="AU9" s="11" t="s">
        <v>75</v>
      </c>
    </row>
    <row r="10" spans="1:47" ht="15.75" customHeight="1">
      <c r="A10" s="5"/>
      <c r="B10" s="5">
        <v>1</v>
      </c>
      <c r="C10" s="5">
        <v>2</v>
      </c>
      <c r="D10" s="5">
        <v>3</v>
      </c>
      <c r="E10" s="5">
        <v>6</v>
      </c>
      <c r="F10" s="5">
        <v>7</v>
      </c>
      <c r="G10" s="5">
        <v>8</v>
      </c>
      <c r="H10" s="5">
        <v>9</v>
      </c>
      <c r="I10" s="5"/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/>
      <c r="AA10" s="5">
        <v>26</v>
      </c>
      <c r="AB10" s="5">
        <v>27</v>
      </c>
      <c r="AC10" s="5">
        <v>28</v>
      </c>
      <c r="AD10" s="5">
        <v>29</v>
      </c>
      <c r="AE10" s="5">
        <v>30</v>
      </c>
      <c r="AF10" s="5">
        <v>31</v>
      </c>
      <c r="AG10" s="5">
        <v>32</v>
      </c>
      <c r="AH10" s="5">
        <v>33</v>
      </c>
      <c r="AI10" s="5">
        <v>34</v>
      </c>
      <c r="AJ10" s="5">
        <v>35</v>
      </c>
      <c r="AK10" s="5">
        <v>36</v>
      </c>
      <c r="AL10" s="5">
        <v>37</v>
      </c>
      <c r="AM10" s="5">
        <v>38</v>
      </c>
      <c r="AN10" s="5">
        <v>39</v>
      </c>
      <c r="AO10" s="5">
        <v>40</v>
      </c>
      <c r="AP10" s="5">
        <v>41</v>
      </c>
      <c r="AQ10" s="5">
        <v>42</v>
      </c>
      <c r="AR10" s="5">
        <v>43</v>
      </c>
      <c r="AS10" s="5">
        <v>44</v>
      </c>
      <c r="AT10" s="5">
        <v>43</v>
      </c>
      <c r="AU10" s="5">
        <v>44</v>
      </c>
    </row>
    <row r="11" spans="1:48" ht="24.75" customHeight="1">
      <c r="A11" s="5">
        <v>1</v>
      </c>
      <c r="B11" s="50" t="s">
        <v>39</v>
      </c>
      <c r="C11" s="12">
        <v>54215775.699999996</v>
      </c>
      <c r="D11" s="40">
        <v>47890065.2</v>
      </c>
      <c r="E11" s="12">
        <v>3123155.8</v>
      </c>
      <c r="F11" s="12">
        <v>2847795.4</v>
      </c>
      <c r="G11" s="12">
        <v>524920.6</v>
      </c>
      <c r="H11" s="12">
        <v>443429.6</v>
      </c>
      <c r="I11" s="12">
        <f>F11+H11</f>
        <v>3291225</v>
      </c>
      <c r="J11" s="12">
        <v>24361938.9</v>
      </c>
      <c r="K11" s="12">
        <v>23989104.6</v>
      </c>
      <c r="L11" s="65">
        <v>0</v>
      </c>
      <c r="M11" s="65">
        <v>0</v>
      </c>
      <c r="N11" s="12">
        <v>8542941.9</v>
      </c>
      <c r="O11" s="12">
        <v>8314517.9</v>
      </c>
      <c r="P11" s="12">
        <v>1866310.8</v>
      </c>
      <c r="Q11" s="12">
        <v>1822464.9</v>
      </c>
      <c r="R11" s="12">
        <v>162374.1</v>
      </c>
      <c r="S11" s="12">
        <v>104311.8</v>
      </c>
      <c r="T11" s="12">
        <v>11979457.5</v>
      </c>
      <c r="U11" s="12">
        <v>7269674.5</v>
      </c>
      <c r="V11" s="12">
        <v>50561099.6</v>
      </c>
      <c r="W11" s="12">
        <v>44791298.8</v>
      </c>
      <c r="X11" s="12">
        <v>20163869.9</v>
      </c>
      <c r="Y11" s="12">
        <v>15488686.8</v>
      </c>
      <c r="Z11" s="40">
        <v>1339455.3</v>
      </c>
      <c r="AA11" s="40">
        <f>Y11-Z11</f>
        <v>14149231.5</v>
      </c>
      <c r="AB11" s="12">
        <v>26000</v>
      </c>
      <c r="AC11" s="12">
        <v>14986.7</v>
      </c>
      <c r="AD11" s="12"/>
      <c r="AE11" s="12"/>
      <c r="AF11" s="40">
        <v>-7759383.2</v>
      </c>
      <c r="AG11" s="40">
        <v>-5466191.7</v>
      </c>
      <c r="AH11" s="12">
        <v>-7000000</v>
      </c>
      <c r="AI11" s="12">
        <v>-6068574.7</v>
      </c>
      <c r="AJ11" s="12"/>
      <c r="AK11" s="12"/>
      <c r="AL11" s="12">
        <v>643178</v>
      </c>
      <c r="AM11" s="12">
        <v>129859.4</v>
      </c>
      <c r="AN11" s="12"/>
      <c r="AO11" s="12"/>
      <c r="AP11" s="12">
        <v>6073664.699999999</v>
      </c>
      <c r="AQ11" s="12">
        <v>4098766.4999999995</v>
      </c>
      <c r="AR11" s="40">
        <f aca="true" t="shared" si="0" ref="AR11:AS13">AF11+AH11</f>
        <v>-14759383.2</v>
      </c>
      <c r="AS11" s="40">
        <f t="shared" si="0"/>
        <v>-11534766.4</v>
      </c>
      <c r="AT11" s="40">
        <f aca="true" t="shared" si="1" ref="AT11:AU22">AP11-AR11</f>
        <v>20833047.9</v>
      </c>
      <c r="AU11" s="12">
        <f t="shared" si="1"/>
        <v>15633532.9</v>
      </c>
      <c r="AV11" s="42"/>
    </row>
    <row r="12" spans="1:47" ht="24.75" customHeight="1">
      <c r="A12" s="9">
        <v>2</v>
      </c>
      <c r="B12" s="50" t="s">
        <v>27</v>
      </c>
      <c r="C12" s="12">
        <v>2808508.3077</v>
      </c>
      <c r="D12" s="40">
        <v>2221055.918999999</v>
      </c>
      <c r="E12" s="12">
        <v>1111882.5570000005</v>
      </c>
      <c r="F12" s="12">
        <v>1055835.7237</v>
      </c>
      <c r="G12" s="12">
        <v>270228.267</v>
      </c>
      <c r="H12" s="12">
        <v>246729.866</v>
      </c>
      <c r="I12" s="12">
        <f aca="true" t="shared" si="2" ref="I12:I21">F12+H12</f>
        <v>1302565.5897</v>
      </c>
      <c r="J12" s="12">
        <v>724093.8721000002</v>
      </c>
      <c r="K12" s="12">
        <v>549641.4430000001</v>
      </c>
      <c r="L12" s="65">
        <v>0</v>
      </c>
      <c r="M12" s="65">
        <v>0</v>
      </c>
      <c r="N12" s="12">
        <v>500</v>
      </c>
      <c r="O12" s="12">
        <v>200</v>
      </c>
      <c r="P12" s="14">
        <v>58876.4903</v>
      </c>
      <c r="Q12" s="14">
        <v>43608.012</v>
      </c>
      <c r="R12" s="14">
        <v>102185.15000000001</v>
      </c>
      <c r="S12" s="14">
        <v>89716.69399999999</v>
      </c>
      <c r="T12" s="14">
        <v>26243.760099999996</v>
      </c>
      <c r="U12" s="14">
        <v>9763.587000000001</v>
      </c>
      <c r="V12" s="14">
        <v>2294010.096500001</v>
      </c>
      <c r="W12" s="14">
        <v>1995495.3257</v>
      </c>
      <c r="X12" s="14">
        <v>943905.4811999997</v>
      </c>
      <c r="Y12" s="14">
        <v>430922.1873000001</v>
      </c>
      <c r="Z12" s="58"/>
      <c r="AA12" s="40">
        <f aca="true" t="shared" si="3" ref="AA12:AA21">Y12-Z12</f>
        <v>430922.1873000001</v>
      </c>
      <c r="AB12" s="14">
        <v>1319.4</v>
      </c>
      <c r="AC12" s="14">
        <v>1319.4</v>
      </c>
      <c r="AD12" s="14">
        <v>17000.010000000002</v>
      </c>
      <c r="AE12" s="14">
        <v>14000</v>
      </c>
      <c r="AF12" s="12">
        <v>-103955.6</v>
      </c>
      <c r="AG12" s="12">
        <v>-6415.097</v>
      </c>
      <c r="AH12" s="12">
        <v>-343771.08</v>
      </c>
      <c r="AI12" s="12">
        <v>-214265.89700000003</v>
      </c>
      <c r="AJ12" s="12"/>
      <c r="AK12" s="12"/>
      <c r="AL12" s="12">
        <v>211225.29609999998</v>
      </c>
      <c r="AM12" s="12">
        <v>210785.33909999995</v>
      </c>
      <c r="AN12" s="12"/>
      <c r="AO12" s="12"/>
      <c r="AP12" s="12">
        <v>725723.5072999997</v>
      </c>
      <c r="AQ12" s="12">
        <v>436345.93240000005</v>
      </c>
      <c r="AR12" s="12">
        <f t="shared" si="0"/>
        <v>-447726.68000000005</v>
      </c>
      <c r="AS12" s="12">
        <f t="shared" si="0"/>
        <v>-220680.99400000004</v>
      </c>
      <c r="AT12" s="40">
        <f t="shared" si="1"/>
        <v>1173450.1872999999</v>
      </c>
      <c r="AU12" s="12">
        <f t="shared" si="1"/>
        <v>657026.9264000001</v>
      </c>
    </row>
    <row r="13" spans="1:47" ht="24.75" customHeight="1">
      <c r="A13" s="5">
        <v>3</v>
      </c>
      <c r="B13" s="50" t="s">
        <v>28</v>
      </c>
      <c r="C13" s="12">
        <v>5183025.840300001</v>
      </c>
      <c r="D13" s="40">
        <v>4353448.507600001</v>
      </c>
      <c r="E13" s="12">
        <v>1291610.747</v>
      </c>
      <c r="F13" s="12">
        <v>1222017.205</v>
      </c>
      <c r="G13" s="12">
        <v>272628.15</v>
      </c>
      <c r="H13" s="12">
        <v>255239.36800000005</v>
      </c>
      <c r="I13" s="12">
        <f t="shared" si="2"/>
        <v>1477256.573</v>
      </c>
      <c r="J13" s="12">
        <v>1380823.8802000002</v>
      </c>
      <c r="K13" s="12">
        <v>1189354.9070000001</v>
      </c>
      <c r="L13" s="65">
        <v>0</v>
      </c>
      <c r="M13" s="65">
        <v>0</v>
      </c>
      <c r="N13" s="12">
        <v>224953.5</v>
      </c>
      <c r="O13" s="12">
        <v>219315.3</v>
      </c>
      <c r="P13" s="14">
        <v>388002.6771000001</v>
      </c>
      <c r="Q13" s="14">
        <v>368729.8710000001</v>
      </c>
      <c r="R13" s="14">
        <v>328501</v>
      </c>
      <c r="S13" s="14">
        <v>311871.19</v>
      </c>
      <c r="T13" s="14">
        <v>107428.64300000001</v>
      </c>
      <c r="U13" s="14">
        <v>47590.925</v>
      </c>
      <c r="V13" s="14">
        <v>3993948.5973000005</v>
      </c>
      <c r="W13" s="14">
        <v>3614118.7660000008</v>
      </c>
      <c r="X13" s="14">
        <v>1547620.4589999998</v>
      </c>
      <c r="Y13" s="14">
        <v>1106740.2330000005</v>
      </c>
      <c r="Z13" s="58">
        <v>15000</v>
      </c>
      <c r="AA13" s="40">
        <f t="shared" si="3"/>
        <v>1091740.2330000005</v>
      </c>
      <c r="AB13" s="14">
        <v>0</v>
      </c>
      <c r="AC13" s="14">
        <v>0</v>
      </c>
      <c r="AD13" s="14">
        <v>2000</v>
      </c>
      <c r="AE13" s="14">
        <v>0</v>
      </c>
      <c r="AF13" s="12">
        <v>-43171.4</v>
      </c>
      <c r="AG13" s="12">
        <v>-12884.264</v>
      </c>
      <c r="AH13" s="12">
        <v>-325609.486</v>
      </c>
      <c r="AI13" s="12">
        <v>-354526.2274</v>
      </c>
      <c r="AJ13" s="12">
        <v>0</v>
      </c>
      <c r="AK13" s="12">
        <v>0</v>
      </c>
      <c r="AL13" s="12">
        <v>8237.67</v>
      </c>
      <c r="AM13" s="12">
        <v>0</v>
      </c>
      <c r="AN13" s="12">
        <v>304098.98999999993</v>
      </c>
      <c r="AO13" s="12">
        <v>200142.1881</v>
      </c>
      <c r="AP13" s="12">
        <v>1493176.233</v>
      </c>
      <c r="AQ13" s="12">
        <v>939471.9297000001</v>
      </c>
      <c r="AR13" s="12">
        <f t="shared" si="0"/>
        <v>-368780.886</v>
      </c>
      <c r="AS13" s="12">
        <f t="shared" si="0"/>
        <v>-367410.4914</v>
      </c>
      <c r="AT13" s="40">
        <f t="shared" si="1"/>
        <v>1861957.119</v>
      </c>
      <c r="AU13" s="12">
        <f t="shared" si="1"/>
        <v>1306882.4211000002</v>
      </c>
    </row>
    <row r="14" spans="1:47" ht="24.75" customHeight="1">
      <c r="A14" s="9">
        <v>4</v>
      </c>
      <c r="B14" s="50" t="s">
        <v>29</v>
      </c>
      <c r="C14" s="12">
        <v>5503276.6000000015</v>
      </c>
      <c r="D14" s="40">
        <v>4841044.800000001</v>
      </c>
      <c r="E14" s="12">
        <v>2011155.4</v>
      </c>
      <c r="F14" s="12">
        <v>1935768.3</v>
      </c>
      <c r="G14" s="12">
        <v>448923.60000000003</v>
      </c>
      <c r="H14" s="12">
        <v>408996.99999999994</v>
      </c>
      <c r="I14" s="12">
        <f t="shared" si="2"/>
        <v>2344765.3</v>
      </c>
      <c r="J14" s="12">
        <v>1601519.3000000007</v>
      </c>
      <c r="K14" s="12">
        <v>1401310.9000000001</v>
      </c>
      <c r="L14" s="65">
        <v>0</v>
      </c>
      <c r="M14" s="65">
        <v>0</v>
      </c>
      <c r="N14" s="12">
        <v>272213.5</v>
      </c>
      <c r="O14" s="12">
        <v>241406.50000000003</v>
      </c>
      <c r="P14" s="14">
        <v>157000.6</v>
      </c>
      <c r="Q14" s="14">
        <v>135763.5</v>
      </c>
      <c r="R14" s="14">
        <v>272396.3</v>
      </c>
      <c r="S14" s="14">
        <v>269378.79999999993</v>
      </c>
      <c r="T14" s="14">
        <v>84500.30000000002</v>
      </c>
      <c r="U14" s="14">
        <v>31486.6</v>
      </c>
      <c r="V14" s="14">
        <v>4847708.999999999</v>
      </c>
      <c r="W14" s="14">
        <v>4424111.6</v>
      </c>
      <c r="X14" s="14">
        <v>1074612.9000000004</v>
      </c>
      <c r="Y14" s="14">
        <v>678681.1000000001</v>
      </c>
      <c r="Z14" s="58"/>
      <c r="AA14" s="40">
        <f t="shared" si="3"/>
        <v>678681.1000000001</v>
      </c>
      <c r="AB14" s="14">
        <v>9667</v>
      </c>
      <c r="AC14" s="14">
        <v>9666.3</v>
      </c>
      <c r="AD14" s="14">
        <v>4922.8</v>
      </c>
      <c r="AE14" s="14">
        <v>4343</v>
      </c>
      <c r="AF14" s="12">
        <v>-29111.100000000002</v>
      </c>
      <c r="AG14" s="12">
        <v>-21605.600000000002</v>
      </c>
      <c r="AH14" s="12">
        <v>-409273.99999999994</v>
      </c>
      <c r="AI14" s="12">
        <v>-254417.99999999997</v>
      </c>
      <c r="AJ14" s="12">
        <v>0</v>
      </c>
      <c r="AK14" s="12">
        <v>0</v>
      </c>
      <c r="AL14" s="12">
        <v>159197.80000000002</v>
      </c>
      <c r="AM14" s="12">
        <v>107687.59999999998</v>
      </c>
      <c r="AN14" s="12">
        <v>4750</v>
      </c>
      <c r="AO14" s="12">
        <v>266.4</v>
      </c>
      <c r="AP14" s="12">
        <v>655567.6</v>
      </c>
      <c r="AQ14" s="12">
        <v>416933.19999999995</v>
      </c>
      <c r="AR14" s="12">
        <f aca="true" t="shared" si="4" ref="AR14:AR21">AF14+AH14</f>
        <v>-438385.0999999999</v>
      </c>
      <c r="AS14" s="12">
        <f aca="true" t="shared" si="5" ref="AS14:AS21">AG14+AI14</f>
        <v>-276023.6</v>
      </c>
      <c r="AT14" s="40">
        <f t="shared" si="1"/>
        <v>1093952.7</v>
      </c>
      <c r="AU14" s="12">
        <f t="shared" si="1"/>
        <v>692956.7999999999</v>
      </c>
    </row>
    <row r="15" spans="1:47" ht="24.75" customHeight="1">
      <c r="A15" s="5">
        <v>5</v>
      </c>
      <c r="B15" s="50" t="s">
        <v>30</v>
      </c>
      <c r="C15" s="12">
        <v>4449278.0441999985</v>
      </c>
      <c r="D15" s="40">
        <v>3705691.035999999</v>
      </c>
      <c r="E15" s="12">
        <v>1500051.376</v>
      </c>
      <c r="F15" s="12">
        <v>1439518.0999999999</v>
      </c>
      <c r="G15" s="12">
        <v>310740.624</v>
      </c>
      <c r="H15" s="12">
        <v>288211.88999999984</v>
      </c>
      <c r="I15" s="12">
        <f t="shared" si="2"/>
        <v>1727729.9899999998</v>
      </c>
      <c r="J15" s="12">
        <v>1300645.9004000002</v>
      </c>
      <c r="K15" s="12">
        <v>1002274.3200000002</v>
      </c>
      <c r="L15" s="65">
        <v>0</v>
      </c>
      <c r="M15" s="65">
        <v>0</v>
      </c>
      <c r="N15" s="12">
        <v>189020.6</v>
      </c>
      <c r="O15" s="12">
        <v>181229.8</v>
      </c>
      <c r="P15" s="14">
        <v>84357.9001</v>
      </c>
      <c r="Q15" s="14">
        <v>68666.252</v>
      </c>
      <c r="R15" s="14">
        <v>156226.3</v>
      </c>
      <c r="S15" s="14">
        <v>150080</v>
      </c>
      <c r="T15" s="14">
        <v>84530.338</v>
      </c>
      <c r="U15" s="14">
        <v>21384.8</v>
      </c>
      <c r="V15" s="14">
        <v>3625573.0385000007</v>
      </c>
      <c r="W15" s="14">
        <v>3151365.161999999</v>
      </c>
      <c r="X15" s="14">
        <v>1080591.9058</v>
      </c>
      <c r="Y15" s="14">
        <v>769844.7999999998</v>
      </c>
      <c r="Z15" s="58"/>
      <c r="AA15" s="40">
        <f t="shared" si="3"/>
        <v>769844.7999999998</v>
      </c>
      <c r="AB15" s="14">
        <v>0</v>
      </c>
      <c r="AC15" s="14">
        <v>0</v>
      </c>
      <c r="AD15" s="14">
        <v>0</v>
      </c>
      <c r="AE15" s="14">
        <v>0</v>
      </c>
      <c r="AF15" s="14">
        <v>-44440</v>
      </c>
      <c r="AG15" s="14">
        <v>-33077.5</v>
      </c>
      <c r="AH15" s="12">
        <v>-212446.9001</v>
      </c>
      <c r="AI15" s="12">
        <v>-182441.42599999998</v>
      </c>
      <c r="AJ15" s="12">
        <v>0</v>
      </c>
      <c r="AK15" s="12">
        <v>0</v>
      </c>
      <c r="AL15" s="12">
        <v>314314.89999999997</v>
      </c>
      <c r="AM15" s="12">
        <v>404967.262</v>
      </c>
      <c r="AN15" s="12">
        <v>0</v>
      </c>
      <c r="AO15" s="12">
        <v>0</v>
      </c>
      <c r="AP15" s="12">
        <v>823705.0057000001</v>
      </c>
      <c r="AQ15" s="12">
        <v>554325.8740000001</v>
      </c>
      <c r="AR15" s="12">
        <f t="shared" si="4"/>
        <v>-256886.9001</v>
      </c>
      <c r="AS15" s="12">
        <f t="shared" si="5"/>
        <v>-215518.92599999998</v>
      </c>
      <c r="AT15" s="40">
        <f t="shared" si="1"/>
        <v>1080591.9058</v>
      </c>
      <c r="AU15" s="12">
        <f t="shared" si="1"/>
        <v>769844.8</v>
      </c>
    </row>
    <row r="16" spans="1:47" ht="24.75" customHeight="1">
      <c r="A16" s="9">
        <v>6</v>
      </c>
      <c r="B16" s="50" t="s">
        <v>31</v>
      </c>
      <c r="C16" s="12">
        <v>5291274.984499998</v>
      </c>
      <c r="D16" s="40">
        <v>4553234.449899999</v>
      </c>
      <c r="E16" s="12">
        <v>1334485.8651999997</v>
      </c>
      <c r="F16" s="12">
        <v>1275727.1069000005</v>
      </c>
      <c r="G16" s="12">
        <v>286102.28179999994</v>
      </c>
      <c r="H16" s="12">
        <v>264194.39499999996</v>
      </c>
      <c r="I16" s="12">
        <f t="shared" si="2"/>
        <v>1539921.5019000005</v>
      </c>
      <c r="J16" s="12">
        <v>1344130.3650999996</v>
      </c>
      <c r="K16" s="12">
        <v>1210945.0080000004</v>
      </c>
      <c r="L16" s="65">
        <v>0</v>
      </c>
      <c r="M16" s="65">
        <v>0</v>
      </c>
      <c r="N16" s="12">
        <v>823336.1652</v>
      </c>
      <c r="O16" s="12">
        <v>816364.0160000001</v>
      </c>
      <c r="P16" s="14">
        <v>341950.80130000005</v>
      </c>
      <c r="Q16" s="14">
        <v>324969.15100000007</v>
      </c>
      <c r="R16" s="14">
        <v>250722.30030000003</v>
      </c>
      <c r="S16" s="14">
        <v>221212.65000000002</v>
      </c>
      <c r="T16" s="14">
        <v>410800.1953999999</v>
      </c>
      <c r="U16" s="14">
        <v>237094.19199999998</v>
      </c>
      <c r="V16" s="14">
        <v>4791527.9743</v>
      </c>
      <c r="W16" s="14">
        <v>4350506.518900001</v>
      </c>
      <c r="X16" s="14">
        <v>1555860.5898999998</v>
      </c>
      <c r="Y16" s="14">
        <v>1181291.181</v>
      </c>
      <c r="Z16" s="58">
        <v>28143.5</v>
      </c>
      <c r="AA16" s="40">
        <f t="shared" si="3"/>
        <v>1153147.681</v>
      </c>
      <c r="AB16" s="14">
        <v>10333.4</v>
      </c>
      <c r="AC16" s="14">
        <v>2482.2</v>
      </c>
      <c r="AD16" s="14">
        <v>1500</v>
      </c>
      <c r="AE16" s="14">
        <v>1500</v>
      </c>
      <c r="AF16" s="12">
        <v>-365459.3621</v>
      </c>
      <c r="AG16" s="12">
        <v>-402356.9320000001</v>
      </c>
      <c r="AH16" s="12">
        <v>-442400.79250000004</v>
      </c>
      <c r="AI16" s="12">
        <v>-361451.20300000004</v>
      </c>
      <c r="AJ16" s="12">
        <v>0</v>
      </c>
      <c r="AK16" s="12">
        <v>0</v>
      </c>
      <c r="AL16" s="12">
        <v>260086.8250999999</v>
      </c>
      <c r="AM16" s="12">
        <v>218737.31500000003</v>
      </c>
      <c r="AN16" s="12">
        <v>0</v>
      </c>
      <c r="AO16" s="12">
        <v>0</v>
      </c>
      <c r="AP16" s="12">
        <v>759833.8352999999</v>
      </c>
      <c r="AQ16" s="12">
        <v>421465.24600000004</v>
      </c>
      <c r="AR16" s="12">
        <f t="shared" si="4"/>
        <v>-807860.1546</v>
      </c>
      <c r="AS16" s="12">
        <f t="shared" si="5"/>
        <v>-763808.1350000001</v>
      </c>
      <c r="AT16" s="40">
        <f t="shared" si="1"/>
        <v>1567693.9899</v>
      </c>
      <c r="AU16" s="12">
        <f t="shared" si="1"/>
        <v>1185273.381</v>
      </c>
    </row>
    <row r="17" spans="1:47" ht="24.75" customHeight="1">
      <c r="A17" s="5">
        <v>7</v>
      </c>
      <c r="B17" s="50" t="s">
        <v>32</v>
      </c>
      <c r="C17" s="12">
        <v>5396592.600000002</v>
      </c>
      <c r="D17" s="40">
        <v>4587184.800000001</v>
      </c>
      <c r="E17" s="12">
        <v>1344701.6</v>
      </c>
      <c r="F17" s="12">
        <v>1293984.1000000003</v>
      </c>
      <c r="G17" s="12">
        <v>273512.49999999994</v>
      </c>
      <c r="H17" s="12">
        <v>255895.80000000005</v>
      </c>
      <c r="I17" s="12">
        <f t="shared" si="2"/>
        <v>1549879.9000000004</v>
      </c>
      <c r="J17" s="12">
        <v>905894.3</v>
      </c>
      <c r="K17" s="12">
        <v>753078.1999999997</v>
      </c>
      <c r="L17" s="65">
        <v>0</v>
      </c>
      <c r="M17" s="65">
        <v>0</v>
      </c>
      <c r="N17" s="12">
        <v>1325916.9</v>
      </c>
      <c r="O17" s="12">
        <v>1304095.4000000001</v>
      </c>
      <c r="P17" s="12">
        <v>245673.2</v>
      </c>
      <c r="Q17" s="12">
        <v>235627.4</v>
      </c>
      <c r="R17" s="12">
        <v>262263.6</v>
      </c>
      <c r="S17" s="12">
        <v>249294.9</v>
      </c>
      <c r="T17" s="12">
        <v>172503</v>
      </c>
      <c r="U17" s="12">
        <v>62618.19999999999</v>
      </c>
      <c r="V17" s="12">
        <v>4544173.6</v>
      </c>
      <c r="W17" s="12">
        <v>4154593.999999999</v>
      </c>
      <c r="X17" s="12">
        <v>2705235.2</v>
      </c>
      <c r="Y17" s="12">
        <v>2249372</v>
      </c>
      <c r="Z17" s="40"/>
      <c r="AA17" s="40">
        <f t="shared" si="3"/>
        <v>2249372</v>
      </c>
      <c r="AB17" s="12">
        <v>1380</v>
      </c>
      <c r="AC17" s="12">
        <v>1280</v>
      </c>
      <c r="AD17" s="12">
        <v>0</v>
      </c>
      <c r="AE17" s="12">
        <v>0</v>
      </c>
      <c r="AF17" s="12">
        <v>-166783.80000000002</v>
      </c>
      <c r="AG17" s="12">
        <v>-210180.80000000002</v>
      </c>
      <c r="AH17" s="12">
        <v>-1690194.6000000003</v>
      </c>
      <c r="AI17" s="12">
        <v>-1607880.4</v>
      </c>
      <c r="AJ17" s="12">
        <v>1165.6</v>
      </c>
      <c r="AK17" s="12">
        <v>0</v>
      </c>
      <c r="AL17" s="12">
        <v>110498</v>
      </c>
      <c r="AM17" s="12">
        <v>130107.1</v>
      </c>
      <c r="AN17" s="12">
        <v>13708</v>
      </c>
      <c r="AO17" s="12">
        <v>0</v>
      </c>
      <c r="AP17" s="12">
        <v>852419.3000000004</v>
      </c>
      <c r="AQ17" s="12">
        <v>432590.8000000001</v>
      </c>
      <c r="AR17" s="12">
        <f t="shared" si="4"/>
        <v>-1856978.4000000004</v>
      </c>
      <c r="AS17" s="12">
        <f t="shared" si="5"/>
        <v>-1818061.2</v>
      </c>
      <c r="AT17" s="40">
        <f t="shared" si="1"/>
        <v>2709397.7000000007</v>
      </c>
      <c r="AU17" s="12">
        <f t="shared" si="1"/>
        <v>2250652</v>
      </c>
    </row>
    <row r="18" spans="1:47" ht="24.75" customHeight="1">
      <c r="A18" s="9">
        <v>8</v>
      </c>
      <c r="B18" s="50" t="s">
        <v>33</v>
      </c>
      <c r="C18" s="13">
        <v>5600611.776400003</v>
      </c>
      <c r="D18" s="40">
        <v>4845972.138999996</v>
      </c>
      <c r="E18" s="13">
        <v>1497960.8731000002</v>
      </c>
      <c r="F18" s="12">
        <v>1435187.3339999996</v>
      </c>
      <c r="G18" s="12">
        <v>388725.4001</v>
      </c>
      <c r="H18" s="12">
        <v>339965.7850000001</v>
      </c>
      <c r="I18" s="12">
        <f t="shared" si="2"/>
        <v>1775153.1189999997</v>
      </c>
      <c r="J18" s="12">
        <v>1379017.5274000005</v>
      </c>
      <c r="K18" s="12">
        <v>1219856.6849999996</v>
      </c>
      <c r="L18" s="65">
        <v>0</v>
      </c>
      <c r="M18" s="65">
        <v>0</v>
      </c>
      <c r="N18" s="12">
        <v>1201964.0599999998</v>
      </c>
      <c r="O18" s="12">
        <v>1181271.0650000002</v>
      </c>
      <c r="P18" s="12">
        <v>38564.5</v>
      </c>
      <c r="Q18" s="12">
        <v>28713.6</v>
      </c>
      <c r="R18" s="12">
        <v>215571.39999999994</v>
      </c>
      <c r="S18" s="12">
        <v>196529.09499999994</v>
      </c>
      <c r="T18" s="12">
        <v>115126.5</v>
      </c>
      <c r="U18" s="12">
        <v>51555.700000000004</v>
      </c>
      <c r="V18" s="12">
        <v>4836930.260600002</v>
      </c>
      <c r="W18" s="12">
        <v>4453079.264000001</v>
      </c>
      <c r="X18" s="12">
        <v>1498309.3158</v>
      </c>
      <c r="Y18" s="12">
        <v>759635.4749999999</v>
      </c>
      <c r="Z18" s="40"/>
      <c r="AA18" s="40">
        <f t="shared" si="3"/>
        <v>759635.4749999999</v>
      </c>
      <c r="AB18" s="12">
        <v>350</v>
      </c>
      <c r="AC18" s="12">
        <v>350</v>
      </c>
      <c r="AD18" s="15">
        <v>0</v>
      </c>
      <c r="AE18" s="15">
        <v>0</v>
      </c>
      <c r="AF18" s="12">
        <v>-143077.3</v>
      </c>
      <c r="AG18" s="12">
        <v>-80070.2</v>
      </c>
      <c r="AH18" s="12">
        <v>-591900.4999999999</v>
      </c>
      <c r="AI18" s="12">
        <v>-287022.3999999999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2">
        <v>763681.5158000003</v>
      </c>
      <c r="AQ18" s="12">
        <v>392892.8750000001</v>
      </c>
      <c r="AR18" s="12">
        <f t="shared" si="4"/>
        <v>-734977.7999999998</v>
      </c>
      <c r="AS18" s="12">
        <f t="shared" si="5"/>
        <v>-367092.5999999999</v>
      </c>
      <c r="AT18" s="40">
        <f t="shared" si="1"/>
        <v>1498659.3158</v>
      </c>
      <c r="AU18" s="12">
        <f t="shared" si="1"/>
        <v>759985.4750000001</v>
      </c>
    </row>
    <row r="19" spans="1:47" ht="24.75" customHeight="1">
      <c r="A19" s="5">
        <v>9</v>
      </c>
      <c r="B19" s="50" t="s">
        <v>34</v>
      </c>
      <c r="C19" s="13">
        <v>3269447.499999999</v>
      </c>
      <c r="D19" s="48">
        <v>2902806.6401</v>
      </c>
      <c r="E19" s="12">
        <v>977547.4999999995</v>
      </c>
      <c r="F19" s="12">
        <v>949876.9999999999</v>
      </c>
      <c r="G19" s="12">
        <v>228101.09999999998</v>
      </c>
      <c r="H19" s="12">
        <v>217588.9999999999</v>
      </c>
      <c r="I19" s="12">
        <f t="shared" si="2"/>
        <v>1167465.9999999998</v>
      </c>
      <c r="J19" s="12">
        <v>596087.3000000002</v>
      </c>
      <c r="K19" s="12">
        <v>549801.2999999998</v>
      </c>
      <c r="L19" s="65">
        <v>0</v>
      </c>
      <c r="M19" s="65">
        <v>0</v>
      </c>
      <c r="N19" s="12">
        <v>800054.5</v>
      </c>
      <c r="O19" s="12">
        <v>776007.4000000001</v>
      </c>
      <c r="P19" s="12">
        <v>108211</v>
      </c>
      <c r="Q19" s="12">
        <v>107648.9</v>
      </c>
      <c r="R19" s="12">
        <v>47467.5</v>
      </c>
      <c r="S19" s="12">
        <v>48024.3</v>
      </c>
      <c r="T19" s="12">
        <v>232533.30000000002</v>
      </c>
      <c r="U19" s="12">
        <v>88284.6</v>
      </c>
      <c r="V19" s="12">
        <v>2990002.1999999997</v>
      </c>
      <c r="W19" s="12">
        <v>2737232.500000001</v>
      </c>
      <c r="X19" s="12">
        <v>677262.8</v>
      </c>
      <c r="Y19" s="12">
        <v>519574.69999999984</v>
      </c>
      <c r="Z19" s="40">
        <v>127138.4</v>
      </c>
      <c r="AA19" s="40">
        <f t="shared" si="3"/>
        <v>392436.2999999998</v>
      </c>
      <c r="AB19" s="12">
        <v>1000</v>
      </c>
      <c r="AC19" s="12">
        <v>0</v>
      </c>
      <c r="AD19" s="12">
        <v>3000</v>
      </c>
      <c r="AE19" s="12">
        <v>2700</v>
      </c>
      <c r="AF19" s="12">
        <v>-35056.9</v>
      </c>
      <c r="AG19" s="12">
        <v>-42169.100000000006</v>
      </c>
      <c r="AH19" s="12">
        <v>-314539.7</v>
      </c>
      <c r="AI19" s="12">
        <v>-272681.20000000007</v>
      </c>
      <c r="AJ19" s="12">
        <v>0</v>
      </c>
      <c r="AK19" s="12">
        <v>0</v>
      </c>
      <c r="AL19" s="12">
        <v>51271.4</v>
      </c>
      <c r="AM19" s="12">
        <v>3884.9999999999995</v>
      </c>
      <c r="AN19" s="12">
        <v>0</v>
      </c>
      <c r="AO19" s="12">
        <v>0</v>
      </c>
      <c r="AP19" s="12">
        <v>330716.69999999995</v>
      </c>
      <c r="AQ19" s="12">
        <v>207424.4</v>
      </c>
      <c r="AR19" s="12">
        <f t="shared" si="4"/>
        <v>-349596.60000000003</v>
      </c>
      <c r="AS19" s="12">
        <f t="shared" si="5"/>
        <v>-314850.30000000005</v>
      </c>
      <c r="AT19" s="40">
        <f t="shared" si="1"/>
        <v>680313.3</v>
      </c>
      <c r="AU19" s="12">
        <f t="shared" si="1"/>
        <v>522274.70000000007</v>
      </c>
    </row>
    <row r="20" spans="1:47" ht="24.75" customHeight="1">
      <c r="A20" s="9">
        <v>10</v>
      </c>
      <c r="B20" s="50" t="s">
        <v>35</v>
      </c>
      <c r="C20" s="13">
        <v>1252363.8</v>
      </c>
      <c r="D20" s="48">
        <v>1049817</v>
      </c>
      <c r="E20" s="12">
        <v>530346.7</v>
      </c>
      <c r="F20" s="12">
        <v>507444.4999999999</v>
      </c>
      <c r="G20" s="12">
        <v>119191.6</v>
      </c>
      <c r="H20" s="12">
        <v>109762.40000000001</v>
      </c>
      <c r="I20" s="12">
        <f t="shared" si="2"/>
        <v>617206.8999999999</v>
      </c>
      <c r="J20" s="12">
        <v>330748.2</v>
      </c>
      <c r="K20" s="12">
        <v>266901.69999999995</v>
      </c>
      <c r="L20" s="65">
        <v>0</v>
      </c>
      <c r="M20" s="65">
        <v>0</v>
      </c>
      <c r="N20" s="12">
        <v>31119</v>
      </c>
      <c r="O20" s="12">
        <v>28985.5</v>
      </c>
      <c r="P20" s="12">
        <v>20775.2</v>
      </c>
      <c r="Q20" s="12">
        <v>15762.5</v>
      </c>
      <c r="R20" s="12">
        <v>34666.600000000006</v>
      </c>
      <c r="S20" s="12">
        <v>31025</v>
      </c>
      <c r="T20" s="12">
        <v>10688.9</v>
      </c>
      <c r="U20" s="12">
        <v>3994.3</v>
      </c>
      <c r="V20" s="12">
        <v>1077536.2000000002</v>
      </c>
      <c r="W20" s="12">
        <v>963875.8999999999</v>
      </c>
      <c r="X20" s="12">
        <v>337236.9</v>
      </c>
      <c r="Y20" s="12">
        <v>204652.8</v>
      </c>
      <c r="Z20" s="40">
        <v>59092.100000000006</v>
      </c>
      <c r="AA20" s="40">
        <f t="shared" si="3"/>
        <v>145560.69999999998</v>
      </c>
      <c r="AB20" s="12">
        <v>0</v>
      </c>
      <c r="AC20" s="12">
        <v>0</v>
      </c>
      <c r="AD20" s="12">
        <v>0</v>
      </c>
      <c r="AE20" s="12">
        <v>0</v>
      </c>
      <c r="AF20" s="12">
        <v>-7000</v>
      </c>
      <c r="AG20" s="12">
        <v>-8407.7</v>
      </c>
      <c r="AH20" s="12">
        <v>-154609.7</v>
      </c>
      <c r="AI20" s="12">
        <v>-110303.99999999999</v>
      </c>
      <c r="AJ20" s="12">
        <v>0</v>
      </c>
      <c r="AK20" s="12">
        <v>0</v>
      </c>
      <c r="AL20" s="12">
        <v>0</v>
      </c>
      <c r="AM20" s="12">
        <v>0</v>
      </c>
      <c r="AN20" s="12">
        <v>16844.4</v>
      </c>
      <c r="AO20" s="12">
        <v>0</v>
      </c>
      <c r="AP20" s="12">
        <v>191171.60000000003</v>
      </c>
      <c r="AQ20" s="12">
        <v>85941.1</v>
      </c>
      <c r="AR20" s="12">
        <f t="shared" si="4"/>
        <v>-161609.7</v>
      </c>
      <c r="AS20" s="12">
        <f t="shared" si="5"/>
        <v>-118711.69999999998</v>
      </c>
      <c r="AT20" s="40">
        <f t="shared" si="1"/>
        <v>352781.30000000005</v>
      </c>
      <c r="AU20" s="12">
        <f t="shared" si="1"/>
        <v>204652.8</v>
      </c>
    </row>
    <row r="21" spans="1:47" ht="24.75" customHeight="1">
      <c r="A21" s="5">
        <v>11</v>
      </c>
      <c r="B21" s="36" t="s">
        <v>36</v>
      </c>
      <c r="C21" s="13">
        <v>2301383.9</v>
      </c>
      <c r="D21" s="48">
        <v>1749933.8000000003</v>
      </c>
      <c r="E21" s="12">
        <v>741532.2000000001</v>
      </c>
      <c r="F21" s="12">
        <v>722861.8999999999</v>
      </c>
      <c r="G21" s="12">
        <v>163856.4</v>
      </c>
      <c r="H21" s="12">
        <v>155475.09999999998</v>
      </c>
      <c r="I21" s="12">
        <f t="shared" si="2"/>
        <v>878336.9999999999</v>
      </c>
      <c r="J21" s="12">
        <v>507623.6</v>
      </c>
      <c r="K21" s="12">
        <v>460296.6</v>
      </c>
      <c r="L21" s="65">
        <v>0</v>
      </c>
      <c r="M21" s="65">
        <v>0</v>
      </c>
      <c r="N21" s="12">
        <v>361448.8</v>
      </c>
      <c r="O21" s="12">
        <v>356516.4</v>
      </c>
      <c r="P21" s="12">
        <v>184929.80000000002</v>
      </c>
      <c r="Q21" s="12">
        <v>183950.30000000002</v>
      </c>
      <c r="R21" s="12">
        <v>54737.8</v>
      </c>
      <c r="S21" s="12">
        <v>52492.6</v>
      </c>
      <c r="T21" s="12">
        <v>93757.20000000001</v>
      </c>
      <c r="U21" s="12">
        <v>51644.40000000001</v>
      </c>
      <c r="V21" s="12">
        <v>2107885.8000000003</v>
      </c>
      <c r="W21" s="12">
        <v>1983237.2999999998</v>
      </c>
      <c r="X21" s="12">
        <v>1132267.3</v>
      </c>
      <c r="Y21" s="12">
        <v>720570.5</v>
      </c>
      <c r="Z21" s="40">
        <v>7632.1</v>
      </c>
      <c r="AA21" s="40">
        <f t="shared" si="3"/>
        <v>712938.4</v>
      </c>
      <c r="AB21" s="12">
        <v>4971.3</v>
      </c>
      <c r="AC21" s="12">
        <v>256</v>
      </c>
      <c r="AD21" s="12">
        <v>403.5</v>
      </c>
      <c r="AE21" s="12">
        <v>356.3</v>
      </c>
      <c r="AF21" s="12">
        <v>-60038</v>
      </c>
      <c r="AG21" s="12">
        <v>-65698.5</v>
      </c>
      <c r="AH21" s="12">
        <v>-863549.2000000001</v>
      </c>
      <c r="AI21" s="12">
        <v>-868726.2000000001</v>
      </c>
      <c r="AJ21" s="12">
        <v>0</v>
      </c>
      <c r="AK21" s="12">
        <v>0</v>
      </c>
      <c r="AL21" s="12">
        <v>20556.8</v>
      </c>
      <c r="AM21" s="12">
        <v>20061.6</v>
      </c>
      <c r="AN21" s="12">
        <v>7221.300000000001</v>
      </c>
      <c r="AO21" s="12">
        <v>2468</v>
      </c>
      <c r="AP21" s="12">
        <v>214054.89999999997</v>
      </c>
      <c r="AQ21" s="12">
        <v>-213241.9000000001</v>
      </c>
      <c r="AR21" s="12">
        <f t="shared" si="4"/>
        <v>-923587.2000000001</v>
      </c>
      <c r="AS21" s="12">
        <f t="shared" si="5"/>
        <v>-934424.7000000001</v>
      </c>
      <c r="AT21" s="40">
        <f t="shared" si="1"/>
        <v>1137642.1</v>
      </c>
      <c r="AU21" s="12">
        <f t="shared" si="1"/>
        <v>721182.7999999999</v>
      </c>
    </row>
    <row r="22" spans="1:47" ht="27" customHeight="1">
      <c r="A22" s="349" t="s">
        <v>26</v>
      </c>
      <c r="B22" s="349"/>
      <c r="C22" s="32">
        <f aca="true" t="shared" si="6" ref="C22:AS22">SUM(C11:C21)</f>
        <v>95271539.05310002</v>
      </c>
      <c r="D22" s="32">
        <f t="shared" si="6"/>
        <v>82700254.2916</v>
      </c>
      <c r="E22" s="32">
        <f t="shared" si="6"/>
        <v>15464430.618299998</v>
      </c>
      <c r="F22" s="32">
        <f t="shared" si="6"/>
        <v>14686016.6696</v>
      </c>
      <c r="G22" s="32">
        <f t="shared" si="6"/>
        <v>3286930.5229</v>
      </c>
      <c r="H22" s="32">
        <f t="shared" si="6"/>
        <v>2985490.204</v>
      </c>
      <c r="I22" s="32"/>
      <c r="J22" s="32">
        <f t="shared" si="6"/>
        <v>34432523.14520001</v>
      </c>
      <c r="K22" s="32">
        <f t="shared" si="6"/>
        <v>32592565.663000003</v>
      </c>
      <c r="L22" s="66">
        <f t="shared" si="6"/>
        <v>0</v>
      </c>
      <c r="M22" s="66">
        <f t="shared" si="6"/>
        <v>0</v>
      </c>
      <c r="N22" s="32">
        <f t="shared" si="6"/>
        <v>13773468.925200002</v>
      </c>
      <c r="O22" s="32">
        <f t="shared" si="6"/>
        <v>13419909.281000003</v>
      </c>
      <c r="P22" s="32">
        <f t="shared" si="6"/>
        <v>3494652.9688000004</v>
      </c>
      <c r="Q22" s="32">
        <f t="shared" si="6"/>
        <v>3335904.386</v>
      </c>
      <c r="R22" s="32">
        <f t="shared" si="6"/>
        <v>1887112.0503</v>
      </c>
      <c r="S22" s="32">
        <f t="shared" si="6"/>
        <v>1723937.029</v>
      </c>
      <c r="T22" s="32">
        <f t="shared" si="6"/>
        <v>13317569.6365</v>
      </c>
      <c r="U22" s="32">
        <f t="shared" si="6"/>
        <v>7875091.804</v>
      </c>
      <c r="V22" s="32">
        <f t="shared" si="6"/>
        <v>85670396.3672</v>
      </c>
      <c r="W22" s="32">
        <f t="shared" si="6"/>
        <v>76618915.1366</v>
      </c>
      <c r="X22" s="32">
        <f t="shared" si="6"/>
        <v>32716772.751699995</v>
      </c>
      <c r="Y22" s="32">
        <f t="shared" si="6"/>
        <v>24109971.776300006</v>
      </c>
      <c r="Z22" s="32">
        <f t="shared" si="6"/>
        <v>1576461.4000000001</v>
      </c>
      <c r="AA22" s="32">
        <f t="shared" si="6"/>
        <v>22533510.376300003</v>
      </c>
      <c r="AB22" s="32">
        <f t="shared" si="6"/>
        <v>55021.100000000006</v>
      </c>
      <c r="AC22" s="32">
        <f t="shared" si="6"/>
        <v>30340.600000000002</v>
      </c>
      <c r="AD22" s="32">
        <f t="shared" si="6"/>
        <v>28826.31</v>
      </c>
      <c r="AE22" s="32">
        <f t="shared" si="6"/>
        <v>22899.3</v>
      </c>
      <c r="AF22" s="32">
        <f t="shared" si="6"/>
        <v>-8757476.662100002</v>
      </c>
      <c r="AG22" s="32">
        <f t="shared" si="6"/>
        <v>-6349057.393</v>
      </c>
      <c r="AH22" s="32">
        <f t="shared" si="6"/>
        <v>-12348295.958599998</v>
      </c>
      <c r="AI22" s="32">
        <f t="shared" si="6"/>
        <v>-10582291.653399998</v>
      </c>
      <c r="AJ22" s="32">
        <f t="shared" si="6"/>
        <v>1165.6</v>
      </c>
      <c r="AK22" s="32">
        <f t="shared" si="6"/>
        <v>0</v>
      </c>
      <c r="AL22" s="32">
        <f t="shared" si="6"/>
        <v>1778566.6912</v>
      </c>
      <c r="AM22" s="32">
        <f t="shared" si="6"/>
        <v>1226090.6161</v>
      </c>
      <c r="AN22" s="32">
        <f t="shared" si="6"/>
        <v>346622.68999999994</v>
      </c>
      <c r="AO22" s="32">
        <f t="shared" si="6"/>
        <v>202876.5881</v>
      </c>
      <c r="AP22" s="32">
        <f t="shared" si="6"/>
        <v>12883714.8971</v>
      </c>
      <c r="AQ22" s="32">
        <f t="shared" si="6"/>
        <v>7772915.957099999</v>
      </c>
      <c r="AR22" s="32">
        <f t="shared" si="6"/>
        <v>-21105772.620699998</v>
      </c>
      <c r="AS22" s="32">
        <f t="shared" si="6"/>
        <v>-16931349.0464</v>
      </c>
      <c r="AT22" s="32">
        <f t="shared" si="1"/>
        <v>33989487.517799996</v>
      </c>
      <c r="AU22" s="47">
        <f t="shared" si="1"/>
        <v>24704265.0035</v>
      </c>
    </row>
    <row r="23" spans="25:42" ht="18" customHeight="1">
      <c r="Y23" s="39"/>
      <c r="AE23" s="39"/>
      <c r="AP23" s="4"/>
    </row>
    <row r="24" spans="5:42" ht="16.5" customHeight="1">
      <c r="E24" s="37"/>
      <c r="F24" s="37"/>
      <c r="Y24" s="39"/>
      <c r="Z24" s="39"/>
      <c r="AA24" s="39"/>
      <c r="AF24" s="37"/>
      <c r="AG24" s="37"/>
      <c r="AH24" s="39"/>
      <c r="AI24" s="39"/>
      <c r="AP24" s="4"/>
    </row>
    <row r="25" ht="16.5" customHeight="1">
      <c r="AP25" s="4"/>
    </row>
    <row r="26" spans="42:43" ht="16.5" customHeight="1">
      <c r="AP26" s="4"/>
      <c r="AQ26" s="4"/>
    </row>
    <row r="27" ht="16.5" customHeight="1">
      <c r="AP27" s="4"/>
    </row>
    <row r="28" ht="16.5" customHeight="1">
      <c r="AP28" s="4"/>
    </row>
    <row r="29" ht="16.5" customHeight="1">
      <c r="AP29" s="4"/>
    </row>
    <row r="30" ht="16.5" customHeight="1">
      <c r="AP30" s="4"/>
    </row>
    <row r="31" ht="16.5" customHeight="1">
      <c r="AP31" s="4"/>
    </row>
    <row r="32" ht="16.5" customHeight="1">
      <c r="AP32" s="4"/>
    </row>
    <row r="33" ht="16.5" customHeight="1">
      <c r="AP33" s="4"/>
    </row>
    <row r="34" ht="16.5" customHeight="1">
      <c r="AP34" s="4"/>
    </row>
    <row r="35" ht="16.5" customHeight="1">
      <c r="AP35" s="4"/>
    </row>
    <row r="36" ht="16.5" customHeight="1">
      <c r="AP36" s="4"/>
    </row>
    <row r="37" ht="16.5" customHeight="1">
      <c r="AP37" s="4"/>
    </row>
    <row r="38" ht="16.5" customHeight="1">
      <c r="AP38" s="4"/>
    </row>
    <row r="39" ht="16.5" customHeight="1">
      <c r="AP39" s="4"/>
    </row>
    <row r="40" ht="16.5" customHeight="1">
      <c r="AP40" s="4"/>
    </row>
    <row r="41" ht="16.5" customHeight="1">
      <c r="AP41" s="4"/>
    </row>
    <row r="42" ht="16.5" customHeight="1">
      <c r="AP42" s="4"/>
    </row>
    <row r="43" ht="16.5" customHeight="1">
      <c r="AP43" s="4"/>
    </row>
    <row r="44" ht="16.5" customHeight="1">
      <c r="AP44" s="4"/>
    </row>
    <row r="45" ht="16.5" customHeight="1">
      <c r="AP45" s="4"/>
    </row>
    <row r="46" ht="16.5" customHeight="1">
      <c r="AP46" s="4"/>
    </row>
    <row r="47" ht="16.5" customHeight="1">
      <c r="AP47" s="4"/>
    </row>
    <row r="48" ht="16.5" customHeight="1">
      <c r="AP48" s="4"/>
    </row>
    <row r="49" ht="16.5" customHeight="1">
      <c r="AP49" s="4"/>
    </row>
    <row r="50" ht="16.5" customHeight="1">
      <c r="AP50" s="4"/>
    </row>
    <row r="51" ht="16.5" customHeight="1">
      <c r="AP51" s="4"/>
    </row>
    <row r="52" ht="16.5" customHeight="1">
      <c r="AP52" s="4"/>
    </row>
    <row r="53" ht="16.5" customHeight="1">
      <c r="AP53" s="4"/>
    </row>
    <row r="54" ht="16.5" customHeight="1">
      <c r="AP54" s="4"/>
    </row>
    <row r="55" ht="16.5" customHeight="1">
      <c r="AP55" s="4"/>
    </row>
    <row r="56" ht="16.5" customHeight="1">
      <c r="AP56" s="4"/>
    </row>
    <row r="57" ht="16.5" customHeight="1">
      <c r="AP57" s="4"/>
    </row>
    <row r="58" ht="16.5" customHeight="1">
      <c r="AP58" s="4"/>
    </row>
    <row r="59" ht="16.5" customHeight="1">
      <c r="AP59" s="4"/>
    </row>
    <row r="60" ht="16.5" customHeight="1">
      <c r="AP60" s="4"/>
    </row>
    <row r="61" ht="16.5" customHeight="1">
      <c r="AP61" s="4"/>
    </row>
    <row r="62" ht="16.5" customHeight="1">
      <c r="AP62" s="4"/>
    </row>
    <row r="63" ht="16.5" customHeight="1">
      <c r="AP63" s="4"/>
    </row>
    <row r="64" ht="16.5" customHeight="1">
      <c r="AP64" s="4"/>
    </row>
    <row r="65" ht="16.5" customHeight="1">
      <c r="AP65" s="4"/>
    </row>
    <row r="66" ht="16.5" customHeight="1">
      <c r="AP66" s="4"/>
    </row>
    <row r="67" ht="16.5" customHeight="1">
      <c r="AP67" s="4"/>
    </row>
    <row r="68" ht="16.5" customHeight="1">
      <c r="AP68" s="4"/>
    </row>
    <row r="69" ht="16.5" customHeight="1">
      <c r="AP69" s="4"/>
    </row>
    <row r="70" ht="16.5" customHeight="1">
      <c r="AP70" s="4"/>
    </row>
    <row r="71" ht="16.5" customHeight="1">
      <c r="AP71" s="4"/>
    </row>
    <row r="72" ht="16.5" customHeight="1">
      <c r="AP72" s="4"/>
    </row>
    <row r="73" ht="16.5" customHeight="1">
      <c r="AP73" s="4"/>
    </row>
    <row r="74" ht="16.5" customHeight="1">
      <c r="AP74" s="4"/>
    </row>
    <row r="75" ht="16.5" customHeight="1">
      <c r="AP75" s="4"/>
    </row>
    <row r="76" ht="16.5" customHeight="1">
      <c r="AP76" s="4"/>
    </row>
    <row r="77" ht="16.5" customHeight="1">
      <c r="AP77" s="4"/>
    </row>
    <row r="78" ht="16.5" customHeight="1">
      <c r="AP78" s="4"/>
    </row>
    <row r="79" ht="16.5" customHeight="1">
      <c r="AP79" s="4"/>
    </row>
    <row r="80" ht="16.5" customHeight="1">
      <c r="AP80" s="4"/>
    </row>
    <row r="81" ht="16.5" customHeight="1">
      <c r="AP81" s="4"/>
    </row>
    <row r="82" ht="16.5" customHeight="1">
      <c r="AP82" s="4"/>
    </row>
    <row r="83" ht="16.5" customHeight="1">
      <c r="AP83" s="4"/>
    </row>
    <row r="84" ht="16.5" customHeight="1">
      <c r="AP84" s="4"/>
    </row>
    <row r="85" ht="16.5" customHeight="1">
      <c r="AP85" s="4"/>
    </row>
    <row r="86" ht="16.5" customHeight="1">
      <c r="AP86" s="4"/>
    </row>
    <row r="87" ht="16.5" customHeight="1">
      <c r="AP87" s="4"/>
    </row>
    <row r="88" ht="16.5" customHeight="1">
      <c r="AP88" s="4"/>
    </row>
    <row r="89" ht="16.5" customHeight="1">
      <c r="AP89" s="4"/>
    </row>
    <row r="90" ht="16.5" customHeight="1">
      <c r="AP90" s="4"/>
    </row>
    <row r="91" ht="16.5" customHeight="1">
      <c r="AP91" s="4"/>
    </row>
    <row r="92" ht="16.5" customHeight="1">
      <c r="AP92" s="4"/>
    </row>
    <row r="93" ht="16.5" customHeight="1">
      <c r="AP93" s="4"/>
    </row>
    <row r="94" ht="16.5" customHeight="1">
      <c r="AP94" s="4"/>
    </row>
    <row r="95" ht="16.5" customHeight="1">
      <c r="AP95" s="4"/>
    </row>
    <row r="96" ht="16.5" customHeight="1">
      <c r="AP96" s="4"/>
    </row>
    <row r="97" ht="16.5" customHeight="1">
      <c r="AP97" s="4"/>
    </row>
    <row r="98" ht="16.5" customHeight="1">
      <c r="AP98" s="4"/>
    </row>
    <row r="99" ht="16.5" customHeight="1">
      <c r="AP99" s="4"/>
    </row>
    <row r="100" ht="16.5" customHeight="1">
      <c r="AP100" s="4"/>
    </row>
    <row r="101" ht="16.5" customHeight="1">
      <c r="AP101" s="4"/>
    </row>
    <row r="102" ht="16.5" customHeight="1">
      <c r="AP102" s="4"/>
    </row>
    <row r="103" ht="16.5" customHeight="1">
      <c r="AP103" s="4"/>
    </row>
    <row r="104" ht="16.5" customHeight="1">
      <c r="AP104" s="4"/>
    </row>
    <row r="105" ht="16.5" customHeight="1">
      <c r="AP105" s="4"/>
    </row>
    <row r="106" ht="16.5" customHeight="1">
      <c r="AP106" s="4"/>
    </row>
    <row r="107" ht="16.5" customHeight="1">
      <c r="AP107" s="4"/>
    </row>
    <row r="108" ht="16.5" customHeight="1">
      <c r="AP108" s="4"/>
    </row>
    <row r="109" ht="16.5" customHeight="1">
      <c r="AP109" s="4"/>
    </row>
    <row r="110" ht="16.5" customHeight="1">
      <c r="AP110" s="4"/>
    </row>
    <row r="111" ht="16.5" customHeight="1">
      <c r="AP111" s="4"/>
    </row>
    <row r="112" ht="16.5" customHeight="1">
      <c r="AP112" s="4"/>
    </row>
    <row r="113" ht="16.5" customHeight="1">
      <c r="AP113" s="4"/>
    </row>
    <row r="114" ht="16.5" customHeight="1">
      <c r="AP114" s="4"/>
    </row>
    <row r="115" ht="16.5" customHeight="1">
      <c r="AP115" s="4"/>
    </row>
    <row r="116" ht="16.5" customHeight="1">
      <c r="AP116" s="4"/>
    </row>
    <row r="117" ht="16.5" customHeight="1">
      <c r="AP117" s="4"/>
    </row>
    <row r="118" ht="16.5" customHeight="1">
      <c r="AP118" s="4"/>
    </row>
    <row r="119" ht="16.5" customHeight="1">
      <c r="AP119" s="4"/>
    </row>
    <row r="120" ht="16.5" customHeight="1">
      <c r="AP120" s="4"/>
    </row>
    <row r="121" ht="16.5" customHeight="1">
      <c r="AP121" s="4"/>
    </row>
    <row r="122" ht="16.5" customHeight="1">
      <c r="AP122" s="4"/>
    </row>
    <row r="123" ht="16.5" customHeight="1">
      <c r="AP123" s="4"/>
    </row>
    <row r="124" ht="16.5" customHeight="1">
      <c r="AP124" s="4"/>
    </row>
    <row r="125" ht="16.5" customHeight="1">
      <c r="AP125" s="4"/>
    </row>
    <row r="126" spans="1:42" s="6" customFormat="1" ht="22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4"/>
    </row>
    <row r="127" spans="1:41" s="6" customFormat="1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s="6" customFormat="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s="6" customFormat="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1" ht="45" customHeight="1"/>
  </sheetData>
  <sheetProtection/>
  <mergeCells count="38">
    <mergeCell ref="A2:Q2"/>
    <mergeCell ref="AT4:AU8"/>
    <mergeCell ref="AD7:AE8"/>
    <mergeCell ref="E4:AC4"/>
    <mergeCell ref="X6:AE6"/>
    <mergeCell ref="J7:K8"/>
    <mergeCell ref="X5:AE5"/>
    <mergeCell ref="V5:W8"/>
    <mergeCell ref="X7:Y8"/>
    <mergeCell ref="AB7:AC8"/>
    <mergeCell ref="P7:Q8"/>
    <mergeCell ref="AN5:AO8"/>
    <mergeCell ref="AP5:AQ8"/>
    <mergeCell ref="AH6:AK7"/>
    <mergeCell ref="AH8:AI8"/>
    <mergeCell ref="AJ8:AK8"/>
    <mergeCell ref="AA8:AA9"/>
    <mergeCell ref="Z7:Z9"/>
    <mergeCell ref="AP4:AQ4"/>
    <mergeCell ref="A22:B22"/>
    <mergeCell ref="E8:F8"/>
    <mergeCell ref="C4:D8"/>
    <mergeCell ref="E7:H7"/>
    <mergeCell ref="G8:H8"/>
    <mergeCell ref="E5:U5"/>
    <mergeCell ref="R7:S8"/>
    <mergeCell ref="AL5:AM8"/>
    <mergeCell ref="AF5:AK5"/>
    <mergeCell ref="N3:O3"/>
    <mergeCell ref="A1:O1"/>
    <mergeCell ref="AF6:AG8"/>
    <mergeCell ref="V3:W3"/>
    <mergeCell ref="A4:A9"/>
    <mergeCell ref="B4:B9"/>
    <mergeCell ref="E6:U6"/>
    <mergeCell ref="T7:U8"/>
    <mergeCell ref="L7:M8"/>
    <mergeCell ref="N7:O8"/>
  </mergeCells>
  <printOptions/>
  <pageMargins left="0.27" right="0.25" top="0.24" bottom="0.18" header="0.23" footer="0.1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75" customWidth="1"/>
    <col min="2" max="2" width="15.19921875" style="75" customWidth="1"/>
    <col min="3" max="3" width="11.3984375" style="75" customWidth="1"/>
    <col min="4" max="4" width="12.09765625" style="75" customWidth="1"/>
    <col min="5" max="5" width="9.69921875" style="75" customWidth="1"/>
    <col min="6" max="6" width="9.8984375" style="75" customWidth="1"/>
    <col min="7" max="9" width="8.19921875" style="75" bestFit="1" customWidth="1"/>
    <col min="10" max="10" width="8.5" style="75" bestFit="1" customWidth="1"/>
    <col min="11" max="14" width="8.19921875" style="75" bestFit="1" customWidth="1"/>
    <col min="15" max="16" width="8.5" style="75" customWidth="1"/>
    <col min="17" max="17" width="8.69921875" style="75" customWidth="1"/>
    <col min="18" max="18" width="8.8984375" style="93" customWidth="1"/>
    <col min="19" max="19" width="8.69921875" style="75" customWidth="1"/>
    <col min="20" max="20" width="8.19921875" style="75" bestFit="1" customWidth="1"/>
    <col min="21" max="21" width="9.69921875" style="75" customWidth="1"/>
    <col min="22" max="22" width="9.3984375" style="75" customWidth="1"/>
    <col min="23" max="23" width="8.09765625" style="75" bestFit="1" customWidth="1"/>
    <col min="24" max="24" width="8.69921875" style="75" customWidth="1"/>
    <col min="25" max="28" width="8.09765625" style="75" bestFit="1" customWidth="1"/>
    <col min="29" max="29" width="8.5" style="75" bestFit="1" customWidth="1"/>
    <col min="30" max="30" width="8.09765625" style="75" bestFit="1" customWidth="1"/>
    <col min="31" max="31" width="8.5" style="75" bestFit="1" customWidth="1"/>
    <col min="32" max="32" width="9.19921875" style="75" customWidth="1"/>
    <col min="33" max="38" width="8.09765625" style="75" bestFit="1" customWidth="1"/>
    <col min="39" max="16384" width="9" style="75" customWidth="1"/>
  </cols>
  <sheetData>
    <row r="1" spans="1:38" ht="9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10"/>
      <c r="P1" s="10"/>
      <c r="Q1" s="10"/>
      <c r="R1" s="10"/>
      <c r="S1" s="10"/>
      <c r="T1" s="10"/>
      <c r="U1" s="10"/>
      <c r="V1" s="1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</row>
    <row r="2" spans="1:38" ht="41.25" customHeight="1">
      <c r="A2" s="424" t="s">
        <v>84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</row>
    <row r="3" spans="1:38" ht="13.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425" t="s">
        <v>19</v>
      </c>
      <c r="M3" s="425"/>
      <c r="N3" s="72"/>
      <c r="O3" s="1"/>
      <c r="P3" s="1"/>
      <c r="Q3" s="1"/>
      <c r="R3" s="76"/>
      <c r="S3" s="1"/>
      <c r="T3" s="1"/>
      <c r="U3" s="376"/>
      <c r="V3" s="37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>
      <c r="A4" s="377" t="s">
        <v>2</v>
      </c>
      <c r="B4" s="378" t="s">
        <v>85</v>
      </c>
      <c r="C4" s="426" t="s">
        <v>86</v>
      </c>
      <c r="D4" s="427"/>
      <c r="E4" s="432" t="s">
        <v>1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7"/>
      <c r="AB4" s="7"/>
      <c r="AC4" s="7"/>
      <c r="AD4" s="7"/>
      <c r="AE4" s="7"/>
      <c r="AF4" s="7"/>
      <c r="AG4" s="7"/>
      <c r="AH4" s="7"/>
      <c r="AI4" s="7"/>
      <c r="AJ4" s="7"/>
      <c r="AK4" s="380"/>
      <c r="AL4" s="380"/>
    </row>
    <row r="5" spans="1:38" ht="27" customHeight="1">
      <c r="A5" s="377"/>
      <c r="B5" s="378"/>
      <c r="C5" s="428"/>
      <c r="D5" s="429"/>
      <c r="E5" s="434" t="s">
        <v>22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5" t="s">
        <v>3</v>
      </c>
      <c r="V5" s="415"/>
      <c r="W5" s="413" t="s">
        <v>87</v>
      </c>
      <c r="X5" s="414"/>
      <c r="Y5" s="414"/>
      <c r="Z5" s="414"/>
      <c r="AA5" s="414"/>
      <c r="AB5" s="414"/>
      <c r="AC5" s="382" t="s">
        <v>13</v>
      </c>
      <c r="AD5" s="382"/>
      <c r="AE5" s="382"/>
      <c r="AF5" s="382"/>
      <c r="AG5" s="382"/>
      <c r="AH5" s="382"/>
      <c r="AI5" s="386" t="s">
        <v>20</v>
      </c>
      <c r="AJ5" s="387"/>
      <c r="AK5" s="415" t="s">
        <v>4</v>
      </c>
      <c r="AL5" s="415"/>
    </row>
    <row r="6" spans="1:38" ht="12.75">
      <c r="A6" s="377"/>
      <c r="B6" s="378"/>
      <c r="C6" s="428"/>
      <c r="D6" s="429"/>
      <c r="E6" s="379" t="s">
        <v>5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415"/>
      <c r="V6" s="415"/>
      <c r="W6" s="420" t="s">
        <v>5</v>
      </c>
      <c r="X6" s="421"/>
      <c r="Y6" s="421"/>
      <c r="Z6" s="421"/>
      <c r="AA6" s="421"/>
      <c r="AB6" s="422"/>
      <c r="AC6" s="375" t="s">
        <v>14</v>
      </c>
      <c r="AD6" s="375"/>
      <c r="AE6" s="375" t="s">
        <v>15</v>
      </c>
      <c r="AF6" s="375"/>
      <c r="AG6" s="375"/>
      <c r="AH6" s="375"/>
      <c r="AI6" s="388"/>
      <c r="AJ6" s="389"/>
      <c r="AK6" s="415"/>
      <c r="AL6" s="415"/>
    </row>
    <row r="7" spans="1:38" ht="22.5" customHeight="1">
      <c r="A7" s="377"/>
      <c r="B7" s="378"/>
      <c r="C7" s="428"/>
      <c r="D7" s="429"/>
      <c r="E7" s="437" t="s">
        <v>88</v>
      </c>
      <c r="F7" s="393"/>
      <c r="G7" s="393"/>
      <c r="H7" s="393"/>
      <c r="I7" s="339" t="s">
        <v>11</v>
      </c>
      <c r="J7" s="339"/>
      <c r="K7" s="438" t="s">
        <v>89</v>
      </c>
      <c r="L7" s="438"/>
      <c r="M7" s="339" t="s">
        <v>6</v>
      </c>
      <c r="N7" s="339"/>
      <c r="O7" s="339" t="s">
        <v>7</v>
      </c>
      <c r="P7" s="339"/>
      <c r="Q7" s="339" t="s">
        <v>8</v>
      </c>
      <c r="R7" s="339"/>
      <c r="S7" s="339" t="s">
        <v>21</v>
      </c>
      <c r="T7" s="339"/>
      <c r="U7" s="415"/>
      <c r="V7" s="415"/>
      <c r="W7" s="416" t="s">
        <v>23</v>
      </c>
      <c r="X7" s="387"/>
      <c r="Y7" s="386" t="s">
        <v>24</v>
      </c>
      <c r="Z7" s="417"/>
      <c r="AA7" s="404" t="s">
        <v>12</v>
      </c>
      <c r="AB7" s="405"/>
      <c r="AC7" s="375"/>
      <c r="AD7" s="375"/>
      <c r="AE7" s="375"/>
      <c r="AF7" s="375"/>
      <c r="AG7" s="375"/>
      <c r="AH7" s="375"/>
      <c r="AI7" s="388"/>
      <c r="AJ7" s="389"/>
      <c r="AK7" s="415"/>
      <c r="AL7" s="415"/>
    </row>
    <row r="8" spans="1:38" ht="90" customHeight="1">
      <c r="A8" s="377"/>
      <c r="B8" s="378"/>
      <c r="C8" s="430"/>
      <c r="D8" s="431"/>
      <c r="E8" s="331" t="s">
        <v>16</v>
      </c>
      <c r="F8" s="331"/>
      <c r="G8" s="331" t="s">
        <v>10</v>
      </c>
      <c r="H8" s="331"/>
      <c r="I8" s="339"/>
      <c r="J8" s="339"/>
      <c r="K8" s="438"/>
      <c r="L8" s="438"/>
      <c r="M8" s="339"/>
      <c r="N8" s="339"/>
      <c r="O8" s="339"/>
      <c r="P8" s="339"/>
      <c r="Q8" s="339"/>
      <c r="R8" s="339"/>
      <c r="S8" s="339"/>
      <c r="T8" s="339"/>
      <c r="U8" s="415"/>
      <c r="V8" s="415"/>
      <c r="W8" s="390"/>
      <c r="X8" s="391"/>
      <c r="Y8" s="418"/>
      <c r="Z8" s="419"/>
      <c r="AA8" s="406"/>
      <c r="AB8" s="407"/>
      <c r="AC8" s="375"/>
      <c r="AD8" s="375"/>
      <c r="AE8" s="375" t="s">
        <v>17</v>
      </c>
      <c r="AF8" s="375"/>
      <c r="AG8" s="393" t="s">
        <v>18</v>
      </c>
      <c r="AH8" s="393"/>
      <c r="AI8" s="390"/>
      <c r="AJ8" s="391"/>
      <c r="AK8" s="415"/>
      <c r="AL8" s="415"/>
    </row>
    <row r="9" spans="1:38" ht="24" customHeight="1">
      <c r="A9" s="377"/>
      <c r="B9" s="378"/>
      <c r="C9" s="11" t="s">
        <v>90</v>
      </c>
      <c r="D9" s="77" t="s">
        <v>91</v>
      </c>
      <c r="E9" s="78" t="s">
        <v>90</v>
      </c>
      <c r="F9" s="11" t="s">
        <v>92</v>
      </c>
      <c r="G9" s="78" t="s">
        <v>90</v>
      </c>
      <c r="H9" s="11" t="s">
        <v>92</v>
      </c>
      <c r="I9" s="78" t="s">
        <v>90</v>
      </c>
      <c r="J9" s="11" t="s">
        <v>92</v>
      </c>
      <c r="K9" s="78" t="s">
        <v>90</v>
      </c>
      <c r="L9" s="11" t="s">
        <v>92</v>
      </c>
      <c r="M9" s="78" t="s">
        <v>90</v>
      </c>
      <c r="N9" s="11" t="s">
        <v>92</v>
      </c>
      <c r="O9" s="78" t="s">
        <v>90</v>
      </c>
      <c r="P9" s="11" t="s">
        <v>92</v>
      </c>
      <c r="Q9" s="78" t="s">
        <v>90</v>
      </c>
      <c r="R9" s="79" t="s">
        <v>92</v>
      </c>
      <c r="S9" s="78" t="s">
        <v>90</v>
      </c>
      <c r="T9" s="11" t="s">
        <v>92</v>
      </c>
      <c r="U9" s="78" t="s">
        <v>90</v>
      </c>
      <c r="V9" s="11" t="s">
        <v>92</v>
      </c>
      <c r="W9" s="78" t="s">
        <v>90</v>
      </c>
      <c r="X9" s="11" t="s">
        <v>92</v>
      </c>
      <c r="Y9" s="78" t="s">
        <v>90</v>
      </c>
      <c r="Z9" s="11" t="s">
        <v>92</v>
      </c>
      <c r="AA9" s="78" t="s">
        <v>90</v>
      </c>
      <c r="AB9" s="11" t="s">
        <v>92</v>
      </c>
      <c r="AC9" s="78" t="s">
        <v>90</v>
      </c>
      <c r="AD9" s="11" t="s">
        <v>92</v>
      </c>
      <c r="AE9" s="78" t="s">
        <v>90</v>
      </c>
      <c r="AF9" s="11" t="s">
        <v>92</v>
      </c>
      <c r="AG9" s="78" t="s">
        <v>90</v>
      </c>
      <c r="AH9" s="11" t="s">
        <v>92</v>
      </c>
      <c r="AI9" s="78" t="s">
        <v>90</v>
      </c>
      <c r="AJ9" s="11" t="s">
        <v>92</v>
      </c>
      <c r="AK9" s="78" t="s">
        <v>90</v>
      </c>
      <c r="AL9" s="11" t="s">
        <v>92</v>
      </c>
    </row>
    <row r="10" spans="1:38" ht="12.75">
      <c r="A10" s="5"/>
      <c r="B10" s="80">
        <v>1</v>
      </c>
      <c r="C10" s="80">
        <v>2</v>
      </c>
      <c r="D10" s="80">
        <v>3</v>
      </c>
      <c r="E10" s="81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2">
        <v>17</v>
      </c>
      <c r="S10" s="80">
        <v>18</v>
      </c>
      <c r="T10" s="80">
        <v>19</v>
      </c>
      <c r="U10" s="80">
        <v>20</v>
      </c>
      <c r="V10" s="80">
        <v>21</v>
      </c>
      <c r="W10" s="81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</row>
    <row r="11" spans="1:38" s="86" customFormat="1" ht="16.5" customHeight="1">
      <c r="A11" s="5">
        <v>1</v>
      </c>
      <c r="B11" s="83" t="s">
        <v>93</v>
      </c>
      <c r="C11" s="84">
        <f aca="true" t="shared" si="0" ref="C11:D42">U11+AK11-AI11</f>
        <v>329875.31510000007</v>
      </c>
      <c r="D11" s="84">
        <f t="shared" si="0"/>
        <v>285866.838</v>
      </c>
      <c r="E11" s="65">
        <f>'[1]Sheet1'!F5</f>
        <v>89467.677</v>
      </c>
      <c r="F11" s="65">
        <f>'[1]Sheet1'!G5</f>
        <v>78165.472</v>
      </c>
      <c r="G11" s="65">
        <f>'[1]Sheet1'!H5</f>
        <v>27993.827</v>
      </c>
      <c r="H11" s="65">
        <f>'[1]Sheet1'!I5</f>
        <v>19640.383</v>
      </c>
      <c r="I11" s="65">
        <f>'[1]Sheet1'!J5</f>
        <v>189827.441</v>
      </c>
      <c r="J11" s="65">
        <f>'[1]Sheet1'!K5</f>
        <v>156178.2</v>
      </c>
      <c r="K11" s="65">
        <f>'[1]Sheet1'!L5</f>
        <v>0</v>
      </c>
      <c r="L11" s="65">
        <f>'[1]Sheet1'!M5</f>
        <v>0</v>
      </c>
      <c r="M11" s="65">
        <f>'[1]Sheet1'!N5</f>
        <v>0</v>
      </c>
      <c r="N11" s="65">
        <f>'[1]Sheet1'!O5</f>
        <v>0</v>
      </c>
      <c r="O11" s="65">
        <f>'[1]Sheet1'!P5</f>
        <v>2485.03</v>
      </c>
      <c r="P11" s="65">
        <f>'[1]Sheet1'!Q5</f>
        <v>1195</v>
      </c>
      <c r="Q11" s="65">
        <f>'[1]Sheet1'!R5</f>
        <v>11015.02</v>
      </c>
      <c r="R11" s="65">
        <f>'[1]Sheet1'!S5</f>
        <v>9415</v>
      </c>
      <c r="S11" s="65">
        <f>'[1]Sheet1'!T5</f>
        <v>400.0001</v>
      </c>
      <c r="T11" s="65">
        <f>'[1]Sheet1'!U5</f>
        <v>120</v>
      </c>
      <c r="U11" s="85">
        <f>E11+G11+I11+K11+M11+O11+Q11+S11</f>
        <v>321188.99510000006</v>
      </c>
      <c r="V11" s="85">
        <f>F11+H11+J11+L11+N11+P11+R11+T11</f>
        <v>264714.055</v>
      </c>
      <c r="W11" s="65">
        <f>'[1]Sheet1'!X5</f>
        <v>117600.02</v>
      </c>
      <c r="X11" s="65">
        <f>'[1]Sheet1'!Y5</f>
        <v>58808.709</v>
      </c>
      <c r="Y11" s="65">
        <f>'[1]Sheet1'!Z5</f>
        <v>0</v>
      </c>
      <c r="Z11" s="65">
        <f>'[1]Sheet1'!AA5</f>
        <v>0</v>
      </c>
      <c r="AA11" s="65">
        <f>'[1]Sheet1'!AB5</f>
        <v>0</v>
      </c>
      <c r="AB11" s="65">
        <f>'[1]Sheet1'!AC5</f>
        <v>0</v>
      </c>
      <c r="AC11" s="65">
        <f>'[1]Sheet1'!AD5</f>
        <v>0</v>
      </c>
      <c r="AD11" s="65">
        <f>'[1]Sheet1'!AE5</f>
        <v>0</v>
      </c>
      <c r="AE11" s="65">
        <f>'[1]Sheet1'!AF5</f>
        <v>-108913.7</v>
      </c>
      <c r="AF11" s="65">
        <f>'[1]Sheet1'!AG5</f>
        <v>-37655.926</v>
      </c>
      <c r="AG11" s="65">
        <f>'[1]Sheet1'!AH5</f>
        <v>0</v>
      </c>
      <c r="AH11" s="65">
        <f>'[1]Sheet1'!AI5</f>
        <v>0</v>
      </c>
      <c r="AI11" s="65">
        <f>AJ11</f>
        <v>0.0001</v>
      </c>
      <c r="AJ11" s="65">
        <f>'[1]Sheet1'!AK5</f>
        <v>0.0001</v>
      </c>
      <c r="AK11" s="85">
        <f>AG11++AE11+AC11+AA11+Y11+W11+AI11</f>
        <v>8686.320100000006</v>
      </c>
      <c r="AL11" s="85">
        <f>AH11++AF11+AD11+AB11+Z11+X11+AJ11</f>
        <v>21152.783100000004</v>
      </c>
    </row>
    <row r="12" spans="1:38" s="86" customFormat="1" ht="16.5" customHeight="1">
      <c r="A12" s="5">
        <v>2</v>
      </c>
      <c r="B12" s="83" t="s">
        <v>94</v>
      </c>
      <c r="C12" s="84">
        <f t="shared" si="0"/>
        <v>33343.65</v>
      </c>
      <c r="D12" s="84">
        <f t="shared" si="0"/>
        <v>32346.178</v>
      </c>
      <c r="E12" s="65">
        <f>'[1]Sheet1'!F12</f>
        <v>12542.6</v>
      </c>
      <c r="F12" s="65">
        <f>'[1]Sheet1'!G12</f>
        <v>12542.598</v>
      </c>
      <c r="G12" s="65">
        <f>'[1]Sheet1'!H12</f>
        <v>2498.3</v>
      </c>
      <c r="H12" s="65">
        <f>'[1]Sheet1'!I12</f>
        <v>2285.411</v>
      </c>
      <c r="I12" s="65">
        <f>'[1]Sheet1'!J12</f>
        <v>7503.33</v>
      </c>
      <c r="J12" s="65">
        <f>'[1]Sheet1'!K12</f>
        <v>6890.28</v>
      </c>
      <c r="K12" s="65">
        <f>'[1]Sheet1'!L12</f>
        <v>0</v>
      </c>
      <c r="L12" s="65">
        <f>'[1]Sheet1'!M12</f>
        <v>0</v>
      </c>
      <c r="M12" s="65">
        <f>'[1]Sheet1'!N12</f>
        <v>0</v>
      </c>
      <c r="N12" s="65">
        <f>'[1]Sheet1'!O12</f>
        <v>0</v>
      </c>
      <c r="O12" s="65">
        <f>'[1]Sheet1'!P12</f>
        <v>0</v>
      </c>
      <c r="P12" s="65">
        <f>'[1]Sheet1'!Q12</f>
        <v>0</v>
      </c>
      <c r="Q12" s="65">
        <f>'[1]Sheet1'!R12</f>
        <v>1400</v>
      </c>
      <c r="R12" s="65">
        <f>'[1]Sheet1'!S12</f>
        <v>1350</v>
      </c>
      <c r="S12" s="65">
        <f>'[1]Sheet1'!T12</f>
        <v>125</v>
      </c>
      <c r="T12" s="65">
        <f>'[1]Sheet1'!U12</f>
        <v>4.5</v>
      </c>
      <c r="U12" s="85">
        <f aca="true" t="shared" si="1" ref="U12:V75">E12+G12+I12+K12+M12+O12+Q12+S12</f>
        <v>24069.230000000003</v>
      </c>
      <c r="V12" s="85">
        <f t="shared" si="1"/>
        <v>23072.789</v>
      </c>
      <c r="W12" s="65">
        <f>'[1]Sheet1'!X12</f>
        <v>12577.02</v>
      </c>
      <c r="X12" s="65">
        <f>'[1]Sheet1'!Y12</f>
        <v>12160.957</v>
      </c>
      <c r="Y12" s="65">
        <f>'[1]Sheet1'!Z12</f>
        <v>0</v>
      </c>
      <c r="Z12" s="65">
        <f>'[1]Sheet1'!AA12</f>
        <v>0</v>
      </c>
      <c r="AA12" s="65">
        <f>'[1]Sheet1'!AB12</f>
        <v>0</v>
      </c>
      <c r="AB12" s="65">
        <f>'[1]Sheet1'!AC12</f>
        <v>0</v>
      </c>
      <c r="AC12" s="65">
        <f>'[1]Sheet1'!AD12</f>
        <v>0</v>
      </c>
      <c r="AD12" s="65">
        <f>'[1]Sheet1'!AE12</f>
        <v>0</v>
      </c>
      <c r="AE12" s="65">
        <f>'[1]Sheet1'!AF12</f>
        <v>-3302.6</v>
      </c>
      <c r="AF12" s="65">
        <f>'[1]Sheet1'!AG12</f>
        <v>-2887.568</v>
      </c>
      <c r="AG12" s="65">
        <f>'[1]Sheet1'!AH12</f>
        <v>0</v>
      </c>
      <c r="AH12" s="65">
        <f>'[1]Sheet1'!AI12</f>
        <v>0</v>
      </c>
      <c r="AI12" s="65">
        <f>'[1]Sheet1'!AJ12</f>
        <v>6014.957</v>
      </c>
      <c r="AJ12" s="65">
        <f>'[1]Sheet1'!AK12</f>
        <v>6015</v>
      </c>
      <c r="AK12" s="85">
        <f aca="true" t="shared" si="2" ref="AK12:AL75">AG12++AE12+AC12+AA12+Y12+W12+AI12</f>
        <v>15289.377</v>
      </c>
      <c r="AL12" s="85">
        <f>AH12++AF12+AD12+AB12+Z12+X12+AJ12</f>
        <v>15288.389</v>
      </c>
    </row>
    <row r="13" spans="1:38" s="86" customFormat="1" ht="16.5" customHeight="1">
      <c r="A13" s="5">
        <v>3</v>
      </c>
      <c r="B13" s="83" t="s">
        <v>95</v>
      </c>
      <c r="C13" s="84">
        <f t="shared" si="0"/>
        <v>5687.61</v>
      </c>
      <c r="D13" s="84">
        <f t="shared" si="0"/>
        <v>5285.223</v>
      </c>
      <c r="E13" s="65">
        <f>'[1]Sheet1'!F14</f>
        <v>3095</v>
      </c>
      <c r="F13" s="65">
        <f>'[1]Sheet1'!G14</f>
        <v>3029.679</v>
      </c>
      <c r="G13" s="65">
        <f>'[1]Sheet1'!H14</f>
        <v>690</v>
      </c>
      <c r="H13" s="65">
        <f>'[1]Sheet1'!I14</f>
        <v>676.049</v>
      </c>
      <c r="I13" s="65">
        <f>'[1]Sheet1'!J14</f>
        <v>695.11</v>
      </c>
      <c r="J13" s="65">
        <f>'[1]Sheet1'!K14</f>
        <v>485.44</v>
      </c>
      <c r="K13" s="65">
        <f>'[1]Sheet1'!L14</f>
        <v>0</v>
      </c>
      <c r="L13" s="65">
        <f>'[1]Sheet1'!M14</f>
        <v>0</v>
      </c>
      <c r="M13" s="65">
        <f>'[1]Sheet1'!N14</f>
        <v>0</v>
      </c>
      <c r="N13" s="65">
        <f>'[1]Sheet1'!O14</f>
        <v>0</v>
      </c>
      <c r="O13" s="65">
        <f>'[1]Sheet1'!P14</f>
        <v>0</v>
      </c>
      <c r="P13" s="65">
        <f>'[1]Sheet1'!Q14</f>
        <v>0</v>
      </c>
      <c r="Q13" s="65">
        <f>'[1]Sheet1'!R14</f>
        <v>100</v>
      </c>
      <c r="R13" s="65">
        <f>'[1]Sheet1'!S14</f>
        <v>50</v>
      </c>
      <c r="S13" s="65">
        <f>'[1]Sheet1'!T14</f>
        <v>63</v>
      </c>
      <c r="T13" s="65">
        <f>'[1]Sheet1'!U14</f>
        <v>0</v>
      </c>
      <c r="U13" s="85">
        <f t="shared" si="1"/>
        <v>4643.11</v>
      </c>
      <c r="V13" s="85">
        <f t="shared" si="1"/>
        <v>4241.168</v>
      </c>
      <c r="W13" s="65">
        <f>'[1]Sheet1'!X14</f>
        <v>11044.5</v>
      </c>
      <c r="X13" s="65">
        <f>'[1]Sheet1'!Y14</f>
        <v>1462</v>
      </c>
      <c r="Y13" s="65">
        <f>'[1]Sheet1'!Z14</f>
        <v>0</v>
      </c>
      <c r="Z13" s="65">
        <f>'[1]Sheet1'!AA14</f>
        <v>0</v>
      </c>
      <c r="AA13" s="65">
        <f>'[1]Sheet1'!AB14</f>
        <v>0</v>
      </c>
      <c r="AB13" s="65">
        <f>'[1]Sheet1'!AC14</f>
        <v>0</v>
      </c>
      <c r="AC13" s="65">
        <f>'[1]Sheet1'!AD14</f>
        <v>0</v>
      </c>
      <c r="AD13" s="65">
        <f>'[1]Sheet1'!AE14</f>
        <v>-336.6</v>
      </c>
      <c r="AE13" s="65">
        <f>'[1]Sheet1'!AF14</f>
        <v>-10000</v>
      </c>
      <c r="AF13" s="65">
        <f>'[1]Sheet1'!AG14</f>
        <v>-81.345</v>
      </c>
      <c r="AG13" s="65">
        <f>'[1]Sheet1'!AH14</f>
        <v>0</v>
      </c>
      <c r="AH13" s="65">
        <f>'[1]Sheet1'!AI14</f>
        <v>0</v>
      </c>
      <c r="AI13" s="65">
        <f>'[1]Sheet1'!AJ14</f>
        <v>750</v>
      </c>
      <c r="AJ13" s="65">
        <f>'[1]Sheet1'!AK14</f>
        <v>750</v>
      </c>
      <c r="AK13" s="85">
        <f t="shared" si="2"/>
        <v>1794.5</v>
      </c>
      <c r="AL13" s="85">
        <f t="shared" si="2"/>
        <v>1794.0549999999998</v>
      </c>
    </row>
    <row r="14" spans="1:38" s="86" customFormat="1" ht="16.5" customHeight="1">
      <c r="A14" s="5">
        <v>4</v>
      </c>
      <c r="B14" s="83" t="s">
        <v>96</v>
      </c>
      <c r="C14" s="84">
        <f t="shared" si="0"/>
        <v>17308.03</v>
      </c>
      <c r="D14" s="84">
        <f t="shared" si="0"/>
        <v>15435.138</v>
      </c>
      <c r="E14" s="65">
        <f>'[1]Sheet1'!F16</f>
        <v>7922</v>
      </c>
      <c r="F14" s="65">
        <f>'[1]Sheet1'!G16</f>
        <v>7751.478</v>
      </c>
      <c r="G14" s="65">
        <f>'[1]Sheet1'!H16</f>
        <v>2972.3</v>
      </c>
      <c r="H14" s="65">
        <f>'[1]Sheet1'!I16</f>
        <v>2919.3</v>
      </c>
      <c r="I14" s="65">
        <f>'[1]Sheet1'!J16</f>
        <v>2770.93</v>
      </c>
      <c r="J14" s="65">
        <f>'[1]Sheet1'!K16</f>
        <v>2264.36</v>
      </c>
      <c r="K14" s="65">
        <f>'[1]Sheet1'!L16</f>
        <v>0</v>
      </c>
      <c r="L14" s="65">
        <f>'[1]Sheet1'!M16</f>
        <v>0</v>
      </c>
      <c r="M14" s="65">
        <f>'[1]Sheet1'!N16</f>
        <v>0</v>
      </c>
      <c r="N14" s="65">
        <f>'[1]Sheet1'!O16</f>
        <v>0</v>
      </c>
      <c r="O14" s="65">
        <f>'[1]Sheet1'!P16</f>
        <v>0</v>
      </c>
      <c r="P14" s="65">
        <f>'[1]Sheet1'!Q16</f>
        <v>0</v>
      </c>
      <c r="Q14" s="65">
        <f>'[1]Sheet1'!R16</f>
        <v>2200</v>
      </c>
      <c r="R14" s="65">
        <f>'[1]Sheet1'!S16</f>
        <v>2200</v>
      </c>
      <c r="S14" s="65">
        <f>'[1]Sheet1'!T16</f>
        <v>0</v>
      </c>
      <c r="T14" s="65">
        <f>'[1]Sheet1'!U16</f>
        <v>0</v>
      </c>
      <c r="U14" s="85">
        <f t="shared" si="1"/>
        <v>15865.23</v>
      </c>
      <c r="V14" s="85">
        <f t="shared" si="1"/>
        <v>15135.138</v>
      </c>
      <c r="W14" s="65">
        <f>'[1]Sheet1'!X16</f>
        <v>3142.8</v>
      </c>
      <c r="X14" s="65">
        <f>'[1]Sheet1'!Y16</f>
        <v>500</v>
      </c>
      <c r="Y14" s="65">
        <f>'[1]Sheet1'!Z16</f>
        <v>0</v>
      </c>
      <c r="Z14" s="65">
        <f>'[1]Sheet1'!AA16</f>
        <v>0</v>
      </c>
      <c r="AA14" s="65">
        <f>'[1]Sheet1'!AB16</f>
        <v>0</v>
      </c>
      <c r="AB14" s="65">
        <f>'[1]Sheet1'!AC16</f>
        <v>0</v>
      </c>
      <c r="AC14" s="65">
        <f>'[1]Sheet1'!AD16</f>
        <v>-1000</v>
      </c>
      <c r="AD14" s="65">
        <f>'[1]Sheet1'!AE16</f>
        <v>-200</v>
      </c>
      <c r="AE14" s="65">
        <f>'[1]Sheet1'!AF16</f>
        <v>-700</v>
      </c>
      <c r="AF14" s="65">
        <f>'[1]Sheet1'!AG16</f>
        <v>0</v>
      </c>
      <c r="AG14" s="65">
        <f>'[1]Sheet1'!AH16</f>
        <v>0</v>
      </c>
      <c r="AH14" s="65">
        <f>'[1]Sheet1'!AI16</f>
        <v>0</v>
      </c>
      <c r="AI14" s="65">
        <f>AJ14</f>
        <v>800</v>
      </c>
      <c r="AJ14" s="65">
        <f>'[1]Sheet1'!AK16</f>
        <v>800</v>
      </c>
      <c r="AK14" s="85">
        <f t="shared" si="2"/>
        <v>2242.8</v>
      </c>
      <c r="AL14" s="85">
        <f t="shared" si="2"/>
        <v>1100</v>
      </c>
    </row>
    <row r="15" spans="1:38" s="86" customFormat="1" ht="16.5" customHeight="1">
      <c r="A15" s="5">
        <v>5</v>
      </c>
      <c r="B15" s="83" t="s">
        <v>97</v>
      </c>
      <c r="C15" s="84">
        <f t="shared" si="0"/>
        <v>23978.110099999998</v>
      </c>
      <c r="D15" s="84">
        <f t="shared" si="0"/>
        <v>19651.746</v>
      </c>
      <c r="E15" s="65">
        <f>'[1]Sheet1'!F21</f>
        <v>11850</v>
      </c>
      <c r="F15" s="65">
        <f>'[1]Sheet1'!G21</f>
        <v>11182.446</v>
      </c>
      <c r="G15" s="65">
        <f>'[1]Sheet1'!H21</f>
        <v>3000</v>
      </c>
      <c r="H15" s="65">
        <f>'[1]Sheet1'!I21</f>
        <v>2900</v>
      </c>
      <c r="I15" s="65">
        <f>'[1]Sheet1'!J21</f>
        <v>2450.0001</v>
      </c>
      <c r="J15" s="65">
        <f>'[1]Sheet1'!K21</f>
        <v>1040.8</v>
      </c>
      <c r="K15" s="65">
        <f>'[1]Sheet1'!L21</f>
        <v>0</v>
      </c>
      <c r="L15" s="65">
        <f>'[1]Sheet1'!M21</f>
        <v>0</v>
      </c>
      <c r="M15" s="65">
        <f>'[1]Sheet1'!N21</f>
        <v>0</v>
      </c>
      <c r="N15" s="65">
        <f>'[1]Sheet1'!O21</f>
        <v>0</v>
      </c>
      <c r="O15" s="65">
        <f>'[1]Sheet1'!P21</f>
        <v>3440.01</v>
      </c>
      <c r="P15" s="65">
        <f>'[1]Sheet1'!Q21</f>
        <v>2641</v>
      </c>
      <c r="Q15" s="65">
        <f>'[1]Sheet1'!R21</f>
        <v>1372.5</v>
      </c>
      <c r="R15" s="65">
        <f>'[1]Sheet1'!S21</f>
        <v>1222.5</v>
      </c>
      <c r="S15" s="65">
        <f>'[1]Sheet1'!T21</f>
        <v>0</v>
      </c>
      <c r="T15" s="65">
        <f>'[1]Sheet1'!U21</f>
        <v>0</v>
      </c>
      <c r="U15" s="85">
        <f t="shared" si="1"/>
        <v>22112.5101</v>
      </c>
      <c r="V15" s="85">
        <f t="shared" si="1"/>
        <v>18986.746</v>
      </c>
      <c r="W15" s="65">
        <f>'[1]Sheet1'!X21</f>
        <v>3865.6</v>
      </c>
      <c r="X15" s="65">
        <f>'[1]Sheet1'!Y21</f>
        <v>665</v>
      </c>
      <c r="Y15" s="65">
        <f>'[1]Sheet1'!Z21</f>
        <v>0</v>
      </c>
      <c r="Z15" s="65">
        <f>'[1]Sheet1'!AA21</f>
        <v>0</v>
      </c>
      <c r="AA15" s="65">
        <f>'[1]Sheet1'!AB21</f>
        <v>0</v>
      </c>
      <c r="AB15" s="65">
        <f>'[1]Sheet1'!AC21</f>
        <v>0</v>
      </c>
      <c r="AC15" s="65">
        <f>'[1]Sheet1'!AD21</f>
        <v>0</v>
      </c>
      <c r="AD15" s="65">
        <f>'[1]Sheet1'!AE21</f>
        <v>0</v>
      </c>
      <c r="AE15" s="65">
        <f>'[1]Sheet1'!AF21</f>
        <v>-2000</v>
      </c>
      <c r="AF15" s="65">
        <f>'[1]Sheet1'!AG21</f>
        <v>0</v>
      </c>
      <c r="AG15" s="65">
        <f>'[1]Sheet1'!AH21</f>
        <v>0</v>
      </c>
      <c r="AH15" s="65">
        <f>'[1]Sheet1'!AI21</f>
        <v>0</v>
      </c>
      <c r="AI15" s="65">
        <f>AJ15</f>
        <v>1200</v>
      </c>
      <c r="AJ15" s="65">
        <f>'[1]Sheet1'!AK21</f>
        <v>1200</v>
      </c>
      <c r="AK15" s="85">
        <f t="shared" si="2"/>
        <v>3065.6</v>
      </c>
      <c r="AL15" s="85">
        <f t="shared" si="2"/>
        <v>1865</v>
      </c>
    </row>
    <row r="16" spans="1:38" s="86" customFormat="1" ht="16.5" customHeight="1">
      <c r="A16" s="5">
        <v>6</v>
      </c>
      <c r="B16" s="83" t="s">
        <v>98</v>
      </c>
      <c r="C16" s="84">
        <f t="shared" si="0"/>
        <v>32311.89</v>
      </c>
      <c r="D16" s="84">
        <f t="shared" si="0"/>
        <v>18800.114999999998</v>
      </c>
      <c r="E16" s="65">
        <f>'[1]Sheet1'!F8</f>
        <v>14468.91</v>
      </c>
      <c r="F16" s="65">
        <f>'[1]Sheet1'!G8</f>
        <v>14442.956</v>
      </c>
      <c r="G16" s="65">
        <f>'[1]Sheet1'!H8</f>
        <v>3450.01</v>
      </c>
      <c r="H16" s="65">
        <f>'[1]Sheet1'!I8</f>
        <v>3445.503</v>
      </c>
      <c r="I16" s="65">
        <f>'[1]Sheet1'!J8</f>
        <v>2686.02</v>
      </c>
      <c r="J16" s="65">
        <f>'[1]Sheet1'!K8</f>
        <v>1910.71</v>
      </c>
      <c r="K16" s="65">
        <f>'[1]Sheet1'!L8</f>
        <v>0</v>
      </c>
      <c r="L16" s="65">
        <f>'[1]Sheet1'!M8</f>
        <v>0</v>
      </c>
      <c r="M16" s="65">
        <f>'[1]Sheet1'!N8</f>
        <v>0</v>
      </c>
      <c r="N16" s="65">
        <f>'[1]Sheet1'!O8</f>
        <v>0</v>
      </c>
      <c r="O16" s="65">
        <f>'[1]Sheet1'!P8</f>
        <v>4403.22</v>
      </c>
      <c r="P16" s="65">
        <f>'[1]Sheet1'!Q8</f>
        <v>2344</v>
      </c>
      <c r="Q16" s="65">
        <f>'[1]Sheet1'!R8</f>
        <v>2060</v>
      </c>
      <c r="R16" s="65">
        <f>'[1]Sheet1'!S8</f>
        <v>2060</v>
      </c>
      <c r="S16" s="65">
        <f>'[1]Sheet1'!T8</f>
        <v>17.01</v>
      </c>
      <c r="T16" s="65">
        <f>'[1]Sheet1'!U8</f>
        <v>2</v>
      </c>
      <c r="U16" s="85">
        <f t="shared" si="1"/>
        <v>27085.17</v>
      </c>
      <c r="V16" s="85">
        <f t="shared" si="1"/>
        <v>24205.168999999998</v>
      </c>
      <c r="W16" s="65">
        <f>'[1]Sheet1'!X8</f>
        <v>27126.72</v>
      </c>
      <c r="X16" s="65">
        <f>'[1]Sheet1'!Y8</f>
        <v>4941.406</v>
      </c>
      <c r="Y16" s="65">
        <f>'[1]Sheet1'!Z8</f>
        <v>0</v>
      </c>
      <c r="Z16" s="65">
        <f>'[1]Sheet1'!AA8</f>
        <v>0</v>
      </c>
      <c r="AA16" s="65">
        <f>'[1]Sheet1'!AB8</f>
        <v>0</v>
      </c>
      <c r="AB16" s="65">
        <f>'[1]Sheet1'!AC8</f>
        <v>0</v>
      </c>
      <c r="AC16" s="65">
        <f>'[1]Sheet1'!AD8</f>
        <v>0</v>
      </c>
      <c r="AD16" s="65">
        <f>'[1]Sheet1'!AE8</f>
        <v>0</v>
      </c>
      <c r="AE16" s="65">
        <f>'[1]Sheet1'!AF8</f>
        <v>-21900</v>
      </c>
      <c r="AF16" s="65">
        <f>'[1]Sheet1'!AG8</f>
        <v>-10346.46</v>
      </c>
      <c r="AG16" s="65">
        <f>'[1]Sheet1'!AH8</f>
        <v>0</v>
      </c>
      <c r="AH16" s="65">
        <f>'[1]Sheet1'!AI8</f>
        <v>0</v>
      </c>
      <c r="AI16" s="65">
        <f>AJ16</f>
        <v>1433.9</v>
      </c>
      <c r="AJ16" s="65">
        <f>'[1]Sheet1'!AK8</f>
        <v>1433.9</v>
      </c>
      <c r="AK16" s="85">
        <f t="shared" si="2"/>
        <v>6660.620000000001</v>
      </c>
      <c r="AL16" s="85">
        <f t="shared" si="2"/>
        <v>-3971.153999999999</v>
      </c>
    </row>
    <row r="17" spans="1:38" ht="16.5" customHeight="1">
      <c r="A17" s="5">
        <v>7</v>
      </c>
      <c r="B17" s="83" t="s">
        <v>99</v>
      </c>
      <c r="C17" s="84">
        <f t="shared" si="0"/>
        <v>14019.580000000002</v>
      </c>
      <c r="D17" s="84">
        <f t="shared" si="0"/>
        <v>12503.81</v>
      </c>
      <c r="E17" s="65">
        <f>'[1]Sheet1'!F24</f>
        <v>6852</v>
      </c>
      <c r="F17" s="65">
        <f>'[1]Sheet1'!G24</f>
        <v>6733.102</v>
      </c>
      <c r="G17" s="65">
        <f>'[1]Sheet1'!H24</f>
        <v>1732.8</v>
      </c>
      <c r="H17" s="65">
        <f>'[1]Sheet1'!I24</f>
        <v>1643.3</v>
      </c>
      <c r="I17" s="65">
        <f>'[1]Sheet1'!J24</f>
        <v>1236.34</v>
      </c>
      <c r="J17" s="65">
        <f>'[1]Sheet1'!K24</f>
        <v>831.858</v>
      </c>
      <c r="K17" s="65">
        <f>'[1]Sheet1'!L24</f>
        <v>0</v>
      </c>
      <c r="L17" s="65">
        <f>'[1]Sheet1'!M24</f>
        <v>0</v>
      </c>
      <c r="M17" s="65">
        <f>'[1]Sheet1'!N24</f>
        <v>0</v>
      </c>
      <c r="N17" s="65">
        <f>'[1]Sheet1'!O24</f>
        <v>0</v>
      </c>
      <c r="O17" s="65">
        <f>'[1]Sheet1'!P24</f>
        <v>860.02</v>
      </c>
      <c r="P17" s="65">
        <f>'[1]Sheet1'!Q24</f>
        <v>600</v>
      </c>
      <c r="Q17" s="65">
        <f>'[1]Sheet1'!R24</f>
        <v>200</v>
      </c>
      <c r="R17" s="65">
        <f>'[1]Sheet1'!S24</f>
        <v>200</v>
      </c>
      <c r="S17" s="65">
        <f>'[1]Sheet1'!T24</f>
        <v>275.02</v>
      </c>
      <c r="T17" s="65">
        <f>'[1]Sheet1'!U24</f>
        <v>143.8</v>
      </c>
      <c r="U17" s="85">
        <f t="shared" si="1"/>
        <v>11156.18</v>
      </c>
      <c r="V17" s="85">
        <f t="shared" si="1"/>
        <v>10152.06</v>
      </c>
      <c r="W17" s="87">
        <f>'[1]Sheet1'!X24</f>
        <v>48863.4</v>
      </c>
      <c r="X17" s="87">
        <f>'[1]Sheet1'!Y24</f>
        <v>12580</v>
      </c>
      <c r="Y17" s="87">
        <f>'[1]Sheet1'!Z24</f>
        <v>0</v>
      </c>
      <c r="Z17" s="87">
        <f>'[1]Sheet1'!AA24</f>
        <v>0</v>
      </c>
      <c r="AA17" s="87">
        <f>'[1]Sheet1'!AB24</f>
        <v>0</v>
      </c>
      <c r="AB17" s="87">
        <f>'[1]Sheet1'!AC24</f>
        <v>0</v>
      </c>
      <c r="AC17" s="87">
        <f>'[1]Sheet1'!AD24</f>
        <v>0</v>
      </c>
      <c r="AD17" s="87">
        <f>'[1]Sheet1'!AE24</f>
        <v>0</v>
      </c>
      <c r="AE17" s="87">
        <f>'[1]Sheet1'!AF24</f>
        <v>-46000</v>
      </c>
      <c r="AF17" s="87">
        <f>'[1]Sheet1'!AG24</f>
        <v>-10228.25</v>
      </c>
      <c r="AG17" s="87">
        <f>'[1]Sheet1'!AH24</f>
        <v>0</v>
      </c>
      <c r="AH17" s="87">
        <f>'[1]Sheet1'!AI24</f>
        <v>0</v>
      </c>
      <c r="AI17" s="87">
        <f>'[1]Sheet1'!AJ24</f>
        <v>1500</v>
      </c>
      <c r="AJ17" s="87">
        <f>'[1]Sheet1'!AK24</f>
        <v>1500</v>
      </c>
      <c r="AK17" s="85">
        <f t="shared" si="2"/>
        <v>4363.4000000000015</v>
      </c>
      <c r="AL17" s="85">
        <f t="shared" si="2"/>
        <v>3851.75</v>
      </c>
    </row>
    <row r="18" spans="1:38" ht="16.5" customHeight="1">
      <c r="A18" s="5">
        <v>8</v>
      </c>
      <c r="B18" s="83" t="s">
        <v>100</v>
      </c>
      <c r="C18" s="84">
        <f t="shared" si="0"/>
        <v>25650.2501</v>
      </c>
      <c r="D18" s="84">
        <f t="shared" si="0"/>
        <v>23644.109</v>
      </c>
      <c r="E18" s="65">
        <f>'[1]Sheet1'!F26</f>
        <v>12258</v>
      </c>
      <c r="F18" s="65">
        <f>'[1]Sheet1'!G26</f>
        <v>12253.114</v>
      </c>
      <c r="G18" s="65">
        <f>'[1]Sheet1'!H26</f>
        <v>2366</v>
      </c>
      <c r="H18" s="65">
        <f>'[1]Sheet1'!I26</f>
        <v>2212.852</v>
      </c>
      <c r="I18" s="65">
        <f>'[1]Sheet1'!J26</f>
        <v>3073.02</v>
      </c>
      <c r="J18" s="65">
        <f>'[1]Sheet1'!K26</f>
        <v>2535.14</v>
      </c>
      <c r="K18" s="65">
        <f>'[1]Sheet1'!L26</f>
        <v>0</v>
      </c>
      <c r="L18" s="65">
        <f>'[1]Sheet1'!M26</f>
        <v>0</v>
      </c>
      <c r="M18" s="65">
        <f>'[1]Sheet1'!N26</f>
        <v>0</v>
      </c>
      <c r="N18" s="65">
        <f>'[1]Sheet1'!O26</f>
        <v>0</v>
      </c>
      <c r="O18" s="65">
        <f>'[1]Sheet1'!P26</f>
        <v>2592.5201</v>
      </c>
      <c r="P18" s="65">
        <f>'[1]Sheet1'!Q26</f>
        <v>1945.5</v>
      </c>
      <c r="Q18" s="65">
        <f>'[1]Sheet1'!R26</f>
        <v>1700</v>
      </c>
      <c r="R18" s="65">
        <f>'[1]Sheet1'!S26</f>
        <v>1600</v>
      </c>
      <c r="S18" s="65">
        <f>'[1]Sheet1'!T26</f>
        <v>0</v>
      </c>
      <c r="T18" s="65">
        <f>'[1]Sheet1'!U26</f>
        <v>0</v>
      </c>
      <c r="U18" s="85">
        <f t="shared" si="1"/>
        <v>21989.540100000002</v>
      </c>
      <c r="V18" s="85">
        <f t="shared" si="1"/>
        <v>20546.606</v>
      </c>
      <c r="W18" s="87">
        <f>'[1]Sheet1'!X26</f>
        <v>10500.01</v>
      </c>
      <c r="X18" s="87">
        <f>'[1]Sheet1'!Y26</f>
        <v>3097.503</v>
      </c>
      <c r="Y18" s="87">
        <f>'[1]Sheet1'!Z26</f>
        <v>0</v>
      </c>
      <c r="Z18" s="87">
        <f>'[1]Sheet1'!AA26</f>
        <v>0</v>
      </c>
      <c r="AA18" s="87">
        <f>'[1]Sheet1'!AB26</f>
        <v>0</v>
      </c>
      <c r="AB18" s="87">
        <f>'[1]Sheet1'!AC26</f>
        <v>0</v>
      </c>
      <c r="AC18" s="87">
        <f>'[1]Sheet1'!AD26</f>
        <v>0</v>
      </c>
      <c r="AD18" s="87">
        <f>'[1]Sheet1'!AE26</f>
        <v>0</v>
      </c>
      <c r="AE18" s="87">
        <f>'[1]Sheet1'!AF26</f>
        <v>-6839.3</v>
      </c>
      <c r="AF18" s="87">
        <f>'[1]Sheet1'!AG26</f>
        <v>0</v>
      </c>
      <c r="AG18" s="87">
        <f>'[1]Sheet1'!AH26</f>
        <v>0</v>
      </c>
      <c r="AH18" s="87">
        <f>'[1]Sheet1'!AI26</f>
        <v>0</v>
      </c>
      <c r="AI18" s="87">
        <f>AJ18</f>
        <v>1000</v>
      </c>
      <c r="AJ18" s="87">
        <f>'[1]Sheet1'!AK26</f>
        <v>1000</v>
      </c>
      <c r="AK18" s="85">
        <f t="shared" si="2"/>
        <v>4660.71</v>
      </c>
      <c r="AL18" s="85">
        <f t="shared" si="2"/>
        <v>4097.503000000001</v>
      </c>
    </row>
    <row r="19" spans="1:38" ht="16.5" customHeight="1">
      <c r="A19" s="5">
        <v>9</v>
      </c>
      <c r="B19" s="83" t="s">
        <v>101</v>
      </c>
      <c r="C19" s="84">
        <f t="shared" si="0"/>
        <v>15342.009999999998</v>
      </c>
      <c r="D19" s="84">
        <f t="shared" si="0"/>
        <v>14032.478</v>
      </c>
      <c r="E19" s="65">
        <f>'[1]Sheet1'!F28</f>
        <v>8506.8</v>
      </c>
      <c r="F19" s="65">
        <f>'[1]Sheet1'!G28</f>
        <v>8052.927</v>
      </c>
      <c r="G19" s="65">
        <f>'[1]Sheet1'!H28</f>
        <v>2310.2</v>
      </c>
      <c r="H19" s="65">
        <f>'[1]Sheet1'!I28</f>
        <v>2310.042</v>
      </c>
      <c r="I19" s="65">
        <f>'[1]Sheet1'!J28</f>
        <v>986.8</v>
      </c>
      <c r="J19" s="65">
        <f>'[1]Sheet1'!K28</f>
        <v>458.471</v>
      </c>
      <c r="K19" s="65">
        <f>'[1]Sheet1'!L28</f>
        <v>0</v>
      </c>
      <c r="L19" s="65">
        <f>'[1]Sheet1'!M28</f>
        <v>0</v>
      </c>
      <c r="M19" s="65">
        <f>'[1]Sheet1'!N28</f>
        <v>0</v>
      </c>
      <c r="N19" s="65">
        <f>'[1]Sheet1'!O28</f>
        <v>0</v>
      </c>
      <c r="O19" s="65">
        <f>'[1]Sheet1'!P28</f>
        <v>0</v>
      </c>
      <c r="P19" s="65">
        <f>'[1]Sheet1'!Q28</f>
        <v>0</v>
      </c>
      <c r="Q19" s="65">
        <f>'[1]Sheet1'!R28</f>
        <v>526</v>
      </c>
      <c r="R19" s="65">
        <f>'[1]Sheet1'!S28</f>
        <v>396</v>
      </c>
      <c r="S19" s="65">
        <f>'[1]Sheet1'!T28</f>
        <v>11</v>
      </c>
      <c r="T19" s="65">
        <f>'[1]Sheet1'!U28</f>
        <v>10.36</v>
      </c>
      <c r="U19" s="85">
        <f t="shared" si="1"/>
        <v>12340.8</v>
      </c>
      <c r="V19" s="85">
        <f t="shared" si="1"/>
        <v>11227.8</v>
      </c>
      <c r="W19" s="87">
        <f>'[1]Sheet1'!X28</f>
        <v>4001.21</v>
      </c>
      <c r="X19" s="87">
        <f>'[1]Sheet1'!Y28</f>
        <v>2980.718</v>
      </c>
      <c r="Y19" s="87">
        <f>'[1]Sheet1'!Z28</f>
        <v>0</v>
      </c>
      <c r="Z19" s="87">
        <f>'[1]Sheet1'!AA28</f>
        <v>0</v>
      </c>
      <c r="AA19" s="87">
        <f>'[1]Sheet1'!AB28</f>
        <v>0</v>
      </c>
      <c r="AB19" s="87">
        <f>'[1]Sheet1'!AC28</f>
        <v>0</v>
      </c>
      <c r="AC19" s="87">
        <f>'[1]Sheet1'!AD28</f>
        <v>0</v>
      </c>
      <c r="AD19" s="87">
        <f>'[1]Sheet1'!AE28</f>
        <v>0</v>
      </c>
      <c r="AE19" s="87">
        <f>'[1]Sheet1'!AF28</f>
        <v>-1000</v>
      </c>
      <c r="AF19" s="87">
        <f>'[1]Sheet1'!AG28</f>
        <v>-176.04</v>
      </c>
      <c r="AG19" s="87">
        <f>'[1]Sheet1'!AH28</f>
        <v>0</v>
      </c>
      <c r="AH19" s="87">
        <f>'[1]Sheet1'!AI28</f>
        <v>0</v>
      </c>
      <c r="AI19" s="87">
        <f aca="true" t="shared" si="3" ref="AI19:AI25">AJ19</f>
        <v>2507.2</v>
      </c>
      <c r="AJ19" s="87">
        <f>'[1]Sheet1'!AK28</f>
        <v>2507.2</v>
      </c>
      <c r="AK19" s="85">
        <f t="shared" si="2"/>
        <v>5508.41</v>
      </c>
      <c r="AL19" s="85">
        <f t="shared" si="2"/>
        <v>5311.878</v>
      </c>
    </row>
    <row r="20" spans="1:38" ht="16.5" customHeight="1">
      <c r="A20" s="5">
        <v>10</v>
      </c>
      <c r="B20" s="83" t="s">
        <v>102</v>
      </c>
      <c r="C20" s="84">
        <f t="shared" si="0"/>
        <v>76815.88</v>
      </c>
      <c r="D20" s="84">
        <f t="shared" si="0"/>
        <v>62186.75940000001</v>
      </c>
      <c r="E20" s="65">
        <f>'[1]Sheet1'!F32</f>
        <v>20063</v>
      </c>
      <c r="F20" s="65">
        <f>'[1]Sheet1'!G32</f>
        <v>17356.927</v>
      </c>
      <c r="G20" s="65">
        <f>'[1]Sheet1'!H32</f>
        <v>4020.5</v>
      </c>
      <c r="H20" s="65">
        <f>'[1]Sheet1'!I32</f>
        <v>3514.229</v>
      </c>
      <c r="I20" s="65">
        <f>'[1]Sheet1'!J32</f>
        <v>24254.51</v>
      </c>
      <c r="J20" s="65">
        <f>'[1]Sheet1'!K32</f>
        <v>14326.304</v>
      </c>
      <c r="K20" s="65">
        <f>'[1]Sheet1'!L32</f>
        <v>0</v>
      </c>
      <c r="L20" s="65">
        <f>'[1]Sheet1'!M32</f>
        <v>0</v>
      </c>
      <c r="M20" s="65">
        <f>'[1]Sheet1'!N32</f>
        <v>0</v>
      </c>
      <c r="N20" s="65">
        <f>'[1]Sheet1'!O32</f>
        <v>0</v>
      </c>
      <c r="O20" s="65">
        <f>'[1]Sheet1'!P32</f>
        <v>1167.01</v>
      </c>
      <c r="P20" s="65">
        <f>'[1]Sheet1'!Q32</f>
        <v>1167</v>
      </c>
      <c r="Q20" s="65">
        <f>'[1]Sheet1'!R32</f>
        <v>5433</v>
      </c>
      <c r="R20" s="65">
        <f>'[1]Sheet1'!S32</f>
        <v>4500</v>
      </c>
      <c r="S20" s="65">
        <f>'[1]Sheet1'!T32</f>
        <v>1142.01</v>
      </c>
      <c r="T20" s="65">
        <f>'[1]Sheet1'!U32</f>
        <v>850</v>
      </c>
      <c r="U20" s="85">
        <f t="shared" si="1"/>
        <v>56080.03</v>
      </c>
      <c r="V20" s="85">
        <f t="shared" si="1"/>
        <v>41714.46</v>
      </c>
      <c r="W20" s="87">
        <f>'[1]Sheet1'!X32</f>
        <v>26462.33</v>
      </c>
      <c r="X20" s="87">
        <f>'[1]Sheet1'!Y32</f>
        <v>26397.2684</v>
      </c>
      <c r="Y20" s="87">
        <f>'[1]Sheet1'!Z32</f>
        <v>0</v>
      </c>
      <c r="Z20" s="87">
        <f>'[1]Sheet1'!AA32</f>
        <v>0</v>
      </c>
      <c r="AA20" s="87">
        <f>'[1]Sheet1'!AB32</f>
        <v>0</v>
      </c>
      <c r="AB20" s="87">
        <f>'[1]Sheet1'!AC32</f>
        <v>0</v>
      </c>
      <c r="AC20" s="87">
        <f>'[1]Sheet1'!AD32</f>
        <v>0</v>
      </c>
      <c r="AD20" s="87">
        <f>'[1]Sheet1'!AE32</f>
        <v>0</v>
      </c>
      <c r="AE20" s="87">
        <f>'[1]Sheet1'!AF32</f>
        <v>-5726.48</v>
      </c>
      <c r="AF20" s="87">
        <f>'[1]Sheet1'!AG32</f>
        <v>-5924.969</v>
      </c>
      <c r="AG20" s="87">
        <f>'[1]Sheet1'!AH32</f>
        <v>0</v>
      </c>
      <c r="AH20" s="87">
        <f>'[1]Sheet1'!AI32</f>
        <v>0</v>
      </c>
      <c r="AI20" s="87">
        <f t="shared" si="3"/>
        <v>14020</v>
      </c>
      <c r="AJ20" s="87">
        <f>'[1]Sheet1'!AK32</f>
        <v>14020</v>
      </c>
      <c r="AK20" s="85">
        <f t="shared" si="2"/>
        <v>34755.850000000006</v>
      </c>
      <c r="AL20" s="85">
        <f t="shared" si="2"/>
        <v>34492.2994</v>
      </c>
    </row>
    <row r="21" spans="1:38" ht="16.5" customHeight="1">
      <c r="A21" s="5">
        <v>11</v>
      </c>
      <c r="B21" s="83" t="s">
        <v>103</v>
      </c>
      <c r="C21" s="84">
        <f t="shared" si="0"/>
        <v>3638.12</v>
      </c>
      <c r="D21" s="84">
        <f t="shared" si="0"/>
        <v>2851.91</v>
      </c>
      <c r="E21" s="65">
        <f>'[1]Sheet1'!F43</f>
        <v>2519</v>
      </c>
      <c r="F21" s="65">
        <f>'[1]Sheet1'!G43</f>
        <v>2519</v>
      </c>
      <c r="G21" s="65">
        <f>'[1]Sheet1'!H43</f>
        <v>520.9</v>
      </c>
      <c r="H21" s="65">
        <f>'[1]Sheet1'!I43</f>
        <v>512.5</v>
      </c>
      <c r="I21" s="65">
        <f>'[1]Sheet1'!J43</f>
        <v>398.12</v>
      </c>
      <c r="J21" s="65">
        <f>'[1]Sheet1'!K43</f>
        <v>365</v>
      </c>
      <c r="K21" s="65">
        <f>'[1]Sheet1'!L43</f>
        <v>0</v>
      </c>
      <c r="L21" s="65">
        <f>'[1]Sheet1'!M43</f>
        <v>0</v>
      </c>
      <c r="M21" s="65">
        <f>'[1]Sheet1'!N43</f>
        <v>0</v>
      </c>
      <c r="N21" s="65">
        <f>'[1]Sheet1'!O43</f>
        <v>0</v>
      </c>
      <c r="O21" s="65">
        <f>'[1]Sheet1'!P43</f>
        <v>0</v>
      </c>
      <c r="P21" s="65">
        <f>'[1]Sheet1'!Q43</f>
        <v>0</v>
      </c>
      <c r="Q21" s="65">
        <f>'[1]Sheet1'!R43</f>
        <v>0</v>
      </c>
      <c r="R21" s="65">
        <f>'[1]Sheet1'!S43</f>
        <v>0</v>
      </c>
      <c r="S21" s="65">
        <f>'[1]Sheet1'!T43</f>
        <v>0</v>
      </c>
      <c r="T21" s="65">
        <f>'[1]Sheet1'!U43</f>
        <v>0</v>
      </c>
      <c r="U21" s="85">
        <f t="shared" si="1"/>
        <v>3438.02</v>
      </c>
      <c r="V21" s="85">
        <f t="shared" si="1"/>
        <v>3396.5</v>
      </c>
      <c r="W21" s="87">
        <f>'[1]Sheet1'!X43</f>
        <v>850.1</v>
      </c>
      <c r="X21" s="87">
        <f>'[1]Sheet1'!Y43</f>
        <v>0</v>
      </c>
      <c r="Y21" s="87">
        <f>'[1]Sheet1'!Z43</f>
        <v>0</v>
      </c>
      <c r="Z21" s="87">
        <f>'[1]Sheet1'!AA43</f>
        <v>0</v>
      </c>
      <c r="AA21" s="87">
        <f>'[1]Sheet1'!AB43</f>
        <v>0</v>
      </c>
      <c r="AB21" s="87">
        <f>'[1]Sheet1'!AC43</f>
        <v>0</v>
      </c>
      <c r="AC21" s="87">
        <f>'[1]Sheet1'!AD43</f>
        <v>0</v>
      </c>
      <c r="AD21" s="87">
        <f>'[1]Sheet1'!AE43</f>
        <v>0</v>
      </c>
      <c r="AE21" s="87">
        <f>'[1]Sheet1'!AF43</f>
        <v>-650</v>
      </c>
      <c r="AF21" s="87">
        <f>'[1]Sheet1'!AG43</f>
        <v>-544.59</v>
      </c>
      <c r="AG21" s="87">
        <f>'[1]Sheet1'!AH43</f>
        <v>0</v>
      </c>
      <c r="AH21" s="87">
        <f>'[1]Sheet1'!AI43</f>
        <v>0</v>
      </c>
      <c r="AI21" s="87">
        <f t="shared" si="3"/>
        <v>200</v>
      </c>
      <c r="AJ21" s="87">
        <f>'[1]Sheet1'!AK43</f>
        <v>200</v>
      </c>
      <c r="AK21" s="85">
        <f t="shared" si="2"/>
        <v>400.1</v>
      </c>
      <c r="AL21" s="85">
        <f t="shared" si="2"/>
        <v>-344.59000000000003</v>
      </c>
    </row>
    <row r="22" spans="1:38" ht="16.5" customHeight="1">
      <c r="A22" s="5">
        <v>12</v>
      </c>
      <c r="B22" s="83" t="s">
        <v>104</v>
      </c>
      <c r="C22" s="84">
        <f t="shared" si="0"/>
        <v>7027.61</v>
      </c>
      <c r="D22" s="84">
        <f t="shared" si="0"/>
        <v>5881.0019999999995</v>
      </c>
      <c r="E22" s="65">
        <f>'[1]Sheet1'!F53</f>
        <v>5117.6</v>
      </c>
      <c r="F22" s="65">
        <f>'[1]Sheet1'!G53</f>
        <v>4768.71</v>
      </c>
      <c r="G22" s="65">
        <f>'[1]Sheet1'!H53</f>
        <v>1384.81</v>
      </c>
      <c r="H22" s="65">
        <f>'[1]Sheet1'!I53</f>
        <v>1199.85</v>
      </c>
      <c r="I22" s="65">
        <f>'[1]Sheet1'!J53</f>
        <v>175.2</v>
      </c>
      <c r="J22" s="65">
        <f>'[1]Sheet1'!K53</f>
        <v>95.25</v>
      </c>
      <c r="K22" s="65">
        <f>'[1]Sheet1'!L53</f>
        <v>0</v>
      </c>
      <c r="L22" s="65">
        <f>'[1]Sheet1'!M53</f>
        <v>0</v>
      </c>
      <c r="M22" s="65">
        <f>'[1]Sheet1'!N53</f>
        <v>0</v>
      </c>
      <c r="N22" s="65">
        <f>'[1]Sheet1'!O53</f>
        <v>0</v>
      </c>
      <c r="O22" s="65">
        <f>'[1]Sheet1'!P53</f>
        <v>0</v>
      </c>
      <c r="P22" s="65">
        <f>'[1]Sheet1'!Q53</f>
        <v>0</v>
      </c>
      <c r="Q22" s="65">
        <f>'[1]Sheet1'!R53</f>
        <v>0</v>
      </c>
      <c r="R22" s="65">
        <f>'[1]Sheet1'!S53</f>
        <v>0</v>
      </c>
      <c r="S22" s="65">
        <f>'[1]Sheet1'!T53</f>
        <v>0</v>
      </c>
      <c r="T22" s="65">
        <f>'[1]Sheet1'!U53</f>
        <v>0</v>
      </c>
      <c r="U22" s="85">
        <f t="shared" si="1"/>
        <v>6677.61</v>
      </c>
      <c r="V22" s="85">
        <f t="shared" si="1"/>
        <v>6063.8099999999995</v>
      </c>
      <c r="W22" s="87">
        <f>'[1]Sheet1'!X53</f>
        <v>350</v>
      </c>
      <c r="X22" s="87">
        <f>'[1]Sheet1'!Y53</f>
        <v>178</v>
      </c>
      <c r="Y22" s="87">
        <f>'[1]Sheet1'!Z53</f>
        <v>0</v>
      </c>
      <c r="Z22" s="87">
        <f>'[1]Sheet1'!AA53</f>
        <v>0</v>
      </c>
      <c r="AA22" s="87">
        <f>'[1]Sheet1'!AB53</f>
        <v>0</v>
      </c>
      <c r="AB22" s="87">
        <f>'[1]Sheet1'!AC53</f>
        <v>0</v>
      </c>
      <c r="AC22" s="87">
        <f>'[1]Sheet1'!AD53</f>
        <v>0</v>
      </c>
      <c r="AD22" s="87">
        <f>'[1]Sheet1'!AE53</f>
        <v>0</v>
      </c>
      <c r="AE22" s="87">
        <f>'[1]Sheet1'!AF53</f>
        <v>0</v>
      </c>
      <c r="AF22" s="87">
        <f>'[1]Sheet1'!AG53</f>
        <v>-360.808</v>
      </c>
      <c r="AG22" s="87">
        <f>'[1]Sheet1'!AH53</f>
        <v>0</v>
      </c>
      <c r="AH22" s="87">
        <f>'[1]Sheet1'!AI53</f>
        <v>0</v>
      </c>
      <c r="AI22" s="87">
        <f t="shared" si="3"/>
        <v>350</v>
      </c>
      <c r="AJ22" s="87">
        <f>'[1]Sheet1'!AK53</f>
        <v>350</v>
      </c>
      <c r="AK22" s="85">
        <f t="shared" si="2"/>
        <v>700</v>
      </c>
      <c r="AL22" s="85">
        <f t="shared" si="2"/>
        <v>167.192</v>
      </c>
    </row>
    <row r="23" spans="1:38" ht="16.5" customHeight="1">
      <c r="A23" s="5">
        <v>13</v>
      </c>
      <c r="B23" s="83" t="s">
        <v>105</v>
      </c>
      <c r="C23" s="84">
        <f t="shared" si="0"/>
        <v>64560.32000000001</v>
      </c>
      <c r="D23" s="84">
        <f t="shared" si="0"/>
        <v>44714.318</v>
      </c>
      <c r="E23" s="65">
        <f>'[1]Sheet1'!F61</f>
        <v>20180</v>
      </c>
      <c r="F23" s="65">
        <f>'[1]Sheet1'!G61</f>
        <v>19428.987</v>
      </c>
      <c r="G23" s="65">
        <f>'[1]Sheet1'!H61</f>
        <v>4851</v>
      </c>
      <c r="H23" s="65">
        <f>'[1]Sheet1'!I61</f>
        <v>4623.3</v>
      </c>
      <c r="I23" s="65">
        <f>'[1]Sheet1'!J61</f>
        <v>30950.02</v>
      </c>
      <c r="J23" s="65">
        <f>'[1]Sheet1'!K61</f>
        <v>19911.361</v>
      </c>
      <c r="K23" s="65">
        <f>'[1]Sheet1'!L61</f>
        <v>0</v>
      </c>
      <c r="L23" s="65">
        <f>'[1]Sheet1'!M61</f>
        <v>0</v>
      </c>
      <c r="M23" s="65">
        <f>'[1]Sheet1'!N61</f>
        <v>0</v>
      </c>
      <c r="N23" s="65">
        <f>'[1]Sheet1'!O61</f>
        <v>0</v>
      </c>
      <c r="O23" s="65">
        <f>'[1]Sheet1'!P61</f>
        <v>0</v>
      </c>
      <c r="P23" s="65">
        <f>'[1]Sheet1'!Q61</f>
        <v>0</v>
      </c>
      <c r="Q23" s="65">
        <f>'[1]Sheet1'!R61</f>
        <v>2779.3</v>
      </c>
      <c r="R23" s="65">
        <f>'[1]Sheet1'!S61</f>
        <v>735</v>
      </c>
      <c r="S23" s="65">
        <f>'[1]Sheet1'!T61</f>
        <v>1800</v>
      </c>
      <c r="T23" s="65">
        <f>'[1]Sheet1'!U61</f>
        <v>223</v>
      </c>
      <c r="U23" s="85">
        <f t="shared" si="1"/>
        <v>60560.32000000001</v>
      </c>
      <c r="V23" s="85">
        <f t="shared" si="1"/>
        <v>44921.648</v>
      </c>
      <c r="W23" s="87">
        <f>'[1]Sheet1'!X61</f>
        <v>27000</v>
      </c>
      <c r="X23" s="87">
        <f>'[1]Sheet1'!Y61</f>
        <v>1462</v>
      </c>
      <c r="Y23" s="87">
        <f>'[1]Sheet1'!Z61</f>
        <v>0</v>
      </c>
      <c r="Z23" s="87">
        <f>'[1]Sheet1'!AA61</f>
        <v>0</v>
      </c>
      <c r="AA23" s="87">
        <f>'[1]Sheet1'!AB61</f>
        <v>3000</v>
      </c>
      <c r="AB23" s="87">
        <f>'[1]Sheet1'!AC61</f>
        <v>0</v>
      </c>
      <c r="AC23" s="87">
        <f>'[1]Sheet1'!AD61</f>
        <v>0</v>
      </c>
      <c r="AD23" s="87">
        <f>'[1]Sheet1'!AE61</f>
        <v>0</v>
      </c>
      <c r="AE23" s="87">
        <f>'[1]Sheet1'!AF61</f>
        <v>-26000</v>
      </c>
      <c r="AF23" s="87">
        <f>'[1]Sheet1'!AG61</f>
        <v>-1669.33</v>
      </c>
      <c r="AG23" s="87">
        <f>'[1]Sheet1'!AH61</f>
        <v>0</v>
      </c>
      <c r="AH23" s="87">
        <f>'[1]Sheet1'!AI61</f>
        <v>0</v>
      </c>
      <c r="AI23" s="87">
        <f t="shared" si="3"/>
        <v>4000</v>
      </c>
      <c r="AJ23" s="87">
        <f>'[1]Sheet1'!AK61</f>
        <v>4000</v>
      </c>
      <c r="AK23" s="85">
        <f t="shared" si="2"/>
        <v>8000</v>
      </c>
      <c r="AL23" s="85">
        <f t="shared" si="2"/>
        <v>3792.67</v>
      </c>
    </row>
    <row r="24" spans="1:38" ht="16.5" customHeight="1">
      <c r="A24" s="5">
        <v>14</v>
      </c>
      <c r="B24" s="83" t="s">
        <v>106</v>
      </c>
      <c r="C24" s="84">
        <f t="shared" si="0"/>
        <v>60892.03999999999</v>
      </c>
      <c r="D24" s="84">
        <f t="shared" si="0"/>
        <v>28411.887000000002</v>
      </c>
      <c r="E24" s="65">
        <f>'[1]Sheet1'!F64</f>
        <v>18985</v>
      </c>
      <c r="F24" s="65">
        <f>'[1]Sheet1'!G64</f>
        <v>17924.279</v>
      </c>
      <c r="G24" s="65">
        <f>'[1]Sheet1'!H64</f>
        <v>3793.9</v>
      </c>
      <c r="H24" s="65">
        <f>'[1]Sheet1'!I64</f>
        <v>3530.478</v>
      </c>
      <c r="I24" s="65">
        <f>'[1]Sheet1'!J64</f>
        <v>10754.02</v>
      </c>
      <c r="J24" s="65">
        <f>'[1]Sheet1'!K64</f>
        <v>3605.9</v>
      </c>
      <c r="K24" s="65">
        <f>'[1]Sheet1'!L64</f>
        <v>0</v>
      </c>
      <c r="L24" s="65">
        <f>'[1]Sheet1'!M64</f>
        <v>0</v>
      </c>
      <c r="M24" s="65">
        <f>'[1]Sheet1'!N64</f>
        <v>0</v>
      </c>
      <c r="N24" s="65">
        <f>'[1]Sheet1'!O64</f>
        <v>0</v>
      </c>
      <c r="O24" s="65">
        <f>'[1]Sheet1'!P64</f>
        <v>6731.02</v>
      </c>
      <c r="P24" s="65">
        <f>'[1]Sheet1'!Q64</f>
        <v>6471.4</v>
      </c>
      <c r="Q24" s="65">
        <f>'[1]Sheet1'!R64</f>
        <v>2070</v>
      </c>
      <c r="R24" s="65">
        <f>'[1]Sheet1'!S64</f>
        <v>770</v>
      </c>
      <c r="S24" s="65">
        <f>'[1]Sheet1'!T64</f>
        <v>1290</v>
      </c>
      <c r="T24" s="65">
        <f>'[1]Sheet1'!U64</f>
        <v>343</v>
      </c>
      <c r="U24" s="85">
        <f t="shared" si="1"/>
        <v>43623.94</v>
      </c>
      <c r="V24" s="85">
        <f t="shared" si="1"/>
        <v>32645.057</v>
      </c>
      <c r="W24" s="87">
        <f>'[1]Sheet1'!X64</f>
        <v>23002.3</v>
      </c>
      <c r="X24" s="87">
        <f>'[1]Sheet1'!Y64</f>
        <v>6296.3</v>
      </c>
      <c r="Y24" s="87">
        <f>'[1]Sheet1'!Z64</f>
        <v>0</v>
      </c>
      <c r="Z24" s="87">
        <f>'[1]Sheet1'!AA64</f>
        <v>0</v>
      </c>
      <c r="AA24" s="87">
        <f>'[1]Sheet1'!AB64</f>
        <v>0</v>
      </c>
      <c r="AB24" s="87">
        <f>'[1]Sheet1'!AC64</f>
        <v>0</v>
      </c>
      <c r="AC24" s="87">
        <f>'[1]Sheet1'!AD64</f>
        <v>0</v>
      </c>
      <c r="AD24" s="87">
        <f>'[1]Sheet1'!AE64</f>
        <v>0</v>
      </c>
      <c r="AE24" s="87">
        <f>'[1]Sheet1'!AF64</f>
        <v>-5734.2</v>
      </c>
      <c r="AF24" s="87">
        <f>'[1]Sheet1'!AG64</f>
        <v>-10529.47</v>
      </c>
      <c r="AG24" s="87">
        <f>'[1]Sheet1'!AH64</f>
        <v>0</v>
      </c>
      <c r="AH24" s="87">
        <f>'[1]Sheet1'!AI64</f>
        <v>0</v>
      </c>
      <c r="AI24" s="87">
        <f t="shared" si="3"/>
        <v>3552.3</v>
      </c>
      <c r="AJ24" s="87">
        <f>'[1]Sheet1'!AK64</f>
        <v>3552.3</v>
      </c>
      <c r="AK24" s="85">
        <f t="shared" si="2"/>
        <v>20820.399999999998</v>
      </c>
      <c r="AL24" s="85">
        <f t="shared" si="2"/>
        <v>-680.869999999999</v>
      </c>
    </row>
    <row r="25" spans="1:38" ht="16.5" customHeight="1">
      <c r="A25" s="5">
        <v>15</v>
      </c>
      <c r="B25" s="83" t="s">
        <v>107</v>
      </c>
      <c r="C25" s="84">
        <f t="shared" si="0"/>
        <v>17947.8</v>
      </c>
      <c r="D25" s="84">
        <f t="shared" si="0"/>
        <v>10707.277999999998</v>
      </c>
      <c r="E25" s="65">
        <f>'[1]Sheet1'!F71</f>
        <v>6942</v>
      </c>
      <c r="F25" s="65">
        <f>'[1]Sheet1'!G71</f>
        <v>5882.993</v>
      </c>
      <c r="G25" s="65">
        <f>'[1]Sheet1'!H71</f>
        <v>1532.4</v>
      </c>
      <c r="H25" s="65">
        <f>'[1]Sheet1'!I71</f>
        <v>1476.625</v>
      </c>
      <c r="I25" s="65">
        <f>'[1]Sheet1'!J71</f>
        <v>1854.4</v>
      </c>
      <c r="J25" s="65">
        <f>'[1]Sheet1'!K71</f>
        <v>908.04</v>
      </c>
      <c r="K25" s="65">
        <f>'[1]Sheet1'!L71</f>
        <v>0</v>
      </c>
      <c r="L25" s="65">
        <f>'[1]Sheet1'!M71</f>
        <v>0</v>
      </c>
      <c r="M25" s="65">
        <f>'[1]Sheet1'!N71</f>
        <v>0</v>
      </c>
      <c r="N25" s="65">
        <f>'[1]Sheet1'!O71</f>
        <v>0</v>
      </c>
      <c r="O25" s="65">
        <f>'[1]Sheet1'!P71</f>
        <v>0</v>
      </c>
      <c r="P25" s="65">
        <f>'[1]Sheet1'!Q71</f>
        <v>0</v>
      </c>
      <c r="Q25" s="65">
        <f>'[1]Sheet1'!R71</f>
        <v>0</v>
      </c>
      <c r="R25" s="65">
        <f>'[1]Sheet1'!S71</f>
        <v>0</v>
      </c>
      <c r="S25" s="65">
        <f>'[1]Sheet1'!T71</f>
        <v>150</v>
      </c>
      <c r="T25" s="65">
        <f>'[1]Sheet1'!U71</f>
        <v>0</v>
      </c>
      <c r="U25" s="85">
        <f t="shared" si="1"/>
        <v>10478.8</v>
      </c>
      <c r="V25" s="85">
        <f t="shared" si="1"/>
        <v>8267.658</v>
      </c>
      <c r="W25" s="87">
        <f>'[1]Sheet1'!X71</f>
        <v>9469</v>
      </c>
      <c r="X25" s="87">
        <f>'[1]Sheet1'!Y71</f>
        <v>2439.62</v>
      </c>
      <c r="Y25" s="87">
        <f>'[1]Sheet1'!Z71</f>
        <v>0</v>
      </c>
      <c r="Z25" s="87">
        <f>'[1]Sheet1'!AA71</f>
        <v>0</v>
      </c>
      <c r="AA25" s="87">
        <f>'[1]Sheet1'!AB71</f>
        <v>0</v>
      </c>
      <c r="AB25" s="87">
        <f>'[1]Sheet1'!AC71</f>
        <v>0</v>
      </c>
      <c r="AC25" s="87">
        <f>'[1]Sheet1'!AD71</f>
        <v>0</v>
      </c>
      <c r="AD25" s="87">
        <f>'[1]Sheet1'!AE71</f>
        <v>0</v>
      </c>
      <c r="AE25" s="87">
        <f>'[1]Sheet1'!AF71</f>
        <v>-2000</v>
      </c>
      <c r="AF25" s="87">
        <f>'[1]Sheet1'!AG71</f>
        <v>0</v>
      </c>
      <c r="AG25" s="87">
        <f>'[1]Sheet1'!AH71</f>
        <v>0</v>
      </c>
      <c r="AH25" s="87">
        <f>'[1]Sheet1'!AI71</f>
        <v>0</v>
      </c>
      <c r="AI25" s="87">
        <f t="shared" si="3"/>
        <v>600</v>
      </c>
      <c r="AJ25" s="87">
        <f>'[1]Sheet1'!AK71</f>
        <v>600</v>
      </c>
      <c r="AK25" s="85">
        <f t="shared" si="2"/>
        <v>8069</v>
      </c>
      <c r="AL25" s="85">
        <f t="shared" si="2"/>
        <v>3039.62</v>
      </c>
    </row>
    <row r="26" spans="1:38" ht="16.5" customHeight="1">
      <c r="A26" s="5">
        <v>16</v>
      </c>
      <c r="B26" s="83" t="s">
        <v>108</v>
      </c>
      <c r="C26" s="84">
        <f t="shared" si="0"/>
        <v>16372.939999999999</v>
      </c>
      <c r="D26" s="84">
        <f t="shared" si="0"/>
        <v>15893.239999999998</v>
      </c>
      <c r="E26" s="65">
        <f>'[1]Sheet1'!F79</f>
        <v>8055.21</v>
      </c>
      <c r="F26" s="65">
        <f>'[1]Sheet1'!G79</f>
        <v>7830</v>
      </c>
      <c r="G26" s="65">
        <f>'[1]Sheet1'!H79</f>
        <v>3133.21</v>
      </c>
      <c r="H26" s="65">
        <f>'[1]Sheet1'!I79</f>
        <v>3025</v>
      </c>
      <c r="I26" s="65">
        <f>'[1]Sheet1'!J79</f>
        <v>2034.52</v>
      </c>
      <c r="J26" s="65">
        <f>'[1]Sheet1'!K79</f>
        <v>1907.74</v>
      </c>
      <c r="K26" s="65">
        <f>'[1]Sheet1'!L79</f>
        <v>0</v>
      </c>
      <c r="L26" s="65">
        <f>'[1]Sheet1'!M79</f>
        <v>0</v>
      </c>
      <c r="M26" s="65">
        <f>'[1]Sheet1'!N79</f>
        <v>0</v>
      </c>
      <c r="N26" s="65">
        <f>'[1]Sheet1'!O79</f>
        <v>0</v>
      </c>
      <c r="O26" s="65">
        <f>'[1]Sheet1'!P79</f>
        <v>0</v>
      </c>
      <c r="P26" s="65">
        <f>'[1]Sheet1'!Q79</f>
        <v>0</v>
      </c>
      <c r="Q26" s="65">
        <f>'[1]Sheet1'!R79</f>
        <v>400</v>
      </c>
      <c r="R26" s="65">
        <f>'[1]Sheet1'!S79</f>
        <v>400</v>
      </c>
      <c r="S26" s="65">
        <f>'[1]Sheet1'!T79</f>
        <v>50</v>
      </c>
      <c r="T26" s="65">
        <f>'[1]Sheet1'!U79</f>
        <v>30.5</v>
      </c>
      <c r="U26" s="85">
        <f t="shared" si="1"/>
        <v>13672.94</v>
      </c>
      <c r="V26" s="85">
        <f t="shared" si="1"/>
        <v>13193.24</v>
      </c>
      <c r="W26" s="87">
        <f>'[1]Sheet1'!X79</f>
        <v>3100</v>
      </c>
      <c r="X26" s="87">
        <f>'[1]Sheet1'!Y79</f>
        <v>3100</v>
      </c>
      <c r="Y26" s="87">
        <f>'[1]Sheet1'!Z79</f>
        <v>0</v>
      </c>
      <c r="Z26" s="87">
        <f>'[1]Sheet1'!AA79</f>
        <v>0</v>
      </c>
      <c r="AA26" s="87">
        <f>'[1]Sheet1'!AB79</f>
        <v>0</v>
      </c>
      <c r="AB26" s="87">
        <f>'[1]Sheet1'!AC79</f>
        <v>0</v>
      </c>
      <c r="AC26" s="87">
        <f>'[1]Sheet1'!AD79</f>
        <v>0</v>
      </c>
      <c r="AD26" s="87">
        <f>'[1]Sheet1'!AE79</f>
        <v>0</v>
      </c>
      <c r="AE26" s="87">
        <f>'[1]Sheet1'!AF79</f>
        <v>-400</v>
      </c>
      <c r="AF26" s="87">
        <f>'[1]Sheet1'!AG79</f>
        <v>-400</v>
      </c>
      <c r="AG26" s="87">
        <f>'[1]Sheet1'!AH79</f>
        <v>0</v>
      </c>
      <c r="AH26" s="87">
        <f>'[1]Sheet1'!AI79</f>
        <v>0</v>
      </c>
      <c r="AI26" s="87">
        <f>'[1]Sheet1'!AJ79</f>
        <v>2171.7</v>
      </c>
      <c r="AJ26" s="87">
        <f>'[1]Sheet1'!AK79</f>
        <v>2171.7</v>
      </c>
      <c r="AK26" s="85">
        <f t="shared" si="2"/>
        <v>4871.7</v>
      </c>
      <c r="AL26" s="85">
        <f t="shared" si="2"/>
        <v>4871.7</v>
      </c>
    </row>
    <row r="27" spans="1:38" ht="16.5" customHeight="1">
      <c r="A27" s="5">
        <v>17</v>
      </c>
      <c r="B27" s="83" t="s">
        <v>109</v>
      </c>
      <c r="C27" s="84">
        <f t="shared" si="0"/>
        <v>23618.21</v>
      </c>
      <c r="D27" s="84">
        <f t="shared" si="0"/>
        <v>23091.101000000002</v>
      </c>
      <c r="E27" s="65">
        <f>'[1]Sheet1'!F83</f>
        <v>10810</v>
      </c>
      <c r="F27" s="65">
        <f>'[1]Sheet1'!G83</f>
        <v>10732.01</v>
      </c>
      <c r="G27" s="65">
        <f>'[1]Sheet1'!H83</f>
        <v>2437</v>
      </c>
      <c r="H27" s="65">
        <f>'[1]Sheet1'!I83</f>
        <v>2189.691</v>
      </c>
      <c r="I27" s="65">
        <f>'[1]Sheet1'!J83</f>
        <v>2400</v>
      </c>
      <c r="J27" s="65">
        <f>'[1]Sheet1'!K83</f>
        <v>2199.4</v>
      </c>
      <c r="K27" s="65">
        <f>'[1]Sheet1'!L83</f>
        <v>0</v>
      </c>
      <c r="L27" s="65">
        <f>'[1]Sheet1'!M83</f>
        <v>0</v>
      </c>
      <c r="M27" s="65">
        <f>'[1]Sheet1'!N83</f>
        <v>0</v>
      </c>
      <c r="N27" s="65">
        <f>'[1]Sheet1'!O83</f>
        <v>0</v>
      </c>
      <c r="O27" s="65">
        <f>'[1]Sheet1'!P83</f>
        <v>1000.01</v>
      </c>
      <c r="P27" s="65">
        <f>'[1]Sheet1'!Q83</f>
        <v>1000</v>
      </c>
      <c r="Q27" s="65">
        <f>'[1]Sheet1'!R83</f>
        <v>1000</v>
      </c>
      <c r="R27" s="65">
        <f>'[1]Sheet1'!S83</f>
        <v>1000</v>
      </c>
      <c r="S27" s="65">
        <f>'[1]Sheet1'!T83</f>
        <v>0</v>
      </c>
      <c r="T27" s="65">
        <f>'[1]Sheet1'!U83</f>
        <v>0</v>
      </c>
      <c r="U27" s="85">
        <f t="shared" si="1"/>
        <v>17647.01</v>
      </c>
      <c r="V27" s="85">
        <f t="shared" si="1"/>
        <v>17121.101000000002</v>
      </c>
      <c r="W27" s="87">
        <f>'[1]Sheet1'!X83</f>
        <v>6971.2</v>
      </c>
      <c r="X27" s="87">
        <f>'[1]Sheet1'!Y83</f>
        <v>5970</v>
      </c>
      <c r="Y27" s="87">
        <f>'[1]Sheet1'!Z83</f>
        <v>0</v>
      </c>
      <c r="Z27" s="87">
        <f>'[1]Sheet1'!AA83</f>
        <v>0</v>
      </c>
      <c r="AA27" s="87">
        <f>'[1]Sheet1'!AB83</f>
        <v>0</v>
      </c>
      <c r="AB27" s="87">
        <f>'[1]Sheet1'!AC83</f>
        <v>0</v>
      </c>
      <c r="AC27" s="87">
        <f>'[1]Sheet1'!AD83</f>
        <v>0</v>
      </c>
      <c r="AD27" s="87">
        <f>'[1]Sheet1'!AE83</f>
        <v>0</v>
      </c>
      <c r="AE27" s="87">
        <f>'[1]Sheet1'!AF83</f>
        <v>-1000</v>
      </c>
      <c r="AF27" s="87">
        <f>'[1]Sheet1'!AG83</f>
        <v>0</v>
      </c>
      <c r="AG27" s="87">
        <f>'[1]Sheet1'!AH83</f>
        <v>0</v>
      </c>
      <c r="AH27" s="87">
        <f>'[1]Sheet1'!AI83</f>
        <v>0</v>
      </c>
      <c r="AI27" s="87">
        <f>'[1]Sheet1'!AJ83</f>
        <v>3000</v>
      </c>
      <c r="AJ27" s="87">
        <f>'[1]Sheet1'!AK83</f>
        <v>3000</v>
      </c>
      <c r="AK27" s="85">
        <f t="shared" si="2"/>
        <v>8971.2</v>
      </c>
      <c r="AL27" s="85">
        <f t="shared" si="2"/>
        <v>8970</v>
      </c>
    </row>
    <row r="28" spans="1:38" ht="16.5" customHeight="1">
      <c r="A28" s="5">
        <v>18</v>
      </c>
      <c r="B28" s="83" t="s">
        <v>110</v>
      </c>
      <c r="C28" s="84">
        <f t="shared" si="0"/>
        <v>31350.020000000004</v>
      </c>
      <c r="D28" s="84">
        <f t="shared" si="0"/>
        <v>22277.046000000002</v>
      </c>
      <c r="E28" s="65">
        <f>'[1]Sheet1'!F84</f>
        <v>8366.5</v>
      </c>
      <c r="F28" s="65">
        <f>'[1]Sheet1'!G84</f>
        <v>7772.442</v>
      </c>
      <c r="G28" s="65">
        <f>'[1]Sheet1'!H84</f>
        <v>1571</v>
      </c>
      <c r="H28" s="65">
        <f>'[1]Sheet1'!I84</f>
        <v>1446.677</v>
      </c>
      <c r="I28" s="65">
        <f>'[1]Sheet1'!J84</f>
        <v>3400</v>
      </c>
      <c r="J28" s="65">
        <f>'[1]Sheet1'!K84</f>
        <v>1357.944</v>
      </c>
      <c r="K28" s="65">
        <f>'[1]Sheet1'!L84</f>
        <v>0</v>
      </c>
      <c r="L28" s="65">
        <f>'[1]Sheet1'!M84</f>
        <v>0</v>
      </c>
      <c r="M28" s="65">
        <f>'[1]Sheet1'!N84</f>
        <v>0</v>
      </c>
      <c r="N28" s="65">
        <f>'[1]Sheet1'!O84</f>
        <v>0</v>
      </c>
      <c r="O28" s="65">
        <f>'[1]Sheet1'!P84</f>
        <v>160.01</v>
      </c>
      <c r="P28" s="65">
        <f>'[1]Sheet1'!Q84</f>
        <v>160</v>
      </c>
      <c r="Q28" s="65">
        <f>'[1]Sheet1'!R84</f>
        <v>1000</v>
      </c>
      <c r="R28" s="65">
        <f>'[1]Sheet1'!S84</f>
        <v>0</v>
      </c>
      <c r="S28" s="65">
        <f>'[1]Sheet1'!T84</f>
        <v>5357.9</v>
      </c>
      <c r="T28" s="65">
        <f>'[1]Sheet1'!U84</f>
        <v>100</v>
      </c>
      <c r="U28" s="85">
        <f t="shared" si="1"/>
        <v>19855.41</v>
      </c>
      <c r="V28" s="85">
        <f t="shared" si="1"/>
        <v>10837.063</v>
      </c>
      <c r="W28" s="87">
        <f>'[1]Sheet1'!X84</f>
        <v>11494.61</v>
      </c>
      <c r="X28" s="87">
        <f>'[1]Sheet1'!Y84</f>
        <v>11439.983</v>
      </c>
      <c r="Y28" s="87">
        <f>'[1]Sheet1'!Z84</f>
        <v>0</v>
      </c>
      <c r="Z28" s="87">
        <f>'[1]Sheet1'!AA84</f>
        <v>0</v>
      </c>
      <c r="AA28" s="87">
        <f>'[1]Sheet1'!AB84</f>
        <v>0</v>
      </c>
      <c r="AB28" s="87">
        <f>'[1]Sheet1'!AC84</f>
        <v>0</v>
      </c>
      <c r="AC28" s="87">
        <f>'[1]Sheet1'!AD84</f>
        <v>0</v>
      </c>
      <c r="AD28" s="87">
        <f>'[1]Sheet1'!AE84</f>
        <v>0</v>
      </c>
      <c r="AE28" s="87">
        <f>'[1]Sheet1'!AF84</f>
        <v>0</v>
      </c>
      <c r="AF28" s="87">
        <f>'[1]Sheet1'!AG84</f>
        <v>0</v>
      </c>
      <c r="AG28" s="87">
        <f>'[1]Sheet1'!AH84</f>
        <v>0</v>
      </c>
      <c r="AH28" s="87">
        <f>'[1]Sheet1'!AI84</f>
        <v>0</v>
      </c>
      <c r="AI28" s="87">
        <f>AJ28</f>
        <v>5540</v>
      </c>
      <c r="AJ28" s="87">
        <f>'[1]Sheet1'!AK84</f>
        <v>5540</v>
      </c>
      <c r="AK28" s="85">
        <f t="shared" si="2"/>
        <v>17034.61</v>
      </c>
      <c r="AL28" s="85">
        <f t="shared" si="2"/>
        <v>16979.983</v>
      </c>
    </row>
    <row r="29" spans="1:38" ht="16.5" customHeight="1">
      <c r="A29" s="5">
        <v>19</v>
      </c>
      <c r="B29" s="83" t="s">
        <v>111</v>
      </c>
      <c r="C29" s="84">
        <f t="shared" si="0"/>
        <v>65368.32999999999</v>
      </c>
      <c r="D29" s="84">
        <f t="shared" si="0"/>
        <v>61610.78700000001</v>
      </c>
      <c r="E29" s="65">
        <f>'[1]Sheet1'!F90</f>
        <v>21350.2</v>
      </c>
      <c r="F29" s="65">
        <f>'[1]Sheet1'!G90</f>
        <v>20419.376</v>
      </c>
      <c r="G29" s="65">
        <f>'[1]Sheet1'!H90</f>
        <v>3754.1</v>
      </c>
      <c r="H29" s="65">
        <f>'[1]Sheet1'!I90</f>
        <v>3752</v>
      </c>
      <c r="I29" s="65">
        <f>'[1]Sheet1'!J90</f>
        <v>28821.6</v>
      </c>
      <c r="J29" s="65">
        <f>'[1]Sheet1'!K90</f>
        <v>27361.5</v>
      </c>
      <c r="K29" s="65">
        <f>'[1]Sheet1'!L90</f>
        <v>0</v>
      </c>
      <c r="L29" s="65">
        <f>'[1]Sheet1'!M90</f>
        <v>0</v>
      </c>
      <c r="M29" s="65">
        <f>'[1]Sheet1'!N90</f>
        <v>0</v>
      </c>
      <c r="N29" s="65">
        <f>'[1]Sheet1'!O90</f>
        <v>0</v>
      </c>
      <c r="O29" s="65">
        <f>'[1]Sheet1'!P90</f>
        <v>1200.01</v>
      </c>
      <c r="P29" s="65">
        <f>'[1]Sheet1'!Q90</f>
        <v>1200</v>
      </c>
      <c r="Q29" s="65">
        <f>'[1]Sheet1'!R90</f>
        <v>1800</v>
      </c>
      <c r="R29" s="65">
        <f>'[1]Sheet1'!S90</f>
        <v>1795</v>
      </c>
      <c r="S29" s="65">
        <f>'[1]Sheet1'!T90</f>
        <v>150</v>
      </c>
      <c r="T29" s="65">
        <f>'[1]Sheet1'!U90</f>
        <v>0</v>
      </c>
      <c r="U29" s="85">
        <f t="shared" si="1"/>
        <v>57075.909999999996</v>
      </c>
      <c r="V29" s="85">
        <f t="shared" si="1"/>
        <v>54527.876000000004</v>
      </c>
      <c r="W29" s="87">
        <f>'[1]Sheet1'!X90</f>
        <v>30292.42</v>
      </c>
      <c r="X29" s="87">
        <f>'[1]Sheet1'!Y90</f>
        <v>26198.586</v>
      </c>
      <c r="Y29" s="87">
        <f>'[1]Sheet1'!Z90</f>
        <v>0</v>
      </c>
      <c r="Z29" s="87">
        <f>'[1]Sheet1'!AA90</f>
        <v>0</v>
      </c>
      <c r="AA29" s="87">
        <f>'[1]Sheet1'!AB90</f>
        <v>0</v>
      </c>
      <c r="AB29" s="87">
        <f>'[1]Sheet1'!AC90</f>
        <v>0</v>
      </c>
      <c r="AC29" s="87">
        <f>'[1]Sheet1'!AD90</f>
        <v>0</v>
      </c>
      <c r="AD29" s="87">
        <f>'[1]Sheet1'!AE90</f>
        <v>0</v>
      </c>
      <c r="AE29" s="87">
        <f>'[1]Sheet1'!AF90</f>
        <v>-22000</v>
      </c>
      <c r="AF29" s="87">
        <f>'[1]Sheet1'!AG90</f>
        <v>-19115.675</v>
      </c>
      <c r="AG29" s="87">
        <f>'[1]Sheet1'!AH90</f>
        <v>0</v>
      </c>
      <c r="AH29" s="87">
        <f>'[1]Sheet1'!AI90</f>
        <v>0</v>
      </c>
      <c r="AI29" s="87">
        <f aca="true" t="shared" si="4" ref="AI29:AI92">AJ29</f>
        <v>7000</v>
      </c>
      <c r="AJ29" s="87">
        <f>'[1]Sheet1'!AK90</f>
        <v>7000</v>
      </c>
      <c r="AK29" s="85">
        <f t="shared" si="2"/>
        <v>15292.419999999998</v>
      </c>
      <c r="AL29" s="85">
        <f t="shared" si="2"/>
        <v>14082.911</v>
      </c>
    </row>
    <row r="30" spans="1:38" ht="16.5" customHeight="1">
      <c r="A30" s="5">
        <v>20</v>
      </c>
      <c r="B30" s="83" t="s">
        <v>112</v>
      </c>
      <c r="C30" s="84">
        <f t="shared" si="0"/>
        <v>18549.420000000002</v>
      </c>
      <c r="D30" s="84">
        <f t="shared" si="0"/>
        <v>12881.14</v>
      </c>
      <c r="E30" s="65">
        <f>'[1]Sheet1'!F89</f>
        <v>8162.2</v>
      </c>
      <c r="F30" s="65">
        <f>'[1]Sheet1'!G89</f>
        <v>8131.24</v>
      </c>
      <c r="G30" s="65">
        <f>'[1]Sheet1'!H89</f>
        <v>1937.3</v>
      </c>
      <c r="H30" s="65">
        <f>'[1]Sheet1'!I89</f>
        <v>1542.6</v>
      </c>
      <c r="I30" s="65">
        <f>'[1]Sheet1'!J89</f>
        <v>2302.2</v>
      </c>
      <c r="J30" s="65">
        <f>'[1]Sheet1'!K89</f>
        <v>1947</v>
      </c>
      <c r="K30" s="65">
        <f>'[1]Sheet1'!L89</f>
        <v>0</v>
      </c>
      <c r="L30" s="65">
        <f>'[1]Sheet1'!M89</f>
        <v>0</v>
      </c>
      <c r="M30" s="65">
        <f>'[1]Sheet1'!N89</f>
        <v>0</v>
      </c>
      <c r="N30" s="65">
        <f>'[1]Sheet1'!O89</f>
        <v>0</v>
      </c>
      <c r="O30" s="65">
        <f>'[1]Sheet1'!P89</f>
        <v>240.01</v>
      </c>
      <c r="P30" s="65">
        <f>'[1]Sheet1'!Q89</f>
        <v>240</v>
      </c>
      <c r="Q30" s="65">
        <f>'[1]Sheet1'!R89</f>
        <v>1200.01</v>
      </c>
      <c r="R30" s="65">
        <f>'[1]Sheet1'!S89</f>
        <v>1200</v>
      </c>
      <c r="S30" s="65">
        <f>'[1]Sheet1'!T89</f>
        <v>0</v>
      </c>
      <c r="T30" s="65">
        <f>'[1]Sheet1'!U89</f>
        <v>0</v>
      </c>
      <c r="U30" s="85">
        <f t="shared" si="1"/>
        <v>13841.720000000001</v>
      </c>
      <c r="V30" s="85">
        <f t="shared" si="1"/>
        <v>13060.84</v>
      </c>
      <c r="W30" s="87">
        <f>'[1]Sheet1'!X89</f>
        <v>4707.7</v>
      </c>
      <c r="X30" s="87">
        <f>'[1]Sheet1'!Y89</f>
        <v>0</v>
      </c>
      <c r="Y30" s="87">
        <f>'[1]Sheet1'!Z89</f>
        <v>0</v>
      </c>
      <c r="Z30" s="87">
        <f>'[1]Sheet1'!AA89</f>
        <v>0</v>
      </c>
      <c r="AA30" s="87">
        <f>'[1]Sheet1'!AB89</f>
        <v>0</v>
      </c>
      <c r="AB30" s="87">
        <f>'[1]Sheet1'!AC89</f>
        <v>0</v>
      </c>
      <c r="AC30" s="87">
        <f>'[1]Sheet1'!AD89</f>
        <v>0</v>
      </c>
      <c r="AD30" s="87">
        <f>'[1]Sheet1'!AE89</f>
        <v>-90.65</v>
      </c>
      <c r="AE30" s="87">
        <f>'[1]Sheet1'!AF89</f>
        <v>0</v>
      </c>
      <c r="AF30" s="87">
        <f>'[1]Sheet1'!AG89</f>
        <v>-89.05</v>
      </c>
      <c r="AG30" s="87">
        <f>'[1]Sheet1'!AH89</f>
        <v>0</v>
      </c>
      <c r="AH30" s="87">
        <f>'[1]Sheet1'!AI89</f>
        <v>0</v>
      </c>
      <c r="AI30" s="87">
        <f t="shared" si="4"/>
        <v>3060</v>
      </c>
      <c r="AJ30" s="87">
        <f>'[1]Sheet1'!AK89</f>
        <v>3060</v>
      </c>
      <c r="AK30" s="85">
        <f t="shared" si="2"/>
        <v>7767.7</v>
      </c>
      <c r="AL30" s="85">
        <f t="shared" si="2"/>
        <v>2880.3</v>
      </c>
    </row>
    <row r="31" spans="1:38" ht="16.5" customHeight="1">
      <c r="A31" s="5">
        <v>21</v>
      </c>
      <c r="B31" s="83" t="s">
        <v>113</v>
      </c>
      <c r="C31" s="84">
        <f t="shared" si="0"/>
        <v>68604.52</v>
      </c>
      <c r="D31" s="84">
        <f t="shared" si="0"/>
        <v>43793.424999999996</v>
      </c>
      <c r="E31" s="65">
        <f>'[1]Sheet1'!F98</f>
        <v>21780</v>
      </c>
      <c r="F31" s="65">
        <f>'[1]Sheet1'!G98</f>
        <v>21780</v>
      </c>
      <c r="G31" s="65">
        <f>'[1]Sheet1'!H98</f>
        <v>4220</v>
      </c>
      <c r="H31" s="65">
        <f>'[1]Sheet1'!I98</f>
        <v>4219.92</v>
      </c>
      <c r="I31" s="65">
        <f>'[1]Sheet1'!J98</f>
        <v>16271.91</v>
      </c>
      <c r="J31" s="65">
        <f>'[1]Sheet1'!K98</f>
        <v>8324.724</v>
      </c>
      <c r="K31" s="65">
        <f>'[1]Sheet1'!L98</f>
        <v>0</v>
      </c>
      <c r="L31" s="65">
        <f>'[1]Sheet1'!M98</f>
        <v>0</v>
      </c>
      <c r="M31" s="65">
        <f>'[1]Sheet1'!N98</f>
        <v>0</v>
      </c>
      <c r="N31" s="65">
        <f>'[1]Sheet1'!O98</f>
        <v>0</v>
      </c>
      <c r="O31" s="65">
        <f>'[1]Sheet1'!P98</f>
        <v>0</v>
      </c>
      <c r="P31" s="65">
        <f>'[1]Sheet1'!Q98</f>
        <v>0</v>
      </c>
      <c r="Q31" s="65">
        <f>'[1]Sheet1'!R98</f>
        <v>4200</v>
      </c>
      <c r="R31" s="65">
        <f>'[1]Sheet1'!S98</f>
        <v>4145</v>
      </c>
      <c r="S31" s="65">
        <f>'[1]Sheet1'!T98</f>
        <v>300</v>
      </c>
      <c r="T31" s="65">
        <f>'[1]Sheet1'!U98</f>
        <v>9</v>
      </c>
      <c r="U31" s="85">
        <f t="shared" si="1"/>
        <v>46771.91</v>
      </c>
      <c r="V31" s="85">
        <f t="shared" si="1"/>
        <v>38478.644</v>
      </c>
      <c r="W31" s="87">
        <f>'[1]Sheet1'!X98</f>
        <v>36832.61</v>
      </c>
      <c r="X31" s="87">
        <f>'[1]Sheet1'!Y98</f>
        <v>11499.8</v>
      </c>
      <c r="Y31" s="87">
        <f>'[1]Sheet1'!Z98</f>
        <v>0</v>
      </c>
      <c r="Z31" s="87">
        <f>'[1]Sheet1'!AA98</f>
        <v>0</v>
      </c>
      <c r="AA31" s="87">
        <f>'[1]Sheet1'!AB98</f>
        <v>0</v>
      </c>
      <c r="AB31" s="87">
        <f>'[1]Sheet1'!AC98</f>
        <v>0</v>
      </c>
      <c r="AC31" s="87">
        <f>'[1]Sheet1'!AD98</f>
        <v>0</v>
      </c>
      <c r="AD31" s="87">
        <f>'[1]Sheet1'!AE98</f>
        <v>0</v>
      </c>
      <c r="AE31" s="87">
        <f>'[1]Sheet1'!AF98</f>
        <v>-15000</v>
      </c>
      <c r="AF31" s="87">
        <f>'[1]Sheet1'!AG98</f>
        <v>-6185.019</v>
      </c>
      <c r="AG31" s="87">
        <f>'[1]Sheet1'!AH98</f>
        <v>0</v>
      </c>
      <c r="AH31" s="87">
        <f>'[1]Sheet1'!AI98</f>
        <v>0</v>
      </c>
      <c r="AI31" s="87">
        <f t="shared" si="4"/>
        <v>4500.01</v>
      </c>
      <c r="AJ31" s="87">
        <f>'[1]Sheet1'!AK98</f>
        <v>4500.01</v>
      </c>
      <c r="AK31" s="85">
        <f t="shared" si="2"/>
        <v>26332.620000000003</v>
      </c>
      <c r="AL31" s="85">
        <f t="shared" si="2"/>
        <v>9814.791</v>
      </c>
    </row>
    <row r="32" spans="1:38" ht="16.5" customHeight="1">
      <c r="A32" s="5">
        <v>22</v>
      </c>
      <c r="B32" s="83" t="s">
        <v>114</v>
      </c>
      <c r="C32" s="84">
        <f t="shared" si="0"/>
        <v>6600.799999999999</v>
      </c>
      <c r="D32" s="84">
        <f t="shared" si="0"/>
        <v>0</v>
      </c>
      <c r="E32" s="65">
        <f>'[1]Sheet1'!F96</f>
        <v>4690</v>
      </c>
      <c r="F32" s="65">
        <f>'[1]Sheet1'!G96</f>
        <v>0</v>
      </c>
      <c r="G32" s="65">
        <f>'[1]Sheet1'!H96</f>
        <v>1030</v>
      </c>
      <c r="H32" s="65">
        <f>'[1]Sheet1'!I96</f>
        <v>0</v>
      </c>
      <c r="I32" s="65">
        <f>'[1]Sheet1'!J96</f>
        <v>250</v>
      </c>
      <c r="J32" s="65">
        <f>'[1]Sheet1'!K96</f>
        <v>0</v>
      </c>
      <c r="K32" s="65">
        <f>'[1]Sheet1'!L96</f>
        <v>0</v>
      </c>
      <c r="L32" s="65">
        <f>'[1]Sheet1'!M96</f>
        <v>0</v>
      </c>
      <c r="M32" s="65">
        <f>'[1]Sheet1'!N96</f>
        <v>0</v>
      </c>
      <c r="N32" s="65">
        <f>'[1]Sheet1'!O96</f>
        <v>0</v>
      </c>
      <c r="O32" s="65">
        <f>'[1]Sheet1'!P96</f>
        <v>0</v>
      </c>
      <c r="P32" s="65">
        <f>'[1]Sheet1'!Q96</f>
        <v>0</v>
      </c>
      <c r="Q32" s="65">
        <f>'[1]Sheet1'!R96</f>
        <v>120</v>
      </c>
      <c r="R32" s="65">
        <f>'[1]Sheet1'!S96</f>
        <v>0</v>
      </c>
      <c r="S32" s="65">
        <f>'[1]Sheet1'!T96</f>
        <v>180</v>
      </c>
      <c r="T32" s="65">
        <f>'[1]Sheet1'!U96</f>
        <v>0</v>
      </c>
      <c r="U32" s="85">
        <f t="shared" si="1"/>
        <v>6270</v>
      </c>
      <c r="V32" s="85">
        <f t="shared" si="1"/>
        <v>0</v>
      </c>
      <c r="W32" s="87">
        <f>'[1]Sheet1'!X96</f>
        <v>10330.8</v>
      </c>
      <c r="X32" s="87">
        <f>'[1]Sheet1'!Y96</f>
        <v>0</v>
      </c>
      <c r="Y32" s="87">
        <f>'[1]Sheet1'!Z96</f>
        <v>0</v>
      </c>
      <c r="Z32" s="87">
        <f>'[1]Sheet1'!AA96</f>
        <v>0</v>
      </c>
      <c r="AA32" s="87">
        <f>'[1]Sheet1'!AB96</f>
        <v>0</v>
      </c>
      <c r="AB32" s="87">
        <f>'[1]Sheet1'!AC96</f>
        <v>0</v>
      </c>
      <c r="AC32" s="87">
        <f>'[1]Sheet1'!AD96</f>
        <v>0</v>
      </c>
      <c r="AD32" s="87">
        <f>'[1]Sheet1'!AE96</f>
        <v>0</v>
      </c>
      <c r="AE32" s="87">
        <f>'[1]Sheet1'!AF96</f>
        <v>-10000</v>
      </c>
      <c r="AF32" s="87">
        <f>'[1]Sheet1'!AG96</f>
        <v>0</v>
      </c>
      <c r="AG32" s="87">
        <f>'[1]Sheet1'!AH96</f>
        <v>0</v>
      </c>
      <c r="AH32" s="87">
        <f>'[1]Sheet1'!AI96</f>
        <v>0</v>
      </c>
      <c r="AI32" s="87">
        <f t="shared" si="4"/>
        <v>330</v>
      </c>
      <c r="AJ32" s="87">
        <f>'[1]Sheet1'!AK96</f>
        <v>330</v>
      </c>
      <c r="AK32" s="85">
        <f t="shared" si="2"/>
        <v>660.7999999999993</v>
      </c>
      <c r="AL32" s="85">
        <f t="shared" si="2"/>
        <v>330</v>
      </c>
    </row>
    <row r="33" spans="1:38" ht="16.5" customHeight="1">
      <c r="A33" s="5">
        <v>23</v>
      </c>
      <c r="B33" s="83" t="s">
        <v>115</v>
      </c>
      <c r="C33" s="84">
        <f t="shared" si="0"/>
        <v>4128.51</v>
      </c>
      <c r="D33" s="84">
        <f t="shared" si="0"/>
        <v>3620.4670000000006</v>
      </c>
      <c r="E33" s="65">
        <f>'[1]Sheet1'!F108</f>
        <v>2176.8</v>
      </c>
      <c r="F33" s="65">
        <f>'[1]Sheet1'!G108</f>
        <v>2176.692</v>
      </c>
      <c r="G33" s="65">
        <f>'[1]Sheet1'!H108</f>
        <v>618.5</v>
      </c>
      <c r="H33" s="65">
        <f>'[1]Sheet1'!I108</f>
        <v>618.475</v>
      </c>
      <c r="I33" s="65">
        <f>'[1]Sheet1'!J108</f>
        <v>340</v>
      </c>
      <c r="J33" s="65">
        <f>'[1]Sheet1'!K108</f>
        <v>340</v>
      </c>
      <c r="K33" s="65">
        <f>'[1]Sheet1'!L108</f>
        <v>0</v>
      </c>
      <c r="L33" s="65">
        <f>'[1]Sheet1'!M108</f>
        <v>0</v>
      </c>
      <c r="M33" s="65">
        <f>'[1]Sheet1'!N108</f>
        <v>0</v>
      </c>
      <c r="N33" s="65">
        <f>'[1]Sheet1'!O108</f>
        <v>0</v>
      </c>
      <c r="O33" s="65">
        <f>'[1]Sheet1'!P108</f>
        <v>0</v>
      </c>
      <c r="P33" s="65">
        <f>'[1]Sheet1'!Q108</f>
        <v>0</v>
      </c>
      <c r="Q33" s="65">
        <f>'[1]Sheet1'!R108</f>
        <v>455.3</v>
      </c>
      <c r="R33" s="65">
        <f>'[1]Sheet1'!S108</f>
        <v>455.3</v>
      </c>
      <c r="S33" s="65">
        <f>'[1]Sheet1'!T108</f>
        <v>30.01</v>
      </c>
      <c r="T33" s="65">
        <f>'[1]Sheet1'!U108</f>
        <v>30</v>
      </c>
      <c r="U33" s="85">
        <f t="shared" si="1"/>
        <v>3620.6100000000006</v>
      </c>
      <c r="V33" s="85">
        <f t="shared" si="1"/>
        <v>3620.467</v>
      </c>
      <c r="W33" s="87">
        <f>'[1]Sheet1'!X108</f>
        <v>707.9</v>
      </c>
      <c r="X33" s="87">
        <f>'[1]Sheet1'!Y108</f>
        <v>0</v>
      </c>
      <c r="Y33" s="87">
        <f>'[1]Sheet1'!Z108</f>
        <v>0</v>
      </c>
      <c r="Z33" s="87">
        <f>'[1]Sheet1'!AA108</f>
        <v>0</v>
      </c>
      <c r="AA33" s="87">
        <f>'[1]Sheet1'!AB108</f>
        <v>0</v>
      </c>
      <c r="AB33" s="87">
        <f>'[1]Sheet1'!AC108</f>
        <v>0</v>
      </c>
      <c r="AC33" s="87">
        <f>'[1]Sheet1'!AD108</f>
        <v>0</v>
      </c>
      <c r="AD33" s="87">
        <f>'[1]Sheet1'!AE108</f>
        <v>0</v>
      </c>
      <c r="AE33" s="87">
        <f>'[1]Sheet1'!AF108</f>
        <v>-200</v>
      </c>
      <c r="AF33" s="87">
        <f>'[1]Sheet1'!AG108</f>
        <v>0</v>
      </c>
      <c r="AG33" s="87">
        <f>'[1]Sheet1'!AH108</f>
        <v>0</v>
      </c>
      <c r="AH33" s="87">
        <f>'[1]Sheet1'!AI108</f>
        <v>0</v>
      </c>
      <c r="AI33" s="87">
        <f t="shared" si="4"/>
        <v>500</v>
      </c>
      <c r="AJ33" s="87">
        <f>'[1]Sheet1'!AK108</f>
        <v>500</v>
      </c>
      <c r="AK33" s="85">
        <f t="shared" si="2"/>
        <v>1007.9</v>
      </c>
      <c r="AL33" s="85">
        <f t="shared" si="2"/>
        <v>500</v>
      </c>
    </row>
    <row r="34" spans="1:38" ht="16.5" customHeight="1">
      <c r="A34" s="5">
        <v>24</v>
      </c>
      <c r="B34" s="83" t="s">
        <v>116</v>
      </c>
      <c r="C34" s="84">
        <f t="shared" si="0"/>
        <v>8162.4000000000015</v>
      </c>
      <c r="D34" s="84">
        <f t="shared" si="0"/>
        <v>6353.786999999999</v>
      </c>
      <c r="E34" s="65">
        <f>'[1]Sheet1'!F109</f>
        <v>5446.3</v>
      </c>
      <c r="F34" s="65">
        <f>'[1]Sheet1'!G109</f>
        <v>4884.467</v>
      </c>
      <c r="G34" s="65">
        <f>'[1]Sheet1'!H109</f>
        <v>1382</v>
      </c>
      <c r="H34" s="65">
        <f>'[1]Sheet1'!I109</f>
        <v>1381.92</v>
      </c>
      <c r="I34" s="65">
        <f>'[1]Sheet1'!J109</f>
        <v>932</v>
      </c>
      <c r="J34" s="65">
        <f>'[1]Sheet1'!K109</f>
        <v>114.4</v>
      </c>
      <c r="K34" s="65">
        <f>'[1]Sheet1'!L109</f>
        <v>0</v>
      </c>
      <c r="L34" s="65">
        <f>'[1]Sheet1'!M109</f>
        <v>0</v>
      </c>
      <c r="M34" s="65">
        <f>'[1]Sheet1'!N109</f>
        <v>0</v>
      </c>
      <c r="N34" s="65">
        <f>'[1]Sheet1'!O109</f>
        <v>0</v>
      </c>
      <c r="O34" s="65">
        <f>'[1]Sheet1'!P109</f>
        <v>0</v>
      </c>
      <c r="P34" s="65">
        <f>'[1]Sheet1'!Q109</f>
        <v>0</v>
      </c>
      <c r="Q34" s="65">
        <f>'[1]Sheet1'!R109</f>
        <v>0</v>
      </c>
      <c r="R34" s="65">
        <f>'[1]Sheet1'!S109</f>
        <v>0</v>
      </c>
      <c r="S34" s="65">
        <f>'[1]Sheet1'!T109</f>
        <v>0</v>
      </c>
      <c r="T34" s="65">
        <f>'[1]Sheet1'!U109</f>
        <v>0</v>
      </c>
      <c r="U34" s="85">
        <f t="shared" si="1"/>
        <v>7760.3</v>
      </c>
      <c r="V34" s="85">
        <f t="shared" si="1"/>
        <v>6380.786999999999</v>
      </c>
      <c r="W34" s="87">
        <f>'[1]Sheet1'!X109</f>
        <v>5402.1</v>
      </c>
      <c r="X34" s="87">
        <f>'[1]Sheet1'!Y109</f>
        <v>1630</v>
      </c>
      <c r="Y34" s="87">
        <f>'[1]Sheet1'!Z109</f>
        <v>0</v>
      </c>
      <c r="Z34" s="87">
        <f>'[1]Sheet1'!AA109</f>
        <v>0</v>
      </c>
      <c r="AA34" s="87">
        <f>'[1]Sheet1'!AB109</f>
        <v>0</v>
      </c>
      <c r="AB34" s="87">
        <f>'[1]Sheet1'!AC109</f>
        <v>0</v>
      </c>
      <c r="AC34" s="87">
        <f>'[1]Sheet1'!AD109</f>
        <v>0</v>
      </c>
      <c r="AD34" s="87">
        <f>'[1]Sheet1'!AE109</f>
        <v>0</v>
      </c>
      <c r="AE34" s="87">
        <f>'[1]Sheet1'!AF109</f>
        <v>-5000</v>
      </c>
      <c r="AF34" s="87">
        <f>'[1]Sheet1'!AG109</f>
        <v>-1657</v>
      </c>
      <c r="AG34" s="87">
        <f>'[1]Sheet1'!AH109</f>
        <v>0</v>
      </c>
      <c r="AH34" s="87">
        <f>'[1]Sheet1'!AI109</f>
        <v>0</v>
      </c>
      <c r="AI34" s="87">
        <f t="shared" si="4"/>
        <v>400</v>
      </c>
      <c r="AJ34" s="87">
        <f>'[1]Sheet1'!AK109</f>
        <v>400</v>
      </c>
      <c r="AK34" s="85">
        <f t="shared" si="2"/>
        <v>802.1000000000004</v>
      </c>
      <c r="AL34" s="85">
        <f t="shared" si="2"/>
        <v>373</v>
      </c>
    </row>
    <row r="35" spans="1:38" ht="16.5" customHeight="1">
      <c r="A35" s="5">
        <v>25</v>
      </c>
      <c r="B35" s="83" t="s">
        <v>117</v>
      </c>
      <c r="C35" s="84">
        <f t="shared" si="0"/>
        <v>26499.3301</v>
      </c>
      <c r="D35" s="84">
        <f t="shared" si="0"/>
        <v>21643.847</v>
      </c>
      <c r="E35" s="65">
        <f>'[1]Sheet1'!F111</f>
        <v>11179</v>
      </c>
      <c r="F35" s="65">
        <f>'[1]Sheet1'!G111</f>
        <v>9872.787</v>
      </c>
      <c r="G35" s="65">
        <f>'[1]Sheet1'!H111</f>
        <v>2500</v>
      </c>
      <c r="H35" s="65">
        <f>'[1]Sheet1'!I111</f>
        <v>2071.277</v>
      </c>
      <c r="I35" s="65">
        <f>'[1]Sheet1'!J111</f>
        <v>2640.02</v>
      </c>
      <c r="J35" s="65">
        <f>'[1]Sheet1'!K111</f>
        <v>2284.386</v>
      </c>
      <c r="K35" s="65">
        <f>'[1]Sheet1'!L111</f>
        <v>0</v>
      </c>
      <c r="L35" s="65">
        <f>'[1]Sheet1'!M111</f>
        <v>0</v>
      </c>
      <c r="M35" s="65">
        <f>'[1]Sheet1'!N111</f>
        <v>0</v>
      </c>
      <c r="N35" s="65">
        <f>'[1]Sheet1'!O111</f>
        <v>0</v>
      </c>
      <c r="O35" s="65">
        <f>'[1]Sheet1'!P111</f>
        <v>0</v>
      </c>
      <c r="P35" s="65">
        <f>'[1]Sheet1'!Q111</f>
        <v>0</v>
      </c>
      <c r="Q35" s="65">
        <f>'[1]Sheet1'!R111</f>
        <v>2600.01</v>
      </c>
      <c r="R35" s="65">
        <f>'[1]Sheet1'!S111</f>
        <v>2600</v>
      </c>
      <c r="S35" s="65">
        <f>'[1]Sheet1'!T111</f>
        <v>263</v>
      </c>
      <c r="T35" s="65">
        <f>'[1]Sheet1'!U111</f>
        <v>188.4</v>
      </c>
      <c r="U35" s="85">
        <f t="shared" si="1"/>
        <v>19182.03</v>
      </c>
      <c r="V35" s="85">
        <f t="shared" si="1"/>
        <v>17016.850000000002</v>
      </c>
      <c r="W35" s="87">
        <f>'[1]Sheet1'!X111</f>
        <v>7317.3001</v>
      </c>
      <c r="X35" s="87">
        <f>'[1]Sheet1'!Y111</f>
        <v>5886.309</v>
      </c>
      <c r="Y35" s="87">
        <f>'[1]Sheet1'!Z111</f>
        <v>0</v>
      </c>
      <c r="Z35" s="87">
        <f>'[1]Sheet1'!AA111</f>
        <v>0</v>
      </c>
      <c r="AA35" s="87">
        <f>'[1]Sheet1'!AB111</f>
        <v>0</v>
      </c>
      <c r="AB35" s="87">
        <f>'[1]Sheet1'!AC111</f>
        <v>0</v>
      </c>
      <c r="AC35" s="87">
        <f>'[1]Sheet1'!AD111</f>
        <v>0</v>
      </c>
      <c r="AD35" s="87">
        <f>'[1]Sheet1'!AE111</f>
        <v>0</v>
      </c>
      <c r="AE35" s="87">
        <f>'[1]Sheet1'!AF111</f>
        <v>0</v>
      </c>
      <c r="AF35" s="87">
        <f>'[1]Sheet1'!AG111</f>
        <v>-1259.312</v>
      </c>
      <c r="AG35" s="87">
        <f>'[1]Sheet1'!AH111</f>
        <v>0</v>
      </c>
      <c r="AH35" s="87">
        <f>'[1]Sheet1'!AI111</f>
        <v>0</v>
      </c>
      <c r="AI35" s="87">
        <f t="shared" si="4"/>
        <v>3600</v>
      </c>
      <c r="AJ35" s="87">
        <f>'[1]Sheet1'!AK111</f>
        <v>3600</v>
      </c>
      <c r="AK35" s="85">
        <f t="shared" si="2"/>
        <v>10917.3001</v>
      </c>
      <c r="AL35" s="85">
        <f t="shared" si="2"/>
        <v>8226.997</v>
      </c>
    </row>
    <row r="36" spans="1:38" ht="16.5" customHeight="1">
      <c r="A36" s="5">
        <v>26</v>
      </c>
      <c r="B36" s="83" t="s">
        <v>118</v>
      </c>
      <c r="C36" s="84">
        <f t="shared" si="0"/>
        <v>58624.80000000001</v>
      </c>
      <c r="D36" s="84">
        <f t="shared" si="0"/>
        <v>54827.422</v>
      </c>
      <c r="E36" s="65">
        <f>'[1]Sheet1'!F112</f>
        <v>19933.8</v>
      </c>
      <c r="F36" s="65">
        <f>'[1]Sheet1'!G112</f>
        <v>19928.028</v>
      </c>
      <c r="G36" s="65">
        <f>'[1]Sheet1'!H112</f>
        <v>3860.9</v>
      </c>
      <c r="H36" s="65">
        <f>'[1]Sheet1'!I112</f>
        <v>3735.304</v>
      </c>
      <c r="I36" s="65">
        <f>'[1]Sheet1'!J112</f>
        <v>17830.1</v>
      </c>
      <c r="J36" s="65">
        <f>'[1]Sheet1'!K112</f>
        <v>15345.8</v>
      </c>
      <c r="K36" s="65">
        <f>'[1]Sheet1'!L112</f>
        <v>0</v>
      </c>
      <c r="L36" s="65">
        <f>'[1]Sheet1'!M112</f>
        <v>0</v>
      </c>
      <c r="M36" s="65">
        <f>'[1]Sheet1'!N112</f>
        <v>0</v>
      </c>
      <c r="N36" s="65">
        <f>'[1]Sheet1'!O112</f>
        <v>0</v>
      </c>
      <c r="O36" s="65">
        <f>'[1]Sheet1'!P112</f>
        <v>0</v>
      </c>
      <c r="P36" s="65">
        <f>'[1]Sheet1'!Q112</f>
        <v>0</v>
      </c>
      <c r="Q36" s="65">
        <f>'[1]Sheet1'!R112</f>
        <v>850</v>
      </c>
      <c r="R36" s="65">
        <f>'[1]Sheet1'!S112</f>
        <v>850</v>
      </c>
      <c r="S36" s="65">
        <f>'[1]Sheet1'!T112</f>
        <v>0</v>
      </c>
      <c r="T36" s="65">
        <f>'[1]Sheet1'!U112</f>
        <v>0</v>
      </c>
      <c r="U36" s="85">
        <f t="shared" si="1"/>
        <v>42474.8</v>
      </c>
      <c r="V36" s="85">
        <f t="shared" si="1"/>
        <v>39859.132</v>
      </c>
      <c r="W36" s="87">
        <f>'[1]Sheet1'!X112</f>
        <v>16150</v>
      </c>
      <c r="X36" s="87">
        <f>'[1]Sheet1'!Y112</f>
        <v>16149.65</v>
      </c>
      <c r="Y36" s="87">
        <f>'[1]Sheet1'!Z112</f>
        <v>0</v>
      </c>
      <c r="Z36" s="87">
        <f>'[1]Sheet1'!AA112</f>
        <v>0</v>
      </c>
      <c r="AA36" s="87">
        <f>'[1]Sheet1'!AB112</f>
        <v>0</v>
      </c>
      <c r="AB36" s="87">
        <f>'[1]Sheet1'!AC112</f>
        <v>0</v>
      </c>
      <c r="AC36" s="87">
        <f>'[1]Sheet1'!AD112</f>
        <v>0</v>
      </c>
      <c r="AD36" s="87">
        <f>'[1]Sheet1'!AE112</f>
        <v>0</v>
      </c>
      <c r="AE36" s="87">
        <f>'[1]Sheet1'!AF112</f>
        <v>0</v>
      </c>
      <c r="AF36" s="87">
        <f>'[1]Sheet1'!AG112</f>
        <v>-1181.36</v>
      </c>
      <c r="AG36" s="87">
        <f>'[1]Sheet1'!AH112</f>
        <v>0</v>
      </c>
      <c r="AH36" s="87">
        <f>'[1]Sheet1'!AI112</f>
        <v>0</v>
      </c>
      <c r="AI36" s="87">
        <f t="shared" si="4"/>
        <v>7939.4</v>
      </c>
      <c r="AJ36" s="87">
        <f>'[1]Sheet1'!AK112</f>
        <v>7939.4</v>
      </c>
      <c r="AK36" s="85">
        <f t="shared" si="2"/>
        <v>24089.4</v>
      </c>
      <c r="AL36" s="85">
        <f t="shared" si="2"/>
        <v>22907.69</v>
      </c>
    </row>
    <row r="37" spans="1:38" ht="16.5" customHeight="1">
      <c r="A37" s="5">
        <v>27</v>
      </c>
      <c r="B37" s="83" t="s">
        <v>119</v>
      </c>
      <c r="C37" s="84">
        <f t="shared" si="0"/>
        <v>43382.81999999999</v>
      </c>
      <c r="D37" s="84">
        <f t="shared" si="0"/>
        <v>8167.221999999991</v>
      </c>
      <c r="E37" s="65">
        <f>'[1]Sheet1'!F113</f>
        <v>14390</v>
      </c>
      <c r="F37" s="65">
        <f>'[1]Sheet1'!G113</f>
        <v>13654.713</v>
      </c>
      <c r="G37" s="65">
        <f>'[1]Sheet1'!H113</f>
        <v>2680.8</v>
      </c>
      <c r="H37" s="65">
        <f>'[1]Sheet1'!I113</f>
        <v>2515.979</v>
      </c>
      <c r="I37" s="65">
        <f>'[1]Sheet1'!J113</f>
        <v>8350</v>
      </c>
      <c r="J37" s="65">
        <f>'[1]Sheet1'!K113</f>
        <v>3108.64</v>
      </c>
      <c r="K37" s="65">
        <f>'[1]Sheet1'!L113</f>
        <v>0</v>
      </c>
      <c r="L37" s="65">
        <f>'[1]Sheet1'!M113</f>
        <v>0</v>
      </c>
      <c r="M37" s="65">
        <f>'[1]Sheet1'!N113</f>
        <v>0</v>
      </c>
      <c r="N37" s="65">
        <f>'[1]Sheet1'!O113</f>
        <v>0</v>
      </c>
      <c r="O37" s="65">
        <f>'[1]Sheet1'!P113</f>
        <v>0</v>
      </c>
      <c r="P37" s="65">
        <f>'[1]Sheet1'!Q113</f>
        <v>0</v>
      </c>
      <c r="Q37" s="65">
        <f>'[1]Sheet1'!R113</f>
        <v>5887.5</v>
      </c>
      <c r="R37" s="65">
        <f>'[1]Sheet1'!S113</f>
        <v>3905</v>
      </c>
      <c r="S37" s="65">
        <f>'[1]Sheet1'!T113</f>
        <v>200</v>
      </c>
      <c r="T37" s="65">
        <f>'[1]Sheet1'!U113</f>
        <v>0</v>
      </c>
      <c r="U37" s="85">
        <f t="shared" si="1"/>
        <v>31508.3</v>
      </c>
      <c r="V37" s="85">
        <f t="shared" si="1"/>
        <v>23184.332</v>
      </c>
      <c r="W37" s="87">
        <f>'[1]Sheet1'!X113</f>
        <v>77074.51</v>
      </c>
      <c r="X37" s="87">
        <f>'[1]Sheet1'!Y113</f>
        <v>38231.99</v>
      </c>
      <c r="Y37" s="87">
        <f>'[1]Sheet1'!Z113</f>
        <v>0</v>
      </c>
      <c r="Z37" s="87">
        <f>'[1]Sheet1'!AA113</f>
        <v>0</v>
      </c>
      <c r="AA37" s="87">
        <f>'[1]Sheet1'!AB113</f>
        <v>14000.01</v>
      </c>
      <c r="AB37" s="87">
        <f>'[1]Sheet1'!AC113</f>
        <v>14000</v>
      </c>
      <c r="AC37" s="87">
        <f>'[1]Sheet1'!AD113</f>
        <v>-59200</v>
      </c>
      <c r="AD37" s="87">
        <f>'[1]Sheet1'!AE113</f>
        <v>0</v>
      </c>
      <c r="AE37" s="87">
        <f>'[1]Sheet1'!AF113</f>
        <v>-20000</v>
      </c>
      <c r="AF37" s="87">
        <f>'[1]Sheet1'!AG113</f>
        <v>-67249.1</v>
      </c>
      <c r="AG37" s="87">
        <f>'[1]Sheet1'!AH113</f>
        <v>0</v>
      </c>
      <c r="AH37" s="87">
        <f>'[1]Sheet1'!AI113</f>
        <v>0</v>
      </c>
      <c r="AI37" s="87">
        <f t="shared" si="4"/>
        <v>3620</v>
      </c>
      <c r="AJ37" s="87">
        <f>'[1]Sheet1'!AK113</f>
        <v>3620</v>
      </c>
      <c r="AK37" s="85">
        <f t="shared" si="2"/>
        <v>15494.519999999997</v>
      </c>
      <c r="AL37" s="85">
        <f t="shared" si="2"/>
        <v>-11397.110000000008</v>
      </c>
    </row>
    <row r="38" spans="1:38" ht="16.5" customHeight="1">
      <c r="A38" s="5">
        <v>28</v>
      </c>
      <c r="B38" s="83" t="s">
        <v>120</v>
      </c>
      <c r="C38" s="84">
        <f t="shared" si="0"/>
        <v>104549.60029999999</v>
      </c>
      <c r="D38" s="84">
        <f t="shared" si="0"/>
        <v>79530.28600000001</v>
      </c>
      <c r="E38" s="65">
        <f>'[1]Sheet1'!F116</f>
        <v>18841</v>
      </c>
      <c r="F38" s="65">
        <f>'[1]Sheet1'!G116</f>
        <v>18184.654</v>
      </c>
      <c r="G38" s="65">
        <f>'[1]Sheet1'!H116</f>
        <v>4791.2</v>
      </c>
      <c r="H38" s="65">
        <f>'[1]Sheet1'!I116</f>
        <v>3573.433</v>
      </c>
      <c r="I38" s="65">
        <f>'[1]Sheet1'!J116</f>
        <v>50333.25</v>
      </c>
      <c r="J38" s="65">
        <f>'[1]Sheet1'!K116</f>
        <v>41514.63</v>
      </c>
      <c r="K38" s="65">
        <f>'[1]Sheet1'!L116</f>
        <v>0</v>
      </c>
      <c r="L38" s="65">
        <f>'[1]Sheet1'!M116</f>
        <v>0</v>
      </c>
      <c r="M38" s="65">
        <f>'[1]Sheet1'!N116</f>
        <v>0</v>
      </c>
      <c r="N38" s="65">
        <f>'[1]Sheet1'!O116</f>
        <v>0</v>
      </c>
      <c r="O38" s="65">
        <f>'[1]Sheet1'!P116</f>
        <v>8093.0202</v>
      </c>
      <c r="P38" s="65">
        <f>'[1]Sheet1'!Q116</f>
        <v>7640</v>
      </c>
      <c r="Q38" s="65">
        <f>'[1]Sheet1'!R116</f>
        <v>800</v>
      </c>
      <c r="R38" s="65">
        <f>'[1]Sheet1'!S116</f>
        <v>800</v>
      </c>
      <c r="S38" s="65">
        <f>'[1]Sheet1'!T116</f>
        <v>280</v>
      </c>
      <c r="T38" s="65">
        <f>'[1]Sheet1'!U116</f>
        <v>10</v>
      </c>
      <c r="U38" s="85">
        <f t="shared" si="1"/>
        <v>83138.4702</v>
      </c>
      <c r="V38" s="85">
        <f t="shared" si="1"/>
        <v>71722.717</v>
      </c>
      <c r="W38" s="87">
        <f>'[1]Sheet1'!X116</f>
        <v>30050.0301</v>
      </c>
      <c r="X38" s="87">
        <f>'[1]Sheet1'!Y116</f>
        <v>11401.869</v>
      </c>
      <c r="Y38" s="87">
        <f>'[1]Sheet1'!Z116</f>
        <v>0</v>
      </c>
      <c r="Z38" s="87">
        <f>'[1]Sheet1'!AA116</f>
        <v>0</v>
      </c>
      <c r="AA38" s="87">
        <f>'[1]Sheet1'!AB116</f>
        <v>0</v>
      </c>
      <c r="AB38" s="87">
        <f>'[1]Sheet1'!AC116</f>
        <v>0</v>
      </c>
      <c r="AC38" s="87">
        <f>'[1]Sheet1'!AD116</f>
        <v>-8638.9</v>
      </c>
      <c r="AD38" s="87">
        <f>'[1]Sheet1'!AE116</f>
        <v>0</v>
      </c>
      <c r="AE38" s="87">
        <f>'[1]Sheet1'!AF116</f>
        <v>0</v>
      </c>
      <c r="AF38" s="87">
        <f>'[1]Sheet1'!AG116</f>
        <v>-3594.3</v>
      </c>
      <c r="AG38" s="87">
        <f>'[1]Sheet1'!AH116</f>
        <v>0</v>
      </c>
      <c r="AH38" s="87">
        <f>'[1]Sheet1'!AI116</f>
        <v>0</v>
      </c>
      <c r="AI38" s="87">
        <f t="shared" si="4"/>
        <v>7000</v>
      </c>
      <c r="AJ38" s="87">
        <f>'[1]Sheet1'!AK116</f>
        <v>7000</v>
      </c>
      <c r="AK38" s="85">
        <f t="shared" si="2"/>
        <v>28411.130100000002</v>
      </c>
      <c r="AL38" s="85">
        <f t="shared" si="2"/>
        <v>14807.569</v>
      </c>
    </row>
    <row r="39" spans="1:38" ht="16.5" customHeight="1">
      <c r="A39" s="5">
        <v>29</v>
      </c>
      <c r="B39" s="83" t="s">
        <v>121</v>
      </c>
      <c r="C39" s="84">
        <f t="shared" si="0"/>
        <v>17071.61</v>
      </c>
      <c r="D39" s="84">
        <f t="shared" si="0"/>
        <v>9843.79</v>
      </c>
      <c r="E39" s="65">
        <f>'[1]Sheet1'!F117</f>
        <v>6980</v>
      </c>
      <c r="F39" s="65">
        <f>'[1]Sheet1'!G117</f>
        <v>6978.656</v>
      </c>
      <c r="G39" s="65">
        <f>'[1]Sheet1'!H117</f>
        <v>1340</v>
      </c>
      <c r="H39" s="65">
        <f>'[1]Sheet1'!I117</f>
        <v>1328.034</v>
      </c>
      <c r="I39" s="65">
        <f>'[1]Sheet1'!J117</f>
        <v>1505.1</v>
      </c>
      <c r="J39" s="65">
        <f>'[1]Sheet1'!K117</f>
        <v>1138.1</v>
      </c>
      <c r="K39" s="65">
        <f>'[1]Sheet1'!L117</f>
        <v>0</v>
      </c>
      <c r="L39" s="65">
        <f>'[1]Sheet1'!M117</f>
        <v>0</v>
      </c>
      <c r="M39" s="65">
        <f>'[1]Sheet1'!N117</f>
        <v>0</v>
      </c>
      <c r="N39" s="65">
        <f>'[1]Sheet1'!O117</f>
        <v>0</v>
      </c>
      <c r="O39" s="65">
        <f>'[1]Sheet1'!P117</f>
        <v>0</v>
      </c>
      <c r="P39" s="65">
        <f>'[1]Sheet1'!Q117</f>
        <v>0</v>
      </c>
      <c r="Q39" s="65">
        <f>'[1]Sheet1'!R117</f>
        <v>650.01</v>
      </c>
      <c r="R39" s="65">
        <f>'[1]Sheet1'!S117</f>
        <v>355</v>
      </c>
      <c r="S39" s="65">
        <f>'[1]Sheet1'!T117</f>
        <v>153.5</v>
      </c>
      <c r="T39" s="65">
        <f>'[1]Sheet1'!U117</f>
        <v>44</v>
      </c>
      <c r="U39" s="85">
        <f t="shared" si="1"/>
        <v>10628.61</v>
      </c>
      <c r="V39" s="85">
        <f t="shared" si="1"/>
        <v>9843.79</v>
      </c>
      <c r="W39" s="87">
        <f>'[1]Sheet1'!X117</f>
        <v>6443</v>
      </c>
      <c r="X39" s="87">
        <f>'[1]Sheet1'!Y117</f>
        <v>0</v>
      </c>
      <c r="Y39" s="87">
        <f>'[1]Sheet1'!Z117</f>
        <v>0</v>
      </c>
      <c r="Z39" s="87">
        <f>'[1]Sheet1'!AA117</f>
        <v>0</v>
      </c>
      <c r="AA39" s="87">
        <f>'[1]Sheet1'!AB117</f>
        <v>0</v>
      </c>
      <c r="AB39" s="87">
        <f>'[1]Sheet1'!AC117</f>
        <v>0</v>
      </c>
      <c r="AC39" s="87">
        <f>'[1]Sheet1'!AD117</f>
        <v>0</v>
      </c>
      <c r="AD39" s="87">
        <f>'[1]Sheet1'!AE117</f>
        <v>0</v>
      </c>
      <c r="AE39" s="87">
        <f>'[1]Sheet1'!AF117</f>
        <v>0</v>
      </c>
      <c r="AF39" s="87">
        <f>'[1]Sheet1'!AG117</f>
        <v>0</v>
      </c>
      <c r="AG39" s="87">
        <f>'[1]Sheet1'!AH117</f>
        <v>0</v>
      </c>
      <c r="AH39" s="87">
        <f>'[1]Sheet1'!AI117</f>
        <v>0</v>
      </c>
      <c r="AI39" s="87">
        <f t="shared" si="4"/>
        <v>1400</v>
      </c>
      <c r="AJ39" s="87">
        <f>'[1]Sheet1'!AK117</f>
        <v>1400</v>
      </c>
      <c r="AK39" s="85">
        <f t="shared" si="2"/>
        <v>7843</v>
      </c>
      <c r="AL39" s="85">
        <f t="shared" si="2"/>
        <v>1400</v>
      </c>
    </row>
    <row r="40" spans="1:38" ht="16.5" customHeight="1">
      <c r="A40" s="5">
        <v>30</v>
      </c>
      <c r="B40" s="83" t="s">
        <v>122</v>
      </c>
      <c r="C40" s="84">
        <f t="shared" si="0"/>
        <v>38058.64</v>
      </c>
      <c r="D40" s="84">
        <f t="shared" si="0"/>
        <v>32691.804999999997</v>
      </c>
      <c r="E40" s="65">
        <f>'[1]Sheet1'!F115</f>
        <v>15554.51</v>
      </c>
      <c r="F40" s="65">
        <f>'[1]Sheet1'!G115</f>
        <v>14967.621</v>
      </c>
      <c r="G40" s="65">
        <f>'[1]Sheet1'!H115</f>
        <v>3160.11</v>
      </c>
      <c r="H40" s="65">
        <f>'[1]Sheet1'!I115</f>
        <v>3058.47</v>
      </c>
      <c r="I40" s="65">
        <f>'[1]Sheet1'!J115</f>
        <v>6650.01</v>
      </c>
      <c r="J40" s="65">
        <f>'[1]Sheet1'!K115</f>
        <v>3890.9</v>
      </c>
      <c r="K40" s="65">
        <f>'[1]Sheet1'!L115</f>
        <v>0</v>
      </c>
      <c r="L40" s="65">
        <f>'[1]Sheet1'!M115</f>
        <v>0</v>
      </c>
      <c r="M40" s="65">
        <f>'[1]Sheet1'!N115</f>
        <v>0</v>
      </c>
      <c r="N40" s="65">
        <f>'[1]Sheet1'!O115</f>
        <v>0</v>
      </c>
      <c r="O40" s="65">
        <f>'[1]Sheet1'!P115</f>
        <v>24</v>
      </c>
      <c r="P40" s="65">
        <f>'[1]Sheet1'!Q115</f>
        <v>0</v>
      </c>
      <c r="Q40" s="65">
        <f>'[1]Sheet1'!R115</f>
        <v>2320</v>
      </c>
      <c r="R40" s="65">
        <f>'[1]Sheet1'!S115</f>
        <v>2320</v>
      </c>
      <c r="S40" s="65">
        <f>'[1]Sheet1'!T115</f>
        <v>1500.01</v>
      </c>
      <c r="T40" s="65">
        <f>'[1]Sheet1'!U115</f>
        <v>1407.35</v>
      </c>
      <c r="U40" s="85">
        <f t="shared" si="1"/>
        <v>29208.639999999996</v>
      </c>
      <c r="V40" s="85">
        <f t="shared" si="1"/>
        <v>25644.341</v>
      </c>
      <c r="W40" s="87">
        <f>'[1]Sheet1'!X115</f>
        <v>17194</v>
      </c>
      <c r="X40" s="87">
        <f>'[1]Sheet1'!Y115</f>
        <v>8357.864</v>
      </c>
      <c r="Y40" s="87">
        <f>'[1]Sheet1'!Z115</f>
        <v>0</v>
      </c>
      <c r="Z40" s="87">
        <f>'[1]Sheet1'!AA115</f>
        <v>0</v>
      </c>
      <c r="AA40" s="87">
        <f>'[1]Sheet1'!AB115</f>
        <v>0</v>
      </c>
      <c r="AB40" s="87">
        <f>'[1]Sheet1'!AC115</f>
        <v>0</v>
      </c>
      <c r="AC40" s="87">
        <f>'[1]Sheet1'!AD115</f>
        <v>0</v>
      </c>
      <c r="AD40" s="87">
        <f>'[1]Sheet1'!AE115</f>
        <v>0</v>
      </c>
      <c r="AE40" s="87">
        <f>'[1]Sheet1'!AF115</f>
        <v>-8344</v>
      </c>
      <c r="AF40" s="87">
        <f>'[1]Sheet1'!AG115</f>
        <v>-1310.4</v>
      </c>
      <c r="AG40" s="87">
        <f>'[1]Sheet1'!AH115</f>
        <v>0</v>
      </c>
      <c r="AH40" s="87">
        <f>'[1]Sheet1'!AI115</f>
        <v>0</v>
      </c>
      <c r="AI40" s="87">
        <f t="shared" si="4"/>
        <v>8808.3</v>
      </c>
      <c r="AJ40" s="87">
        <f>'[1]Sheet1'!AK115</f>
        <v>8808.3</v>
      </c>
      <c r="AK40" s="85">
        <f t="shared" si="2"/>
        <v>17658.3</v>
      </c>
      <c r="AL40" s="85">
        <f t="shared" si="2"/>
        <v>15855.764</v>
      </c>
    </row>
    <row r="41" spans="1:38" s="89" customFormat="1" ht="16.5" customHeight="1">
      <c r="A41" s="5">
        <v>31</v>
      </c>
      <c r="B41" s="83" t="s">
        <v>123</v>
      </c>
      <c r="C41" s="84">
        <f t="shared" si="0"/>
        <v>127918.3</v>
      </c>
      <c r="D41" s="84">
        <f t="shared" si="0"/>
        <v>121331.644</v>
      </c>
      <c r="E41" s="65">
        <f>'[1]Sheet1'!F6</f>
        <v>63729.8</v>
      </c>
      <c r="F41" s="65">
        <f>'[1]Sheet1'!G6</f>
        <v>62716.986</v>
      </c>
      <c r="G41" s="65">
        <f>'[1]Sheet1'!H6</f>
        <v>16578.9</v>
      </c>
      <c r="H41" s="65">
        <f>'[1]Sheet1'!I6</f>
        <v>16451.281</v>
      </c>
      <c r="I41" s="65">
        <f>'[1]Sheet1'!J6</f>
        <v>36938.4</v>
      </c>
      <c r="J41" s="65">
        <f>'[1]Sheet1'!K6</f>
        <v>34487.116</v>
      </c>
      <c r="K41" s="65">
        <f>'[1]Sheet1'!L6</f>
        <v>0</v>
      </c>
      <c r="L41" s="65">
        <f>'[1]Sheet1'!M6</f>
        <v>0</v>
      </c>
      <c r="M41" s="65">
        <f>'[1]Sheet1'!N6</f>
        <v>0</v>
      </c>
      <c r="N41" s="65">
        <f>'[1]Sheet1'!O6</f>
        <v>0</v>
      </c>
      <c r="O41" s="65">
        <f>'[1]Sheet1'!P6</f>
        <v>0</v>
      </c>
      <c r="P41" s="65">
        <f>'[1]Sheet1'!Q6</f>
        <v>0</v>
      </c>
      <c r="Q41" s="65">
        <f>'[1]Sheet1'!R6</f>
        <v>3300</v>
      </c>
      <c r="R41" s="65">
        <f>'[1]Sheet1'!S6</f>
        <v>3284.7</v>
      </c>
      <c r="S41" s="65">
        <f>'[1]Sheet1'!T6</f>
        <v>1211</v>
      </c>
      <c r="T41" s="65">
        <f>'[1]Sheet1'!U6</f>
        <v>1193.586</v>
      </c>
      <c r="U41" s="85">
        <f t="shared" si="1"/>
        <v>121758.1</v>
      </c>
      <c r="V41" s="85">
        <f t="shared" si="1"/>
        <v>118133.669</v>
      </c>
      <c r="W41" s="88">
        <f>'[1]Sheet1'!X6</f>
        <v>18160.2</v>
      </c>
      <c r="X41" s="88">
        <f>'[1]Sheet1'!Y6</f>
        <v>13962.791</v>
      </c>
      <c r="Y41" s="88">
        <f>'[1]Sheet1'!Z6</f>
        <v>0</v>
      </c>
      <c r="Z41" s="88">
        <f>'[1]Sheet1'!AA6</f>
        <v>0</v>
      </c>
      <c r="AA41" s="88">
        <f>'[1]Sheet1'!AB6</f>
        <v>0</v>
      </c>
      <c r="AB41" s="88">
        <f>'[1]Sheet1'!AC6</f>
        <v>0</v>
      </c>
      <c r="AC41" s="88">
        <f>'[1]Sheet1'!AD6</f>
        <v>0</v>
      </c>
      <c r="AD41" s="88">
        <f>'[1]Sheet1'!AE6</f>
        <v>0</v>
      </c>
      <c r="AE41" s="88">
        <f>'[1]Sheet1'!AF6</f>
        <v>-12000</v>
      </c>
      <c r="AF41" s="88">
        <f>'[1]Sheet1'!AG6</f>
        <v>-10764.816</v>
      </c>
      <c r="AG41" s="88">
        <f>'[1]Sheet1'!AH6</f>
        <v>0</v>
      </c>
      <c r="AH41" s="88">
        <f>'[1]Sheet1'!AI6</f>
        <v>0</v>
      </c>
      <c r="AI41" s="87">
        <f t="shared" si="4"/>
        <v>1165.7</v>
      </c>
      <c r="AJ41" s="88">
        <f>'[1]Sheet1'!AK6</f>
        <v>1165.7</v>
      </c>
      <c r="AK41" s="85">
        <f t="shared" si="2"/>
        <v>7325.900000000001</v>
      </c>
      <c r="AL41" s="85">
        <f t="shared" si="2"/>
        <v>4363.674999999998</v>
      </c>
    </row>
    <row r="42" spans="1:38" ht="16.5" customHeight="1">
      <c r="A42" s="5">
        <v>32</v>
      </c>
      <c r="B42" s="83" t="s">
        <v>124</v>
      </c>
      <c r="C42" s="84">
        <f t="shared" si="0"/>
        <v>57112.4</v>
      </c>
      <c r="D42" s="84">
        <f t="shared" si="0"/>
        <v>53061.897000000004</v>
      </c>
      <c r="E42" s="65">
        <f>'[1]Sheet1'!F19</f>
        <v>25554.3</v>
      </c>
      <c r="F42" s="65">
        <f>'[1]Sheet1'!G19</f>
        <v>25153.455</v>
      </c>
      <c r="G42" s="65">
        <f>'[1]Sheet1'!H19</f>
        <v>6046.1</v>
      </c>
      <c r="H42" s="65">
        <f>'[1]Sheet1'!I19</f>
        <v>6032.597</v>
      </c>
      <c r="I42" s="65">
        <f>'[1]Sheet1'!J19</f>
        <v>19102</v>
      </c>
      <c r="J42" s="65">
        <f>'[1]Sheet1'!K19</f>
        <v>17727.295</v>
      </c>
      <c r="K42" s="65">
        <f>'[1]Sheet1'!L19</f>
        <v>0</v>
      </c>
      <c r="L42" s="65">
        <f>'[1]Sheet1'!M19</f>
        <v>0</v>
      </c>
      <c r="M42" s="65">
        <f>'[1]Sheet1'!N19</f>
        <v>0</v>
      </c>
      <c r="N42" s="65">
        <f>'[1]Sheet1'!O19</f>
        <v>0</v>
      </c>
      <c r="O42" s="65">
        <f>'[1]Sheet1'!P19</f>
        <v>0</v>
      </c>
      <c r="P42" s="65">
        <f>'[1]Sheet1'!Q19</f>
        <v>0</v>
      </c>
      <c r="Q42" s="65">
        <f>'[1]Sheet1'!R19</f>
        <v>1500</v>
      </c>
      <c r="R42" s="65">
        <f>'[1]Sheet1'!S19</f>
        <v>1167</v>
      </c>
      <c r="S42" s="65">
        <f>'[1]Sheet1'!T19</f>
        <v>410</v>
      </c>
      <c r="T42" s="65">
        <f>'[1]Sheet1'!U19</f>
        <v>331.25</v>
      </c>
      <c r="U42" s="85">
        <f t="shared" si="1"/>
        <v>52612.4</v>
      </c>
      <c r="V42" s="85">
        <f t="shared" si="1"/>
        <v>50411.597</v>
      </c>
      <c r="W42" s="87">
        <f>'[1]Sheet1'!X19</f>
        <v>4500</v>
      </c>
      <c r="X42" s="87">
        <f>'[1]Sheet1'!Y19</f>
        <v>2650.3</v>
      </c>
      <c r="Y42" s="87">
        <f>'[1]Sheet1'!Z19</f>
        <v>0</v>
      </c>
      <c r="Z42" s="87">
        <f>'[1]Sheet1'!AA19</f>
        <v>0</v>
      </c>
      <c r="AA42" s="87">
        <f>'[1]Sheet1'!AB19</f>
        <v>0</v>
      </c>
      <c r="AB42" s="87">
        <f>'[1]Sheet1'!AC19</f>
        <v>0</v>
      </c>
      <c r="AC42" s="87">
        <f>'[1]Sheet1'!AD19</f>
        <v>0</v>
      </c>
      <c r="AD42" s="87">
        <f>'[1]Sheet1'!AE19</f>
        <v>0</v>
      </c>
      <c r="AE42" s="87">
        <f>'[1]Sheet1'!AF19</f>
        <v>0</v>
      </c>
      <c r="AF42" s="87">
        <f>'[1]Sheet1'!AG19</f>
        <v>0</v>
      </c>
      <c r="AG42" s="87">
        <f>'[1]Sheet1'!AH19</f>
        <v>0</v>
      </c>
      <c r="AH42" s="87">
        <f>'[1]Sheet1'!AI19</f>
        <v>0</v>
      </c>
      <c r="AI42" s="87">
        <f t="shared" si="4"/>
        <v>4500</v>
      </c>
      <c r="AJ42" s="87">
        <f>'[1]Sheet1'!AK19</f>
        <v>4500</v>
      </c>
      <c r="AK42" s="85">
        <f t="shared" si="2"/>
        <v>9000</v>
      </c>
      <c r="AL42" s="85">
        <f t="shared" si="2"/>
        <v>7150.3</v>
      </c>
    </row>
    <row r="43" spans="1:38" ht="16.5" customHeight="1">
      <c r="A43" s="5">
        <v>33</v>
      </c>
      <c r="B43" s="83" t="s">
        <v>125</v>
      </c>
      <c r="C43" s="84">
        <f aca="true" t="shared" si="5" ref="C43:D74">U43+AK43-AI43</f>
        <v>12202.4</v>
      </c>
      <c r="D43" s="84">
        <f t="shared" si="5"/>
        <v>11534.002</v>
      </c>
      <c r="E43" s="65">
        <f>'[1]Sheet1'!F27</f>
        <v>6540</v>
      </c>
      <c r="F43" s="65">
        <f>'[1]Sheet1'!G27</f>
        <v>6540</v>
      </c>
      <c r="G43" s="65">
        <f>'[1]Sheet1'!H27</f>
        <v>1758.8</v>
      </c>
      <c r="H43" s="65">
        <f>'[1]Sheet1'!I27</f>
        <v>1758.6</v>
      </c>
      <c r="I43" s="65">
        <f>'[1]Sheet1'!J27</f>
        <v>1823.7</v>
      </c>
      <c r="J43" s="65">
        <f>'[1]Sheet1'!K27</f>
        <v>1276.09</v>
      </c>
      <c r="K43" s="65">
        <f>'[1]Sheet1'!L27</f>
        <v>0</v>
      </c>
      <c r="L43" s="65">
        <f>'[1]Sheet1'!M27</f>
        <v>0</v>
      </c>
      <c r="M43" s="65">
        <f>'[1]Sheet1'!N27</f>
        <v>0</v>
      </c>
      <c r="N43" s="65">
        <f>'[1]Sheet1'!O27</f>
        <v>0</v>
      </c>
      <c r="O43" s="65">
        <f>'[1]Sheet1'!P27</f>
        <v>0</v>
      </c>
      <c r="P43" s="65">
        <f>'[1]Sheet1'!Q27</f>
        <v>0</v>
      </c>
      <c r="Q43" s="65">
        <f>'[1]Sheet1'!R27</f>
        <v>0</v>
      </c>
      <c r="R43" s="65">
        <f>'[1]Sheet1'!S27</f>
        <v>0</v>
      </c>
      <c r="S43" s="65">
        <f>'[1]Sheet1'!T27</f>
        <v>71</v>
      </c>
      <c r="T43" s="65">
        <f>'[1]Sheet1'!U27</f>
        <v>70.4</v>
      </c>
      <c r="U43" s="85">
        <f t="shared" si="1"/>
        <v>10193.5</v>
      </c>
      <c r="V43" s="85">
        <f t="shared" si="1"/>
        <v>9645.09</v>
      </c>
      <c r="W43" s="87">
        <f>'[1]Sheet1'!X27</f>
        <v>2008.9</v>
      </c>
      <c r="X43" s="87">
        <f>'[1]Sheet1'!Y27</f>
        <v>1995</v>
      </c>
      <c r="Y43" s="87">
        <f>'[1]Sheet1'!Z27</f>
        <v>0</v>
      </c>
      <c r="Z43" s="87">
        <f>'[1]Sheet1'!AA27</f>
        <v>0</v>
      </c>
      <c r="AA43" s="87">
        <f>'[1]Sheet1'!AB27</f>
        <v>0</v>
      </c>
      <c r="AB43" s="87">
        <f>'[1]Sheet1'!AC27</f>
        <v>0</v>
      </c>
      <c r="AC43" s="87">
        <f>'[1]Sheet1'!AD27</f>
        <v>0</v>
      </c>
      <c r="AD43" s="87">
        <f>'[1]Sheet1'!AE27</f>
        <v>0</v>
      </c>
      <c r="AE43" s="87">
        <f>'[1]Sheet1'!AF27</f>
        <v>0</v>
      </c>
      <c r="AF43" s="87">
        <f>'[1]Sheet1'!AG27</f>
        <v>-106.088</v>
      </c>
      <c r="AG43" s="87">
        <f>'[1]Sheet1'!AH27</f>
        <v>0</v>
      </c>
      <c r="AH43" s="87">
        <f>'[1]Sheet1'!AI27</f>
        <v>0</v>
      </c>
      <c r="AI43" s="87">
        <f t="shared" si="4"/>
        <v>2000</v>
      </c>
      <c r="AJ43" s="87">
        <f>'[1]Sheet1'!AK27</f>
        <v>2000</v>
      </c>
      <c r="AK43" s="85">
        <f t="shared" si="2"/>
        <v>4008.9</v>
      </c>
      <c r="AL43" s="85">
        <f t="shared" si="2"/>
        <v>3888.9120000000003</v>
      </c>
    </row>
    <row r="44" spans="1:38" ht="16.5" customHeight="1">
      <c r="A44" s="5">
        <v>34</v>
      </c>
      <c r="B44" s="83" t="s">
        <v>126</v>
      </c>
      <c r="C44" s="84">
        <f t="shared" si="5"/>
        <v>10486.265</v>
      </c>
      <c r="D44" s="84">
        <f t="shared" si="5"/>
        <v>10071.436</v>
      </c>
      <c r="E44" s="65">
        <f>'[1]Sheet1'!F22</f>
        <v>4893</v>
      </c>
      <c r="F44" s="65">
        <f>'[1]Sheet1'!G22</f>
        <v>4887.305</v>
      </c>
      <c r="G44" s="65">
        <f>'[1]Sheet1'!H22</f>
        <v>2096.3</v>
      </c>
      <c r="H44" s="65">
        <f>'[1]Sheet1'!I22</f>
        <v>1990.95</v>
      </c>
      <c r="I44" s="65">
        <f>'[1]Sheet1'!J22</f>
        <v>1599</v>
      </c>
      <c r="J44" s="65">
        <f>'[1]Sheet1'!K22</f>
        <v>1370.28</v>
      </c>
      <c r="K44" s="65">
        <f>'[1]Sheet1'!L22</f>
        <v>0</v>
      </c>
      <c r="L44" s="65">
        <f>'[1]Sheet1'!M22</f>
        <v>0</v>
      </c>
      <c r="M44" s="65">
        <f>'[1]Sheet1'!N22</f>
        <v>0</v>
      </c>
      <c r="N44" s="65">
        <f>'[1]Sheet1'!O22</f>
        <v>0</v>
      </c>
      <c r="O44" s="65">
        <f>'[1]Sheet1'!P22</f>
        <v>0</v>
      </c>
      <c r="P44" s="65">
        <f>'[1]Sheet1'!Q22</f>
        <v>0</v>
      </c>
      <c r="Q44" s="65">
        <f>'[1]Sheet1'!R22</f>
        <v>138.9</v>
      </c>
      <c r="R44" s="65">
        <f>'[1]Sheet1'!S22</f>
        <v>75</v>
      </c>
      <c r="S44" s="65">
        <f>'[1]Sheet1'!T22</f>
        <v>1</v>
      </c>
      <c r="T44" s="65">
        <f>'[1]Sheet1'!U22</f>
        <v>1</v>
      </c>
      <c r="U44" s="85">
        <f t="shared" si="1"/>
        <v>8728.199999999999</v>
      </c>
      <c r="V44" s="85">
        <f t="shared" si="1"/>
        <v>8324.535</v>
      </c>
      <c r="W44" s="87">
        <f>'[1]Sheet1'!X22</f>
        <v>1758.065</v>
      </c>
      <c r="X44" s="87">
        <f>'[1]Sheet1'!Y22</f>
        <v>1758</v>
      </c>
      <c r="Y44" s="87">
        <f>'[1]Sheet1'!Z22</f>
        <v>0</v>
      </c>
      <c r="Z44" s="87">
        <f>'[1]Sheet1'!AA22</f>
        <v>0</v>
      </c>
      <c r="AA44" s="87">
        <f>'[1]Sheet1'!AB22</f>
        <v>0</v>
      </c>
      <c r="AB44" s="87">
        <f>'[1]Sheet1'!AC22</f>
        <v>0</v>
      </c>
      <c r="AC44" s="87">
        <f>'[1]Sheet1'!AD22</f>
        <v>0</v>
      </c>
      <c r="AD44" s="87">
        <f>'[1]Sheet1'!AE22</f>
        <v>0</v>
      </c>
      <c r="AE44" s="87">
        <f>'[1]Sheet1'!AF22</f>
        <v>0</v>
      </c>
      <c r="AF44" s="87">
        <f>'[1]Sheet1'!AG22</f>
        <v>-11.099</v>
      </c>
      <c r="AG44" s="87">
        <f>'[1]Sheet1'!AH22</f>
        <v>0</v>
      </c>
      <c r="AH44" s="87">
        <f>'[1]Sheet1'!AI22</f>
        <v>0</v>
      </c>
      <c r="AI44" s="87">
        <f t="shared" si="4"/>
        <v>1758</v>
      </c>
      <c r="AJ44" s="87">
        <f>'[1]Sheet1'!AK22</f>
        <v>1758</v>
      </c>
      <c r="AK44" s="85">
        <f t="shared" si="2"/>
        <v>3516.065</v>
      </c>
      <c r="AL44" s="85">
        <f t="shared" si="2"/>
        <v>3504.901</v>
      </c>
    </row>
    <row r="45" spans="1:38" ht="16.5" customHeight="1">
      <c r="A45" s="5">
        <v>35</v>
      </c>
      <c r="B45" s="83" t="s">
        <v>127</v>
      </c>
      <c r="C45" s="84">
        <f t="shared" si="5"/>
        <v>17118.6</v>
      </c>
      <c r="D45" s="84">
        <f t="shared" si="5"/>
        <v>12188.463</v>
      </c>
      <c r="E45" s="65">
        <f>'[1]Sheet1'!F46</f>
        <v>6896</v>
      </c>
      <c r="F45" s="65">
        <f>'[1]Sheet1'!G46</f>
        <v>6877.871</v>
      </c>
      <c r="G45" s="65">
        <f>'[1]Sheet1'!H46</f>
        <v>1343</v>
      </c>
      <c r="H45" s="65">
        <f>'[1]Sheet1'!I46</f>
        <v>1343</v>
      </c>
      <c r="I45" s="65">
        <f>'[1]Sheet1'!J46</f>
        <v>1572.4</v>
      </c>
      <c r="J45" s="65">
        <f>'[1]Sheet1'!K46</f>
        <v>1353.092</v>
      </c>
      <c r="K45" s="65">
        <f>'[1]Sheet1'!L46</f>
        <v>0</v>
      </c>
      <c r="L45" s="65">
        <f>'[1]Sheet1'!M46</f>
        <v>0</v>
      </c>
      <c r="M45" s="65">
        <f>'[1]Sheet1'!N46</f>
        <v>0</v>
      </c>
      <c r="N45" s="65">
        <f>'[1]Sheet1'!O46</f>
        <v>0</v>
      </c>
      <c r="O45" s="65">
        <f>'[1]Sheet1'!P46</f>
        <v>316</v>
      </c>
      <c r="P45" s="65">
        <f>'[1]Sheet1'!Q46</f>
        <v>315.5</v>
      </c>
      <c r="Q45" s="65">
        <f>'[1]Sheet1'!R46</f>
        <v>652.4</v>
      </c>
      <c r="R45" s="65">
        <f>'[1]Sheet1'!S46</f>
        <v>635</v>
      </c>
      <c r="S45" s="65">
        <f>'[1]Sheet1'!T46</f>
        <v>0</v>
      </c>
      <c r="T45" s="65">
        <f>'[1]Sheet1'!U46</f>
        <v>0</v>
      </c>
      <c r="U45" s="85">
        <f t="shared" si="1"/>
        <v>10779.8</v>
      </c>
      <c r="V45" s="85">
        <f t="shared" si="1"/>
        <v>10524.463</v>
      </c>
      <c r="W45" s="87">
        <f>'[1]Sheet1'!X46</f>
        <v>9338.8</v>
      </c>
      <c r="X45" s="87">
        <f>'[1]Sheet1'!Y46</f>
        <v>1664</v>
      </c>
      <c r="Y45" s="87">
        <f>'[1]Sheet1'!Z46</f>
        <v>0</v>
      </c>
      <c r="Z45" s="87">
        <f>'[1]Sheet1'!AA46</f>
        <v>0</v>
      </c>
      <c r="AA45" s="87">
        <f>'[1]Sheet1'!AB46</f>
        <v>0</v>
      </c>
      <c r="AB45" s="87">
        <f>'[1]Sheet1'!AC46</f>
        <v>0</v>
      </c>
      <c r="AC45" s="87">
        <f>'[1]Sheet1'!AD46</f>
        <v>-500</v>
      </c>
      <c r="AD45" s="87">
        <f>'[1]Sheet1'!AE46</f>
        <v>0</v>
      </c>
      <c r="AE45" s="87">
        <f>'[1]Sheet1'!AF46</f>
        <v>-2500</v>
      </c>
      <c r="AF45" s="87">
        <f>'[1]Sheet1'!AG46</f>
        <v>0</v>
      </c>
      <c r="AG45" s="87">
        <f>'[1]Sheet1'!AH46</f>
        <v>0</v>
      </c>
      <c r="AH45" s="87">
        <f>'[1]Sheet1'!AI46</f>
        <v>0</v>
      </c>
      <c r="AI45" s="87">
        <f t="shared" si="4"/>
        <v>600</v>
      </c>
      <c r="AJ45" s="87">
        <f>'[1]Sheet1'!AK46</f>
        <v>600</v>
      </c>
      <c r="AK45" s="85">
        <f t="shared" si="2"/>
        <v>6938.799999999999</v>
      </c>
      <c r="AL45" s="85">
        <f t="shared" si="2"/>
        <v>2264</v>
      </c>
    </row>
    <row r="46" spans="1:38" ht="16.5" customHeight="1">
      <c r="A46" s="5">
        <v>36</v>
      </c>
      <c r="B46" s="83" t="s">
        <v>128</v>
      </c>
      <c r="C46" s="84">
        <f t="shared" si="5"/>
        <v>8402</v>
      </c>
      <c r="D46" s="84">
        <f t="shared" si="5"/>
        <v>7172.917</v>
      </c>
      <c r="E46" s="65">
        <f>'[1]Sheet1'!F49</f>
        <v>4820</v>
      </c>
      <c r="F46" s="65">
        <f>'[1]Sheet1'!G49</f>
        <v>4733.273</v>
      </c>
      <c r="G46" s="65">
        <f>'[1]Sheet1'!H49</f>
        <v>1648</v>
      </c>
      <c r="H46" s="65">
        <f>'[1]Sheet1'!I49</f>
        <v>1408.804</v>
      </c>
      <c r="I46" s="65">
        <f>'[1]Sheet1'!J49</f>
        <v>1274</v>
      </c>
      <c r="J46" s="65">
        <f>'[1]Sheet1'!K49</f>
        <v>971.24</v>
      </c>
      <c r="K46" s="65">
        <f>'[1]Sheet1'!L49</f>
        <v>0</v>
      </c>
      <c r="L46" s="65">
        <f>'[1]Sheet1'!M49</f>
        <v>0</v>
      </c>
      <c r="M46" s="65">
        <f>'[1]Sheet1'!N49</f>
        <v>0</v>
      </c>
      <c r="N46" s="65">
        <f>'[1]Sheet1'!O49</f>
        <v>0</v>
      </c>
      <c r="O46" s="65">
        <f>'[1]Sheet1'!P49</f>
        <v>0</v>
      </c>
      <c r="P46" s="65">
        <f>'[1]Sheet1'!Q49</f>
        <v>0</v>
      </c>
      <c r="Q46" s="65">
        <f>'[1]Sheet1'!R49</f>
        <v>0</v>
      </c>
      <c r="R46" s="65">
        <f>'[1]Sheet1'!S49</f>
        <v>0</v>
      </c>
      <c r="S46" s="65">
        <f>'[1]Sheet1'!T49</f>
        <v>60</v>
      </c>
      <c r="T46" s="65">
        <f>'[1]Sheet1'!U49</f>
        <v>59.6</v>
      </c>
      <c r="U46" s="85">
        <f t="shared" si="1"/>
        <v>7802</v>
      </c>
      <c r="V46" s="85">
        <f t="shared" si="1"/>
        <v>7172.917</v>
      </c>
      <c r="W46" s="87">
        <f>'[1]Sheet1'!X49</f>
        <v>600</v>
      </c>
      <c r="X46" s="87">
        <f>'[1]Sheet1'!Y49</f>
        <v>0</v>
      </c>
      <c r="Y46" s="87">
        <f>'[1]Sheet1'!Z49</f>
        <v>0</v>
      </c>
      <c r="Z46" s="87">
        <f>'[1]Sheet1'!AA49</f>
        <v>0</v>
      </c>
      <c r="AA46" s="87">
        <f>'[1]Sheet1'!AB49</f>
        <v>0</v>
      </c>
      <c r="AB46" s="87">
        <f>'[1]Sheet1'!AC49</f>
        <v>0</v>
      </c>
      <c r="AC46" s="87">
        <f>'[1]Sheet1'!AD49</f>
        <v>0</v>
      </c>
      <c r="AD46" s="87">
        <f>'[1]Sheet1'!AE49</f>
        <v>0</v>
      </c>
      <c r="AE46" s="87">
        <f>'[1]Sheet1'!AF49</f>
        <v>0</v>
      </c>
      <c r="AF46" s="87">
        <f>'[1]Sheet1'!AG49</f>
        <v>0</v>
      </c>
      <c r="AG46" s="87">
        <f>'[1]Sheet1'!AH49</f>
        <v>0</v>
      </c>
      <c r="AH46" s="87">
        <f>'[1]Sheet1'!AI49</f>
        <v>0</v>
      </c>
      <c r="AI46" s="87">
        <f t="shared" si="4"/>
        <v>600</v>
      </c>
      <c r="AJ46" s="87">
        <f>'[1]Sheet1'!AK49</f>
        <v>600</v>
      </c>
      <c r="AK46" s="85">
        <f t="shared" si="2"/>
        <v>1200</v>
      </c>
      <c r="AL46" s="85">
        <f t="shared" si="2"/>
        <v>600</v>
      </c>
    </row>
    <row r="47" spans="1:38" ht="16.5" customHeight="1">
      <c r="A47" s="5">
        <v>37</v>
      </c>
      <c r="B47" s="83" t="s">
        <v>129</v>
      </c>
      <c r="C47" s="84">
        <f t="shared" si="5"/>
        <v>11963.8</v>
      </c>
      <c r="D47" s="84">
        <f t="shared" si="5"/>
        <v>10557.436</v>
      </c>
      <c r="E47" s="65">
        <f>'[1]Sheet1'!F78</f>
        <v>5352.1</v>
      </c>
      <c r="F47" s="65">
        <f>'[1]Sheet1'!G78</f>
        <v>5113.686</v>
      </c>
      <c r="G47" s="65">
        <f>'[1]Sheet1'!H78</f>
        <v>2051.7</v>
      </c>
      <c r="H47" s="65">
        <f>'[1]Sheet1'!I78</f>
        <v>2004.97</v>
      </c>
      <c r="I47" s="65">
        <f>'[1]Sheet1'!J78</f>
        <v>3185</v>
      </c>
      <c r="J47" s="65">
        <f>'[1]Sheet1'!K78</f>
        <v>2533.78</v>
      </c>
      <c r="K47" s="65">
        <f>'[1]Sheet1'!L78</f>
        <v>0</v>
      </c>
      <c r="L47" s="65">
        <f>'[1]Sheet1'!M78</f>
        <v>0</v>
      </c>
      <c r="M47" s="65">
        <f>'[1]Sheet1'!N78</f>
        <v>0</v>
      </c>
      <c r="N47" s="65">
        <f>'[1]Sheet1'!O78</f>
        <v>0</v>
      </c>
      <c r="O47" s="65">
        <f>'[1]Sheet1'!P78</f>
        <v>0</v>
      </c>
      <c r="P47" s="65">
        <f>'[1]Sheet1'!Q78</f>
        <v>0</v>
      </c>
      <c r="Q47" s="65">
        <f>'[1]Sheet1'!R78</f>
        <v>500</v>
      </c>
      <c r="R47" s="65">
        <f>'[1]Sheet1'!S78</f>
        <v>355</v>
      </c>
      <c r="S47" s="65">
        <f>'[1]Sheet1'!T78</f>
        <v>25</v>
      </c>
      <c r="T47" s="65">
        <f>'[1]Sheet1'!U78</f>
        <v>25</v>
      </c>
      <c r="U47" s="85">
        <f t="shared" si="1"/>
        <v>11113.8</v>
      </c>
      <c r="V47" s="85">
        <f t="shared" si="1"/>
        <v>10032.436</v>
      </c>
      <c r="W47" s="87">
        <f>'[1]Sheet1'!X78</f>
        <v>850</v>
      </c>
      <c r="X47" s="87">
        <f>'[1]Sheet1'!Y78</f>
        <v>525</v>
      </c>
      <c r="Y47" s="87">
        <f>'[1]Sheet1'!Z78</f>
        <v>0</v>
      </c>
      <c r="Z47" s="87">
        <f>'[1]Sheet1'!AA78</f>
        <v>0</v>
      </c>
      <c r="AA47" s="87">
        <f>'[1]Sheet1'!AB78</f>
        <v>0</v>
      </c>
      <c r="AB47" s="87">
        <f>'[1]Sheet1'!AC78</f>
        <v>0</v>
      </c>
      <c r="AC47" s="87">
        <f>'[1]Sheet1'!AD78</f>
        <v>0</v>
      </c>
      <c r="AD47" s="87">
        <f>'[1]Sheet1'!AE78</f>
        <v>0</v>
      </c>
      <c r="AE47" s="87">
        <f>'[1]Sheet1'!AF78</f>
        <v>0</v>
      </c>
      <c r="AF47" s="87">
        <f>'[1]Sheet1'!AG78</f>
        <v>0</v>
      </c>
      <c r="AG47" s="87">
        <f>'[1]Sheet1'!AH78</f>
        <v>0</v>
      </c>
      <c r="AH47" s="87">
        <f>'[1]Sheet1'!AI78</f>
        <v>0</v>
      </c>
      <c r="AI47" s="87">
        <f t="shared" si="4"/>
        <v>850</v>
      </c>
      <c r="AJ47" s="87">
        <f>'[1]Sheet1'!AK78</f>
        <v>850</v>
      </c>
      <c r="AK47" s="85">
        <f t="shared" si="2"/>
        <v>1700</v>
      </c>
      <c r="AL47" s="85">
        <f t="shared" si="2"/>
        <v>1375</v>
      </c>
    </row>
    <row r="48" spans="1:38" ht="16.5" customHeight="1">
      <c r="A48" s="5">
        <v>38</v>
      </c>
      <c r="B48" s="83" t="s">
        <v>130</v>
      </c>
      <c r="C48" s="84">
        <f t="shared" si="5"/>
        <v>18537.1</v>
      </c>
      <c r="D48" s="84">
        <f t="shared" si="5"/>
        <v>15654.861</v>
      </c>
      <c r="E48" s="65">
        <f>'[1]Sheet1'!F66</f>
        <v>9878</v>
      </c>
      <c r="F48" s="65">
        <f>'[1]Sheet1'!G66</f>
        <v>9866.319</v>
      </c>
      <c r="G48" s="65">
        <f>'[1]Sheet1'!H66</f>
        <v>2197.1</v>
      </c>
      <c r="H48" s="65">
        <f>'[1]Sheet1'!I66</f>
        <v>2196.95</v>
      </c>
      <c r="I48" s="65">
        <f>'[1]Sheet1'!J66</f>
        <v>3289.7</v>
      </c>
      <c r="J48" s="65">
        <f>'[1]Sheet1'!K66</f>
        <v>3226.792</v>
      </c>
      <c r="K48" s="65">
        <f>'[1]Sheet1'!L66</f>
        <v>0</v>
      </c>
      <c r="L48" s="65">
        <f>'[1]Sheet1'!M66</f>
        <v>0</v>
      </c>
      <c r="M48" s="65">
        <f>'[1]Sheet1'!N66</f>
        <v>0</v>
      </c>
      <c r="N48" s="65">
        <f>'[1]Sheet1'!O66</f>
        <v>0</v>
      </c>
      <c r="O48" s="65">
        <f>'[1]Sheet1'!P66</f>
        <v>0</v>
      </c>
      <c r="P48" s="65">
        <f>'[1]Sheet1'!Q66</f>
        <v>0</v>
      </c>
      <c r="Q48" s="65">
        <f>'[1]Sheet1'!R66</f>
        <v>0</v>
      </c>
      <c r="R48" s="65">
        <f>'[1]Sheet1'!S66</f>
        <v>0</v>
      </c>
      <c r="S48" s="65">
        <f>'[1]Sheet1'!T66</f>
        <v>110</v>
      </c>
      <c r="T48" s="65">
        <f>'[1]Sheet1'!U66</f>
        <v>110</v>
      </c>
      <c r="U48" s="85">
        <f t="shared" si="1"/>
        <v>15474.8</v>
      </c>
      <c r="V48" s="85">
        <f t="shared" si="1"/>
        <v>15400.061</v>
      </c>
      <c r="W48" s="87">
        <f>'[1]Sheet1'!X66</f>
        <v>3062.3</v>
      </c>
      <c r="X48" s="87">
        <f>'[1]Sheet1'!Y66</f>
        <v>480</v>
      </c>
      <c r="Y48" s="87">
        <f>'[1]Sheet1'!Z66</f>
        <v>0</v>
      </c>
      <c r="Z48" s="87">
        <f>'[1]Sheet1'!AA66</f>
        <v>0</v>
      </c>
      <c r="AA48" s="87">
        <f>'[1]Sheet1'!AB66</f>
        <v>0</v>
      </c>
      <c r="AB48" s="87">
        <f>'[1]Sheet1'!AC66</f>
        <v>0</v>
      </c>
      <c r="AC48" s="87">
        <f>'[1]Sheet1'!AD66</f>
        <v>0</v>
      </c>
      <c r="AD48" s="87">
        <f>'[1]Sheet1'!AE66</f>
        <v>0</v>
      </c>
      <c r="AE48" s="87">
        <f>'[1]Sheet1'!AF66</f>
        <v>0</v>
      </c>
      <c r="AF48" s="87">
        <f>'[1]Sheet1'!AG66</f>
        <v>-225.2</v>
      </c>
      <c r="AG48" s="87">
        <f>'[1]Sheet1'!AH66</f>
        <v>0</v>
      </c>
      <c r="AH48" s="87">
        <f>'[1]Sheet1'!AI66</f>
        <v>0</v>
      </c>
      <c r="AI48" s="87">
        <f t="shared" si="4"/>
        <v>1000</v>
      </c>
      <c r="AJ48" s="87">
        <f>'[1]Sheet1'!AK66</f>
        <v>1000</v>
      </c>
      <c r="AK48" s="85">
        <f t="shared" si="2"/>
        <v>4062.3</v>
      </c>
      <c r="AL48" s="85">
        <f t="shared" si="2"/>
        <v>1254.8</v>
      </c>
    </row>
    <row r="49" spans="1:38" ht="16.5" customHeight="1">
      <c r="A49" s="5">
        <v>39</v>
      </c>
      <c r="B49" s="83" t="s">
        <v>131</v>
      </c>
      <c r="C49" s="84">
        <f t="shared" si="5"/>
        <v>45240.3</v>
      </c>
      <c r="D49" s="84">
        <f t="shared" si="5"/>
        <v>38422.34</v>
      </c>
      <c r="E49" s="65">
        <f>'[1]Sheet1'!F85</f>
        <v>8605</v>
      </c>
      <c r="F49" s="65">
        <f>'[1]Sheet1'!G85</f>
        <v>8604.91</v>
      </c>
      <c r="G49" s="65">
        <f>'[1]Sheet1'!H85</f>
        <v>1885.6</v>
      </c>
      <c r="H49" s="65">
        <f>'[1]Sheet1'!I85</f>
        <v>1851.3</v>
      </c>
      <c r="I49" s="65">
        <f>'[1]Sheet1'!J85</f>
        <v>11759.4</v>
      </c>
      <c r="J49" s="65">
        <f>'[1]Sheet1'!K85</f>
        <v>5508.94</v>
      </c>
      <c r="K49" s="65">
        <f>'[1]Sheet1'!L85</f>
        <v>0</v>
      </c>
      <c r="L49" s="65">
        <f>'[1]Sheet1'!M85</f>
        <v>0</v>
      </c>
      <c r="M49" s="65">
        <f>'[1]Sheet1'!N85</f>
        <v>0</v>
      </c>
      <c r="N49" s="65">
        <f>'[1]Sheet1'!O85</f>
        <v>0</v>
      </c>
      <c r="O49" s="65">
        <f>'[1]Sheet1'!P85</f>
        <v>408</v>
      </c>
      <c r="P49" s="65">
        <f>'[1]Sheet1'!Q85</f>
        <v>408</v>
      </c>
      <c r="Q49" s="65">
        <f>'[1]Sheet1'!R85</f>
        <v>600</v>
      </c>
      <c r="R49" s="65">
        <f>'[1]Sheet1'!S85</f>
        <v>300</v>
      </c>
      <c r="S49" s="65">
        <f>'[1]Sheet1'!T85</f>
        <v>400</v>
      </c>
      <c r="T49" s="65">
        <f>'[1]Sheet1'!U85</f>
        <v>186</v>
      </c>
      <c r="U49" s="85">
        <f t="shared" si="1"/>
        <v>23658</v>
      </c>
      <c r="V49" s="85">
        <f t="shared" si="1"/>
        <v>16859.149999999998</v>
      </c>
      <c r="W49" s="87">
        <f>'[1]Sheet1'!X85</f>
        <v>22582.3</v>
      </c>
      <c r="X49" s="87">
        <f>'[1]Sheet1'!Y85</f>
        <v>22580</v>
      </c>
      <c r="Y49" s="87">
        <f>'[1]Sheet1'!Z85</f>
        <v>0</v>
      </c>
      <c r="Z49" s="87">
        <f>'[1]Sheet1'!AA85</f>
        <v>0</v>
      </c>
      <c r="AA49" s="87">
        <f>'[1]Sheet1'!AB85</f>
        <v>0</v>
      </c>
      <c r="AB49" s="87">
        <f>'[1]Sheet1'!AC85</f>
        <v>0</v>
      </c>
      <c r="AC49" s="87">
        <f>'[1]Sheet1'!AD85</f>
        <v>0</v>
      </c>
      <c r="AD49" s="87">
        <f>'[1]Sheet1'!AE85</f>
        <v>0</v>
      </c>
      <c r="AE49" s="87">
        <f>'[1]Sheet1'!AF85</f>
        <v>-1000</v>
      </c>
      <c r="AF49" s="87">
        <f>'[1]Sheet1'!AG85</f>
        <v>-1016.81</v>
      </c>
      <c r="AG49" s="87">
        <f>'[1]Sheet1'!AH85</f>
        <v>0</v>
      </c>
      <c r="AH49" s="87">
        <f>'[1]Sheet1'!AI85</f>
        <v>0</v>
      </c>
      <c r="AI49" s="87">
        <f t="shared" si="4"/>
        <v>5900</v>
      </c>
      <c r="AJ49" s="87">
        <f>'[1]Sheet1'!AK85</f>
        <v>5900</v>
      </c>
      <c r="AK49" s="85">
        <f t="shared" si="2"/>
        <v>27482.3</v>
      </c>
      <c r="AL49" s="85">
        <f t="shared" si="2"/>
        <v>27463.19</v>
      </c>
    </row>
    <row r="50" spans="1:38" s="89" customFormat="1" ht="16.5" customHeight="1">
      <c r="A50" s="5">
        <v>40</v>
      </c>
      <c r="B50" s="83" t="s">
        <v>132</v>
      </c>
      <c r="C50" s="84">
        <f t="shared" si="5"/>
        <v>13269.099999999999</v>
      </c>
      <c r="D50" s="84">
        <f t="shared" si="5"/>
        <v>12252.344000000001</v>
      </c>
      <c r="E50" s="65">
        <f>'[1]Sheet1'!F104</f>
        <v>6570</v>
      </c>
      <c r="F50" s="65">
        <f>'[1]Sheet1'!G104</f>
        <v>6289.502</v>
      </c>
      <c r="G50" s="65">
        <f>'[1]Sheet1'!H104</f>
        <v>1532</v>
      </c>
      <c r="H50" s="65">
        <f>'[1]Sheet1'!I104</f>
        <v>1477.492</v>
      </c>
      <c r="I50" s="65">
        <f>'[1]Sheet1'!J104</f>
        <v>2533.8</v>
      </c>
      <c r="J50" s="65">
        <f>'[1]Sheet1'!K104</f>
        <v>2433.74</v>
      </c>
      <c r="K50" s="65">
        <f>'[1]Sheet1'!L104</f>
        <v>0</v>
      </c>
      <c r="L50" s="65">
        <f>'[1]Sheet1'!M104</f>
        <v>0</v>
      </c>
      <c r="M50" s="65">
        <f>'[1]Sheet1'!N104</f>
        <v>0</v>
      </c>
      <c r="N50" s="65">
        <f>'[1]Sheet1'!O104</f>
        <v>0</v>
      </c>
      <c r="O50" s="65">
        <f>'[1]Sheet1'!P104</f>
        <v>0</v>
      </c>
      <c r="P50" s="65">
        <f>'[1]Sheet1'!Q104</f>
        <v>0</v>
      </c>
      <c r="Q50" s="65">
        <f>'[1]Sheet1'!R104</f>
        <v>450.2</v>
      </c>
      <c r="R50" s="65">
        <f>'[1]Sheet1'!S104</f>
        <v>450</v>
      </c>
      <c r="S50" s="65">
        <f>'[1]Sheet1'!T104</f>
        <v>201.9</v>
      </c>
      <c r="T50" s="65">
        <f>'[1]Sheet1'!U104</f>
        <v>201.9</v>
      </c>
      <c r="U50" s="85">
        <f t="shared" si="1"/>
        <v>11287.9</v>
      </c>
      <c r="V50" s="85">
        <f t="shared" si="1"/>
        <v>10852.634</v>
      </c>
      <c r="W50" s="88">
        <f>'[1]Sheet1'!X104</f>
        <v>1981.2</v>
      </c>
      <c r="X50" s="88">
        <f>'[1]Sheet1'!Y104</f>
        <v>1399.71</v>
      </c>
      <c r="Y50" s="88">
        <f>'[1]Sheet1'!Z104</f>
        <v>0</v>
      </c>
      <c r="Z50" s="88">
        <f>'[1]Sheet1'!AA104</f>
        <v>0</v>
      </c>
      <c r="AA50" s="88">
        <f>'[1]Sheet1'!AB104</f>
        <v>0</v>
      </c>
      <c r="AB50" s="88">
        <f>'[1]Sheet1'!AC104</f>
        <v>0</v>
      </c>
      <c r="AC50" s="88">
        <f>'[1]Sheet1'!AD104</f>
        <v>0</v>
      </c>
      <c r="AD50" s="88">
        <f>'[1]Sheet1'!AE104</f>
        <v>0</v>
      </c>
      <c r="AE50" s="88">
        <f>'[1]Sheet1'!AF104</f>
        <v>0</v>
      </c>
      <c r="AF50" s="88">
        <f>'[1]Sheet1'!AG104</f>
        <v>0</v>
      </c>
      <c r="AG50" s="88">
        <f>'[1]Sheet1'!AH104</f>
        <v>0</v>
      </c>
      <c r="AH50" s="88">
        <f>'[1]Sheet1'!AI104</f>
        <v>0</v>
      </c>
      <c r="AI50" s="87">
        <f t="shared" si="4"/>
        <v>1980</v>
      </c>
      <c r="AJ50" s="88">
        <f>'[1]Sheet1'!AK104</f>
        <v>1980</v>
      </c>
      <c r="AK50" s="85">
        <f t="shared" si="2"/>
        <v>3961.2</v>
      </c>
      <c r="AL50" s="85">
        <f t="shared" si="2"/>
        <v>3379.71</v>
      </c>
    </row>
    <row r="51" spans="1:38" s="89" customFormat="1" ht="16.5" customHeight="1">
      <c r="A51" s="5">
        <v>41</v>
      </c>
      <c r="B51" s="83" t="s">
        <v>133</v>
      </c>
      <c r="C51" s="84">
        <f t="shared" si="5"/>
        <v>17221.3</v>
      </c>
      <c r="D51" s="84">
        <f t="shared" si="5"/>
        <v>13289.130999999998</v>
      </c>
      <c r="E51" s="65">
        <f>'[1]Sheet1'!F105</f>
        <v>8007</v>
      </c>
      <c r="F51" s="65">
        <f>'[1]Sheet1'!G105</f>
        <v>8007</v>
      </c>
      <c r="G51" s="65">
        <f>'[1]Sheet1'!H105</f>
        <v>1814</v>
      </c>
      <c r="H51" s="65">
        <f>'[1]Sheet1'!I105</f>
        <v>1730.731</v>
      </c>
      <c r="I51" s="65">
        <f>'[1]Sheet1'!J105</f>
        <v>3215.5</v>
      </c>
      <c r="J51" s="65">
        <f>'[1]Sheet1'!K105</f>
        <v>3013.3</v>
      </c>
      <c r="K51" s="65">
        <f>'[1]Sheet1'!L105</f>
        <v>0</v>
      </c>
      <c r="L51" s="65">
        <f>'[1]Sheet1'!M105</f>
        <v>0</v>
      </c>
      <c r="M51" s="65">
        <f>'[1]Sheet1'!N105</f>
        <v>0</v>
      </c>
      <c r="N51" s="65">
        <f>'[1]Sheet1'!O105</f>
        <v>0</v>
      </c>
      <c r="O51" s="65">
        <f>'[1]Sheet1'!P105</f>
        <v>541</v>
      </c>
      <c r="P51" s="65">
        <f>'[1]Sheet1'!Q105</f>
        <v>541</v>
      </c>
      <c r="Q51" s="65">
        <f>'[1]Sheet1'!R105</f>
        <v>200</v>
      </c>
      <c r="R51" s="65">
        <f>'[1]Sheet1'!S105</f>
        <v>170</v>
      </c>
      <c r="S51" s="65">
        <f>'[1]Sheet1'!T105</f>
        <v>100</v>
      </c>
      <c r="T51" s="65">
        <f>'[1]Sheet1'!U105</f>
        <v>0</v>
      </c>
      <c r="U51" s="85">
        <f t="shared" si="1"/>
        <v>13877.5</v>
      </c>
      <c r="V51" s="85">
        <f t="shared" si="1"/>
        <v>13462.030999999999</v>
      </c>
      <c r="W51" s="88">
        <f>'[1]Sheet1'!X105</f>
        <v>3343.8</v>
      </c>
      <c r="X51" s="88">
        <f>'[1]Sheet1'!Y105</f>
        <v>1666.7</v>
      </c>
      <c r="Y51" s="88">
        <f>'[1]Sheet1'!Z105</f>
        <v>0</v>
      </c>
      <c r="Z51" s="88">
        <f>'[1]Sheet1'!AA105</f>
        <v>0</v>
      </c>
      <c r="AA51" s="88">
        <f>'[1]Sheet1'!AB105</f>
        <v>0</v>
      </c>
      <c r="AB51" s="88">
        <f>'[1]Sheet1'!AC105</f>
        <v>0</v>
      </c>
      <c r="AC51" s="88">
        <f>'[1]Sheet1'!AD105</f>
        <v>0</v>
      </c>
      <c r="AD51" s="88">
        <f>'[1]Sheet1'!AE105</f>
        <v>0</v>
      </c>
      <c r="AE51" s="88">
        <f>'[1]Sheet1'!AF105</f>
        <v>0</v>
      </c>
      <c r="AF51" s="88">
        <f>'[1]Sheet1'!AG105</f>
        <v>-1839.6</v>
      </c>
      <c r="AG51" s="88">
        <f>'[1]Sheet1'!AH105</f>
        <v>0</v>
      </c>
      <c r="AH51" s="88">
        <f>'[1]Sheet1'!AI105</f>
        <v>0</v>
      </c>
      <c r="AI51" s="87">
        <f t="shared" si="4"/>
        <v>1753.7</v>
      </c>
      <c r="AJ51" s="88">
        <f>'[1]Sheet1'!AK105</f>
        <v>1753.7</v>
      </c>
      <c r="AK51" s="85">
        <f t="shared" si="2"/>
        <v>5097.5</v>
      </c>
      <c r="AL51" s="85">
        <f t="shared" si="2"/>
        <v>1580.8000000000002</v>
      </c>
    </row>
    <row r="52" spans="1:38" ht="16.5" customHeight="1">
      <c r="A52" s="5">
        <v>42</v>
      </c>
      <c r="B52" s="83" t="s">
        <v>134</v>
      </c>
      <c r="C52" s="84">
        <f t="shared" si="5"/>
        <v>45282.899999999994</v>
      </c>
      <c r="D52" s="84">
        <f t="shared" si="5"/>
        <v>44923.744</v>
      </c>
      <c r="E52" s="65">
        <f>'[1]Sheet1'!F114</f>
        <v>21719.8</v>
      </c>
      <c r="F52" s="65">
        <f>'[1]Sheet1'!G114</f>
        <v>21549.942</v>
      </c>
      <c r="G52" s="65">
        <f>'[1]Sheet1'!H114</f>
        <v>4294.7</v>
      </c>
      <c r="H52" s="65">
        <f>'[1]Sheet1'!I114</f>
        <v>4282.567</v>
      </c>
      <c r="I52" s="65">
        <f>'[1]Sheet1'!J114</f>
        <v>7830</v>
      </c>
      <c r="J52" s="65">
        <f>'[1]Sheet1'!K114</f>
        <v>7828.55</v>
      </c>
      <c r="K52" s="65">
        <f>'[1]Sheet1'!L114</f>
        <v>0</v>
      </c>
      <c r="L52" s="65">
        <f>'[1]Sheet1'!M114</f>
        <v>0</v>
      </c>
      <c r="M52" s="65">
        <f>'[1]Sheet1'!N114</f>
        <v>0</v>
      </c>
      <c r="N52" s="65">
        <f>'[1]Sheet1'!O114</f>
        <v>0</v>
      </c>
      <c r="O52" s="65">
        <f>'[1]Sheet1'!P114</f>
        <v>0</v>
      </c>
      <c r="P52" s="65">
        <f>'[1]Sheet1'!Q114</f>
        <v>0</v>
      </c>
      <c r="Q52" s="65">
        <f>'[1]Sheet1'!R114</f>
        <v>1180</v>
      </c>
      <c r="R52" s="65">
        <f>'[1]Sheet1'!S114</f>
        <v>1180</v>
      </c>
      <c r="S52" s="65">
        <f>'[1]Sheet1'!T114</f>
        <v>7</v>
      </c>
      <c r="T52" s="65">
        <f>'[1]Sheet1'!U114</f>
        <v>7</v>
      </c>
      <c r="U52" s="85">
        <f t="shared" si="1"/>
        <v>35031.5</v>
      </c>
      <c r="V52" s="85">
        <f t="shared" si="1"/>
        <v>34848.059</v>
      </c>
      <c r="W52" s="87">
        <f>'[1]Sheet1'!X114</f>
        <v>11251.4</v>
      </c>
      <c r="X52" s="87">
        <f>'[1]Sheet1'!Y114</f>
        <v>10420.763</v>
      </c>
      <c r="Y52" s="87">
        <f>'[1]Sheet1'!Z114</f>
        <v>0</v>
      </c>
      <c r="Z52" s="87">
        <f>'[1]Sheet1'!AA114</f>
        <v>0</v>
      </c>
      <c r="AA52" s="87">
        <f>'[1]Sheet1'!AB114</f>
        <v>0</v>
      </c>
      <c r="AB52" s="87">
        <f>'[1]Sheet1'!AC114</f>
        <v>0</v>
      </c>
      <c r="AC52" s="87">
        <f>'[1]Sheet1'!AD114</f>
        <v>0</v>
      </c>
      <c r="AD52" s="87">
        <f>'[1]Sheet1'!AE114</f>
        <v>0</v>
      </c>
      <c r="AE52" s="87">
        <f>'[1]Sheet1'!AF114</f>
        <v>-1000</v>
      </c>
      <c r="AF52" s="87">
        <f>'[1]Sheet1'!AG114</f>
        <v>-345.078</v>
      </c>
      <c r="AG52" s="87">
        <f>'[1]Sheet1'!AH114</f>
        <v>0</v>
      </c>
      <c r="AH52" s="87">
        <f>'[1]Sheet1'!AI114</f>
        <v>0</v>
      </c>
      <c r="AI52" s="87">
        <f t="shared" si="4"/>
        <v>6714.8</v>
      </c>
      <c r="AJ52" s="87">
        <f>'[1]Sheet1'!AK114</f>
        <v>6714.8</v>
      </c>
      <c r="AK52" s="85">
        <f t="shared" si="2"/>
        <v>16966.2</v>
      </c>
      <c r="AL52" s="85">
        <f t="shared" si="2"/>
        <v>16790.485</v>
      </c>
    </row>
    <row r="53" spans="1:38" ht="16.5" customHeight="1">
      <c r="A53" s="5">
        <v>43</v>
      </c>
      <c r="B53" s="83" t="s">
        <v>135</v>
      </c>
      <c r="C53" s="84">
        <f t="shared" si="5"/>
        <v>6023.5</v>
      </c>
      <c r="D53" s="84">
        <f t="shared" si="5"/>
        <v>5608.9</v>
      </c>
      <c r="E53" s="65">
        <f>'[1]Sheet1'!F99</f>
        <v>4124</v>
      </c>
      <c r="F53" s="65">
        <f>'[1]Sheet1'!G99</f>
        <v>3924</v>
      </c>
      <c r="G53" s="65">
        <f>'[1]Sheet1'!H99</f>
        <v>805.2</v>
      </c>
      <c r="H53" s="65">
        <f>'[1]Sheet1'!I99</f>
        <v>796.5</v>
      </c>
      <c r="I53" s="65">
        <f>'[1]Sheet1'!J99</f>
        <v>694.3</v>
      </c>
      <c r="J53" s="65">
        <f>'[1]Sheet1'!K99</f>
        <v>668.4</v>
      </c>
      <c r="K53" s="65">
        <f>'[1]Sheet1'!L99</f>
        <v>0</v>
      </c>
      <c r="L53" s="65">
        <f>'[1]Sheet1'!M99</f>
        <v>0</v>
      </c>
      <c r="M53" s="65">
        <f>'[1]Sheet1'!N99</f>
        <v>0</v>
      </c>
      <c r="N53" s="65">
        <f>'[1]Sheet1'!O99</f>
        <v>0</v>
      </c>
      <c r="O53" s="65">
        <f>'[1]Sheet1'!P99</f>
        <v>0</v>
      </c>
      <c r="P53" s="65">
        <f>'[1]Sheet1'!Q99</f>
        <v>0</v>
      </c>
      <c r="Q53" s="65">
        <f>'[1]Sheet1'!R99</f>
        <v>100</v>
      </c>
      <c r="R53" s="65">
        <f>'[1]Sheet1'!S99</f>
        <v>100</v>
      </c>
      <c r="S53" s="65">
        <f>'[1]Sheet1'!T99</f>
        <v>0</v>
      </c>
      <c r="T53" s="65">
        <f>'[1]Sheet1'!U99</f>
        <v>0</v>
      </c>
      <c r="U53" s="85">
        <f t="shared" si="1"/>
        <v>5723.5</v>
      </c>
      <c r="V53" s="85">
        <f t="shared" si="1"/>
        <v>5488.9</v>
      </c>
      <c r="W53" s="87">
        <f>'[1]Sheet1'!X99</f>
        <v>800</v>
      </c>
      <c r="X53" s="87">
        <f>'[1]Sheet1'!Y99</f>
        <v>120</v>
      </c>
      <c r="Y53" s="87">
        <f>'[1]Sheet1'!Z99</f>
        <v>0</v>
      </c>
      <c r="Z53" s="87">
        <f>'[1]Sheet1'!AA99</f>
        <v>0</v>
      </c>
      <c r="AA53" s="87">
        <f>'[1]Sheet1'!AB99</f>
        <v>0</v>
      </c>
      <c r="AB53" s="87">
        <f>'[1]Sheet1'!AC99</f>
        <v>0</v>
      </c>
      <c r="AC53" s="87">
        <f>'[1]Sheet1'!AD99</f>
        <v>0</v>
      </c>
      <c r="AD53" s="87">
        <f>'[1]Sheet1'!AE99</f>
        <v>0</v>
      </c>
      <c r="AE53" s="87">
        <f>'[1]Sheet1'!AF99</f>
        <v>-500</v>
      </c>
      <c r="AF53" s="87">
        <f>'[1]Sheet1'!AG99</f>
        <v>0</v>
      </c>
      <c r="AG53" s="87">
        <f>'[1]Sheet1'!AH99</f>
        <v>0</v>
      </c>
      <c r="AH53" s="87">
        <f>'[1]Sheet1'!AI99</f>
        <v>0</v>
      </c>
      <c r="AI53" s="87">
        <f t="shared" si="4"/>
        <v>300</v>
      </c>
      <c r="AJ53" s="87">
        <f>'[1]Sheet1'!AK99</f>
        <v>300</v>
      </c>
      <c r="AK53" s="85">
        <f t="shared" si="2"/>
        <v>600</v>
      </c>
      <c r="AL53" s="85">
        <f t="shared" si="2"/>
        <v>420</v>
      </c>
    </row>
    <row r="54" spans="1:38" ht="16.5" customHeight="1">
      <c r="A54" s="5">
        <v>44</v>
      </c>
      <c r="B54" s="83" t="s">
        <v>136</v>
      </c>
      <c r="C54" s="84">
        <f t="shared" si="5"/>
        <v>8108.9</v>
      </c>
      <c r="D54" s="84">
        <f t="shared" si="5"/>
        <v>7446.199999999999</v>
      </c>
      <c r="E54" s="65">
        <f>'[1]Sheet1'!F80</f>
        <v>4755</v>
      </c>
      <c r="F54" s="65">
        <f>'[1]Sheet1'!G80</f>
        <v>4748.4</v>
      </c>
      <c r="G54" s="65">
        <f>'[1]Sheet1'!H80</f>
        <v>1252</v>
      </c>
      <c r="H54" s="65">
        <f>'[1]Sheet1'!I80</f>
        <v>1155</v>
      </c>
      <c r="I54" s="65">
        <f>'[1]Sheet1'!J80</f>
        <v>1445</v>
      </c>
      <c r="J54" s="65">
        <f>'[1]Sheet1'!K80</f>
        <v>958.9</v>
      </c>
      <c r="K54" s="65">
        <f>'[1]Sheet1'!L80</f>
        <v>0</v>
      </c>
      <c r="L54" s="65">
        <f>'[1]Sheet1'!M80</f>
        <v>0</v>
      </c>
      <c r="M54" s="65">
        <f>'[1]Sheet1'!N80</f>
        <v>0</v>
      </c>
      <c r="N54" s="65">
        <f>'[1]Sheet1'!O80</f>
        <v>0</v>
      </c>
      <c r="O54" s="65">
        <f>'[1]Sheet1'!P80</f>
        <v>0</v>
      </c>
      <c r="P54" s="65">
        <f>'[1]Sheet1'!Q80</f>
        <v>0</v>
      </c>
      <c r="Q54" s="65">
        <f>'[1]Sheet1'!R80</f>
        <v>0</v>
      </c>
      <c r="R54" s="65">
        <f>'[1]Sheet1'!S80</f>
        <v>0</v>
      </c>
      <c r="S54" s="65">
        <f>'[1]Sheet1'!T80</f>
        <v>75</v>
      </c>
      <c r="T54" s="65">
        <f>'[1]Sheet1'!U80</f>
        <v>2</v>
      </c>
      <c r="U54" s="85">
        <f t="shared" si="1"/>
        <v>7527</v>
      </c>
      <c r="V54" s="85">
        <f t="shared" si="1"/>
        <v>6864.299999999999</v>
      </c>
      <c r="W54" s="87">
        <f>'[1]Sheet1'!X80</f>
        <v>581.9</v>
      </c>
      <c r="X54" s="87">
        <f>'[1]Sheet1'!Y80</f>
        <v>581.9</v>
      </c>
      <c r="Y54" s="87">
        <f>'[1]Sheet1'!Z80</f>
        <v>0</v>
      </c>
      <c r="Z54" s="87">
        <f>'[1]Sheet1'!AA80</f>
        <v>0</v>
      </c>
      <c r="AA54" s="87">
        <f>'[1]Sheet1'!AB80</f>
        <v>0</v>
      </c>
      <c r="AB54" s="87">
        <f>'[1]Sheet1'!AC80</f>
        <v>0</v>
      </c>
      <c r="AC54" s="87">
        <f>'[1]Sheet1'!AD80</f>
        <v>0</v>
      </c>
      <c r="AD54" s="87">
        <f>'[1]Sheet1'!AE80</f>
        <v>0</v>
      </c>
      <c r="AE54" s="87">
        <f>'[1]Sheet1'!AF80</f>
        <v>0</v>
      </c>
      <c r="AF54" s="87">
        <f>'[1]Sheet1'!AG80</f>
        <v>0</v>
      </c>
      <c r="AG54" s="87">
        <f>'[1]Sheet1'!AH80</f>
        <v>0</v>
      </c>
      <c r="AH54" s="87">
        <f>'[1]Sheet1'!AI80</f>
        <v>0</v>
      </c>
      <c r="AI54" s="87">
        <f t="shared" si="4"/>
        <v>542</v>
      </c>
      <c r="AJ54" s="87">
        <f>'[1]Sheet1'!AK80</f>
        <v>542</v>
      </c>
      <c r="AK54" s="85">
        <f t="shared" si="2"/>
        <v>1123.9</v>
      </c>
      <c r="AL54" s="85">
        <f t="shared" si="2"/>
        <v>1123.9</v>
      </c>
    </row>
    <row r="55" spans="1:38" ht="16.5" customHeight="1">
      <c r="A55" s="5">
        <v>45</v>
      </c>
      <c r="B55" s="83" t="s">
        <v>137</v>
      </c>
      <c r="C55" s="84">
        <f t="shared" si="5"/>
        <v>7639.9</v>
      </c>
      <c r="D55" s="84">
        <f t="shared" si="5"/>
        <v>7515.141</v>
      </c>
      <c r="E55" s="65">
        <f>'[1]Sheet1'!F91</f>
        <v>4258.9</v>
      </c>
      <c r="F55" s="65">
        <f>'[1]Sheet1'!G91</f>
        <v>4258.366</v>
      </c>
      <c r="G55" s="65">
        <f>'[1]Sheet1'!H91</f>
        <v>876</v>
      </c>
      <c r="H55" s="65">
        <f>'[1]Sheet1'!I91</f>
        <v>876</v>
      </c>
      <c r="I55" s="65">
        <f>'[1]Sheet1'!J91</f>
        <v>1555</v>
      </c>
      <c r="J55" s="65">
        <f>'[1]Sheet1'!K91</f>
        <v>1440.775</v>
      </c>
      <c r="K55" s="65">
        <f>'[1]Sheet1'!L91</f>
        <v>0</v>
      </c>
      <c r="L55" s="65">
        <f>'[1]Sheet1'!M91</f>
        <v>0</v>
      </c>
      <c r="M55" s="65">
        <f>'[1]Sheet1'!N91</f>
        <v>0</v>
      </c>
      <c r="N55" s="65">
        <f>'[1]Sheet1'!O91</f>
        <v>0</v>
      </c>
      <c r="O55" s="65">
        <f>'[1]Sheet1'!P91</f>
        <v>0</v>
      </c>
      <c r="P55" s="65">
        <f>'[1]Sheet1'!Q91</f>
        <v>0</v>
      </c>
      <c r="Q55" s="65">
        <f>'[1]Sheet1'!R91</f>
        <v>600</v>
      </c>
      <c r="R55" s="65">
        <f>'[1]Sheet1'!S91</f>
        <v>600</v>
      </c>
      <c r="S55" s="65">
        <f>'[1]Sheet1'!T91</f>
        <v>50</v>
      </c>
      <c r="T55" s="65">
        <f>'[1]Sheet1'!U91</f>
        <v>40</v>
      </c>
      <c r="U55" s="85">
        <f t="shared" si="1"/>
        <v>7339.9</v>
      </c>
      <c r="V55" s="85">
        <f t="shared" si="1"/>
        <v>7215.141</v>
      </c>
      <c r="W55" s="87">
        <f>'[1]Sheet1'!X91</f>
        <v>300</v>
      </c>
      <c r="X55" s="87">
        <f>'[1]Sheet1'!Y91</f>
        <v>300</v>
      </c>
      <c r="Y55" s="87">
        <f>'[1]Sheet1'!Z91</f>
        <v>0</v>
      </c>
      <c r="Z55" s="87">
        <f>'[1]Sheet1'!AA91</f>
        <v>0</v>
      </c>
      <c r="AA55" s="87">
        <f>'[1]Sheet1'!AB91</f>
        <v>0</v>
      </c>
      <c r="AB55" s="87">
        <f>'[1]Sheet1'!AC91</f>
        <v>0</v>
      </c>
      <c r="AC55" s="87">
        <f>'[1]Sheet1'!AD91</f>
        <v>0</v>
      </c>
      <c r="AD55" s="87">
        <f>'[1]Sheet1'!AE91</f>
        <v>0</v>
      </c>
      <c r="AE55" s="87">
        <f>'[1]Sheet1'!AF91</f>
        <v>0</v>
      </c>
      <c r="AF55" s="87">
        <f>'[1]Sheet1'!AG91</f>
        <v>0</v>
      </c>
      <c r="AG55" s="87">
        <f>'[1]Sheet1'!AH91</f>
        <v>0</v>
      </c>
      <c r="AH55" s="87">
        <f>'[1]Sheet1'!AI91</f>
        <v>0</v>
      </c>
      <c r="AI55" s="87">
        <f t="shared" si="4"/>
        <v>300</v>
      </c>
      <c r="AJ55" s="87">
        <f>'[1]Sheet1'!AK91</f>
        <v>300</v>
      </c>
      <c r="AK55" s="85">
        <f t="shared" si="2"/>
        <v>600</v>
      </c>
      <c r="AL55" s="85">
        <f t="shared" si="2"/>
        <v>600</v>
      </c>
    </row>
    <row r="56" spans="1:38" s="89" customFormat="1" ht="16.5" customHeight="1">
      <c r="A56" s="5">
        <v>45</v>
      </c>
      <c r="B56" s="83" t="s">
        <v>138</v>
      </c>
      <c r="C56" s="84">
        <f t="shared" si="5"/>
        <v>6968.299999999999</v>
      </c>
      <c r="D56" s="84">
        <f t="shared" si="5"/>
        <v>6518.15</v>
      </c>
      <c r="E56" s="65">
        <f>'[1]Sheet1'!F69</f>
        <v>4486</v>
      </c>
      <c r="F56" s="65">
        <f>'[1]Sheet1'!G69</f>
        <v>4397.45</v>
      </c>
      <c r="G56" s="65">
        <f>'[1]Sheet1'!H69</f>
        <v>1120.7</v>
      </c>
      <c r="H56" s="65">
        <f>'[1]Sheet1'!I69</f>
        <v>1120.7</v>
      </c>
      <c r="I56" s="65">
        <f>'[1]Sheet1'!J69</f>
        <v>600</v>
      </c>
      <c r="J56" s="65">
        <f>'[1]Sheet1'!K69</f>
        <v>600</v>
      </c>
      <c r="K56" s="65">
        <f>'[1]Sheet1'!L69</f>
        <v>0</v>
      </c>
      <c r="L56" s="65">
        <f>'[1]Sheet1'!M69</f>
        <v>0</v>
      </c>
      <c r="M56" s="65">
        <f>'[1]Sheet1'!N69</f>
        <v>0</v>
      </c>
      <c r="N56" s="65">
        <f>'[1]Sheet1'!O69</f>
        <v>0</v>
      </c>
      <c r="O56" s="65">
        <f>'[1]Sheet1'!P69</f>
        <v>0</v>
      </c>
      <c r="P56" s="65">
        <f>'[1]Sheet1'!Q69</f>
        <v>0</v>
      </c>
      <c r="Q56" s="65">
        <f>'[1]Sheet1'!R69</f>
        <v>0</v>
      </c>
      <c r="R56" s="65">
        <f>'[1]Sheet1'!S69</f>
        <v>0</v>
      </c>
      <c r="S56" s="65">
        <f>'[1]Sheet1'!T69</f>
        <v>0</v>
      </c>
      <c r="T56" s="65">
        <f>'[1]Sheet1'!U69</f>
        <v>0</v>
      </c>
      <c r="U56" s="85">
        <f t="shared" si="1"/>
        <v>6206.7</v>
      </c>
      <c r="V56" s="85">
        <f t="shared" si="1"/>
        <v>6118.15</v>
      </c>
      <c r="W56" s="88">
        <f>'[1]Sheet1'!X69</f>
        <v>761.6</v>
      </c>
      <c r="X56" s="88">
        <f>'[1]Sheet1'!Y69</f>
        <v>400</v>
      </c>
      <c r="Y56" s="88">
        <f>'[1]Sheet1'!Z69</f>
        <v>0</v>
      </c>
      <c r="Z56" s="88">
        <f>'[1]Sheet1'!AA69</f>
        <v>0</v>
      </c>
      <c r="AA56" s="88">
        <f>'[1]Sheet1'!AB69</f>
        <v>0</v>
      </c>
      <c r="AB56" s="88">
        <f>'[1]Sheet1'!AC69</f>
        <v>0</v>
      </c>
      <c r="AC56" s="88">
        <f>'[1]Sheet1'!AD69</f>
        <v>0</v>
      </c>
      <c r="AD56" s="88">
        <f>'[1]Sheet1'!AE69</f>
        <v>0</v>
      </c>
      <c r="AE56" s="88">
        <f>'[1]Sheet1'!AF69</f>
        <v>0</v>
      </c>
      <c r="AF56" s="88">
        <f>'[1]Sheet1'!AG69</f>
        <v>0</v>
      </c>
      <c r="AG56" s="88">
        <f>'[1]Sheet1'!AH69</f>
        <v>0</v>
      </c>
      <c r="AH56" s="88">
        <f>'[1]Sheet1'!AI69</f>
        <v>0</v>
      </c>
      <c r="AI56" s="87">
        <f t="shared" si="4"/>
        <v>320</v>
      </c>
      <c r="AJ56" s="88">
        <f>'[1]Sheet1'!AK69</f>
        <v>320</v>
      </c>
      <c r="AK56" s="85">
        <f t="shared" si="2"/>
        <v>1081.6</v>
      </c>
      <c r="AL56" s="85">
        <f t="shared" si="2"/>
        <v>720</v>
      </c>
    </row>
    <row r="57" spans="1:38" ht="16.5" customHeight="1">
      <c r="A57" s="5">
        <v>47</v>
      </c>
      <c r="B57" s="83" t="s">
        <v>139</v>
      </c>
      <c r="C57" s="84">
        <f t="shared" si="5"/>
        <v>14523.1</v>
      </c>
      <c r="D57" s="84">
        <f t="shared" si="5"/>
        <v>13123.696</v>
      </c>
      <c r="E57" s="65">
        <f>'[1]Sheet1'!F57</f>
        <v>8170</v>
      </c>
      <c r="F57" s="65">
        <f>'[1]Sheet1'!G57</f>
        <v>8169.996</v>
      </c>
      <c r="G57" s="65">
        <f>'[1]Sheet1'!H57</f>
        <v>2042</v>
      </c>
      <c r="H57" s="65">
        <f>'[1]Sheet1'!I57</f>
        <v>2042</v>
      </c>
      <c r="I57" s="65">
        <f>'[1]Sheet1'!J57</f>
        <v>1441</v>
      </c>
      <c r="J57" s="65">
        <f>'[1]Sheet1'!K57</f>
        <v>1441</v>
      </c>
      <c r="K57" s="65">
        <f>'[1]Sheet1'!L57</f>
        <v>0</v>
      </c>
      <c r="L57" s="65">
        <f>'[1]Sheet1'!M57</f>
        <v>0</v>
      </c>
      <c r="M57" s="65">
        <f>'[1]Sheet1'!N57</f>
        <v>0</v>
      </c>
      <c r="N57" s="65">
        <f>'[1]Sheet1'!O57</f>
        <v>0</v>
      </c>
      <c r="O57" s="65">
        <f>'[1]Sheet1'!P57</f>
        <v>2600</v>
      </c>
      <c r="P57" s="65">
        <f>'[1]Sheet1'!Q57</f>
        <v>1300</v>
      </c>
      <c r="Q57" s="65">
        <f>'[1]Sheet1'!R57</f>
        <v>200</v>
      </c>
      <c r="R57" s="65">
        <f>'[1]Sheet1'!S57</f>
        <v>200</v>
      </c>
      <c r="S57" s="65">
        <f>'[1]Sheet1'!T57</f>
        <v>70</v>
      </c>
      <c r="T57" s="65">
        <f>'[1]Sheet1'!U57</f>
        <v>70</v>
      </c>
      <c r="U57" s="85">
        <f t="shared" si="1"/>
        <v>14523</v>
      </c>
      <c r="V57" s="85">
        <f t="shared" si="1"/>
        <v>13222.996</v>
      </c>
      <c r="W57" s="87">
        <f>'[1]Sheet1'!X57</f>
        <v>0.1</v>
      </c>
      <c r="X57" s="87">
        <f>'[1]Sheet1'!Y57</f>
        <v>0</v>
      </c>
      <c r="Y57" s="87">
        <f>'[1]Sheet1'!Z57</f>
        <v>0</v>
      </c>
      <c r="Z57" s="87">
        <f>'[1]Sheet1'!AA57</f>
        <v>0</v>
      </c>
      <c r="AA57" s="87">
        <f>'[1]Sheet1'!AB57</f>
        <v>0</v>
      </c>
      <c r="AB57" s="87">
        <f>'[1]Sheet1'!AC57</f>
        <v>0</v>
      </c>
      <c r="AC57" s="87">
        <f>'[1]Sheet1'!AD57</f>
        <v>0</v>
      </c>
      <c r="AD57" s="87">
        <f>'[1]Sheet1'!AE57</f>
        <v>-27.3</v>
      </c>
      <c r="AE57" s="87">
        <f>'[1]Sheet1'!AF57</f>
        <v>0</v>
      </c>
      <c r="AF57" s="87">
        <f>'[1]Sheet1'!AG57</f>
        <v>-72</v>
      </c>
      <c r="AG57" s="87">
        <f>'[1]Sheet1'!AH57</f>
        <v>0</v>
      </c>
      <c r="AH57" s="87">
        <f>'[1]Sheet1'!AI57</f>
        <v>0</v>
      </c>
      <c r="AI57" s="87">
        <f t="shared" si="4"/>
        <v>0</v>
      </c>
      <c r="AJ57" s="87">
        <f>'[1]Sheet1'!AK57</f>
        <v>0</v>
      </c>
      <c r="AK57" s="85">
        <f t="shared" si="2"/>
        <v>0.1</v>
      </c>
      <c r="AL57" s="85">
        <f t="shared" si="2"/>
        <v>-99.3</v>
      </c>
    </row>
    <row r="58" spans="1:38" ht="16.5" customHeight="1">
      <c r="A58" s="5">
        <v>48</v>
      </c>
      <c r="B58" s="83" t="s">
        <v>140</v>
      </c>
      <c r="C58" s="84">
        <f t="shared" si="5"/>
        <v>12939.699999999999</v>
      </c>
      <c r="D58" s="84">
        <f t="shared" si="5"/>
        <v>11380.14</v>
      </c>
      <c r="E58" s="65">
        <f>'[1]Sheet1'!F44</f>
        <v>5057</v>
      </c>
      <c r="F58" s="65">
        <f>'[1]Sheet1'!G44</f>
        <v>4727</v>
      </c>
      <c r="G58" s="65">
        <f>'[1]Sheet1'!H44</f>
        <v>1167.6</v>
      </c>
      <c r="H58" s="65">
        <f>'[1]Sheet1'!I44</f>
        <v>1073.4</v>
      </c>
      <c r="I58" s="65">
        <f>'[1]Sheet1'!J44</f>
        <v>3112.7</v>
      </c>
      <c r="J58" s="65">
        <f>'[1]Sheet1'!K44</f>
        <v>3059.94</v>
      </c>
      <c r="K58" s="65">
        <f>'[1]Sheet1'!L44</f>
        <v>0</v>
      </c>
      <c r="L58" s="65">
        <f>'[1]Sheet1'!M44</f>
        <v>0</v>
      </c>
      <c r="M58" s="65">
        <f>'[1]Sheet1'!N44</f>
        <v>0</v>
      </c>
      <c r="N58" s="65">
        <f>'[1]Sheet1'!O44</f>
        <v>0</v>
      </c>
      <c r="O58" s="65">
        <f>'[1]Sheet1'!P44</f>
        <v>0</v>
      </c>
      <c r="P58" s="65">
        <f>'[1]Sheet1'!Q44</f>
        <v>0</v>
      </c>
      <c r="Q58" s="65">
        <f>'[1]Sheet1'!R44</f>
        <v>500</v>
      </c>
      <c r="R58" s="65">
        <f>'[1]Sheet1'!S44</f>
        <v>400</v>
      </c>
      <c r="S58" s="65">
        <f>'[1]Sheet1'!T44</f>
        <v>0</v>
      </c>
      <c r="T58" s="65">
        <f>'[1]Sheet1'!U44</f>
        <v>0</v>
      </c>
      <c r="U58" s="85">
        <f t="shared" si="1"/>
        <v>9837.3</v>
      </c>
      <c r="V58" s="85">
        <f t="shared" si="1"/>
        <v>9260.34</v>
      </c>
      <c r="W58" s="87">
        <f>'[1]Sheet1'!X44</f>
        <v>3102.4</v>
      </c>
      <c r="X58" s="87">
        <f>'[1]Sheet1'!Y44</f>
        <v>2119.8</v>
      </c>
      <c r="Y58" s="87">
        <f>'[1]Sheet1'!Z44</f>
        <v>0</v>
      </c>
      <c r="Z58" s="87">
        <f>'[1]Sheet1'!AA44</f>
        <v>0</v>
      </c>
      <c r="AA58" s="87">
        <f>'[1]Sheet1'!AB44</f>
        <v>0</v>
      </c>
      <c r="AB58" s="87">
        <f>'[1]Sheet1'!AC44</f>
        <v>0</v>
      </c>
      <c r="AC58" s="87">
        <f>'[1]Sheet1'!AD44</f>
        <v>0</v>
      </c>
      <c r="AD58" s="87">
        <f>'[1]Sheet1'!AE44</f>
        <v>0</v>
      </c>
      <c r="AE58" s="87">
        <f>'[1]Sheet1'!AF44</f>
        <v>0</v>
      </c>
      <c r="AF58" s="87">
        <f>'[1]Sheet1'!AG44</f>
        <v>0</v>
      </c>
      <c r="AG58" s="87">
        <f>'[1]Sheet1'!AH44</f>
        <v>0</v>
      </c>
      <c r="AH58" s="87">
        <f>'[1]Sheet1'!AI44</f>
        <v>0</v>
      </c>
      <c r="AI58" s="87">
        <f t="shared" si="4"/>
        <v>2500</v>
      </c>
      <c r="AJ58" s="87">
        <f>'[1]Sheet1'!AK44</f>
        <v>2500</v>
      </c>
      <c r="AK58" s="85">
        <f t="shared" si="2"/>
        <v>5602.4</v>
      </c>
      <c r="AL58" s="85">
        <f t="shared" si="2"/>
        <v>4619.8</v>
      </c>
    </row>
    <row r="59" spans="1:38" ht="16.5" customHeight="1">
      <c r="A59" s="5">
        <v>49</v>
      </c>
      <c r="B59" s="83" t="s">
        <v>141</v>
      </c>
      <c r="C59" s="84">
        <f t="shared" si="5"/>
        <v>11583.8</v>
      </c>
      <c r="D59" s="84">
        <f t="shared" si="5"/>
        <v>11577.894</v>
      </c>
      <c r="E59" s="65">
        <f>'[1]Sheet1'!F75</f>
        <v>5635.45</v>
      </c>
      <c r="F59" s="65">
        <f>'[1]Sheet1'!G75</f>
        <v>5635.004</v>
      </c>
      <c r="G59" s="65">
        <f>'[1]Sheet1'!H75</f>
        <v>985</v>
      </c>
      <c r="H59" s="65">
        <f>'[1]Sheet1'!I75</f>
        <v>985</v>
      </c>
      <c r="I59" s="65">
        <f>'[1]Sheet1'!J75</f>
        <v>2390.05</v>
      </c>
      <c r="J59" s="65">
        <f>'[1]Sheet1'!K75</f>
        <v>2384.89</v>
      </c>
      <c r="K59" s="65">
        <f>'[1]Sheet1'!L75</f>
        <v>0</v>
      </c>
      <c r="L59" s="65">
        <f>'[1]Sheet1'!M75</f>
        <v>0</v>
      </c>
      <c r="M59" s="65">
        <f>'[1]Sheet1'!N75</f>
        <v>0</v>
      </c>
      <c r="N59" s="65">
        <f>'[1]Sheet1'!O75</f>
        <v>0</v>
      </c>
      <c r="O59" s="65">
        <f>'[1]Sheet1'!P75</f>
        <v>0</v>
      </c>
      <c r="P59" s="65">
        <f>'[1]Sheet1'!Q75</f>
        <v>0</v>
      </c>
      <c r="Q59" s="65">
        <f>'[1]Sheet1'!R75</f>
        <v>200</v>
      </c>
      <c r="R59" s="65">
        <f>'[1]Sheet1'!S75</f>
        <v>200</v>
      </c>
      <c r="S59" s="65">
        <f>'[1]Sheet1'!T75</f>
        <v>15</v>
      </c>
      <c r="T59" s="65">
        <f>'[1]Sheet1'!U75</f>
        <v>15</v>
      </c>
      <c r="U59" s="85">
        <f t="shared" si="1"/>
        <v>9225.5</v>
      </c>
      <c r="V59" s="85">
        <f t="shared" si="1"/>
        <v>9219.894</v>
      </c>
      <c r="W59" s="87">
        <f>'[1]Sheet1'!X75</f>
        <v>3344.1</v>
      </c>
      <c r="X59" s="87">
        <f>'[1]Sheet1'!Y75</f>
        <v>3343.8</v>
      </c>
      <c r="Y59" s="87">
        <f>'[1]Sheet1'!Z75</f>
        <v>0</v>
      </c>
      <c r="Z59" s="87">
        <f>'[1]Sheet1'!AA75</f>
        <v>0</v>
      </c>
      <c r="AA59" s="87">
        <f>'[1]Sheet1'!AB75</f>
        <v>0</v>
      </c>
      <c r="AB59" s="87">
        <f>'[1]Sheet1'!AC75</f>
        <v>0</v>
      </c>
      <c r="AC59" s="87">
        <f>'[1]Sheet1'!AD75</f>
        <v>-165</v>
      </c>
      <c r="AD59" s="87">
        <f>'[1]Sheet1'!AE75</f>
        <v>-165</v>
      </c>
      <c r="AE59" s="87">
        <f>'[1]Sheet1'!AF75</f>
        <v>-820.8</v>
      </c>
      <c r="AF59" s="87">
        <f>'[1]Sheet1'!AG75</f>
        <v>-820.8</v>
      </c>
      <c r="AG59" s="87">
        <f>'[1]Sheet1'!AH75</f>
        <v>0</v>
      </c>
      <c r="AH59" s="87">
        <f>'[1]Sheet1'!AI75</f>
        <v>0</v>
      </c>
      <c r="AI59" s="87">
        <f t="shared" si="4"/>
        <v>1800</v>
      </c>
      <c r="AJ59" s="87">
        <f>'[1]Sheet1'!AK75</f>
        <v>1800</v>
      </c>
      <c r="AK59" s="85">
        <f t="shared" si="2"/>
        <v>4158.3</v>
      </c>
      <c r="AL59" s="85">
        <f t="shared" si="2"/>
        <v>4158</v>
      </c>
    </row>
    <row r="60" spans="1:38" ht="16.5" customHeight="1">
      <c r="A60" s="5">
        <v>50</v>
      </c>
      <c r="B60" s="83" t="s">
        <v>142</v>
      </c>
      <c r="C60" s="84">
        <f t="shared" si="5"/>
        <v>15422.599999999999</v>
      </c>
      <c r="D60" s="84">
        <f t="shared" si="5"/>
        <v>14593.534</v>
      </c>
      <c r="E60" s="65">
        <f>'[1]Sheet1'!F54</f>
        <v>7886.1</v>
      </c>
      <c r="F60" s="65">
        <f>'[1]Sheet1'!G54</f>
        <v>7598.344</v>
      </c>
      <c r="G60" s="65">
        <f>'[1]Sheet1'!H54</f>
        <v>1495.2</v>
      </c>
      <c r="H60" s="65">
        <f>'[1]Sheet1'!I54</f>
        <v>1400</v>
      </c>
      <c r="I60" s="65">
        <f>'[1]Sheet1'!J54</f>
        <v>2588</v>
      </c>
      <c r="J60" s="65">
        <f>'[1]Sheet1'!K54</f>
        <v>2326.8</v>
      </c>
      <c r="K60" s="65">
        <f>'[1]Sheet1'!L54</f>
        <v>0</v>
      </c>
      <c r="L60" s="65">
        <f>'[1]Sheet1'!M54</f>
        <v>0</v>
      </c>
      <c r="M60" s="65">
        <f>'[1]Sheet1'!N54</f>
        <v>0</v>
      </c>
      <c r="N60" s="65">
        <f>'[1]Sheet1'!O54</f>
        <v>0</v>
      </c>
      <c r="O60" s="65">
        <f>'[1]Sheet1'!P54</f>
        <v>0</v>
      </c>
      <c r="P60" s="65">
        <f>'[1]Sheet1'!Q54</f>
        <v>0</v>
      </c>
      <c r="Q60" s="65">
        <f>'[1]Sheet1'!R54</f>
        <v>773.3</v>
      </c>
      <c r="R60" s="65">
        <f>'[1]Sheet1'!S54</f>
        <v>642</v>
      </c>
      <c r="S60" s="65">
        <f>'[1]Sheet1'!T54</f>
        <v>0</v>
      </c>
      <c r="T60" s="65">
        <f>'[1]Sheet1'!U54</f>
        <v>0</v>
      </c>
      <c r="U60" s="85">
        <f t="shared" si="1"/>
        <v>12742.6</v>
      </c>
      <c r="V60" s="85">
        <f t="shared" si="1"/>
        <v>11967.144</v>
      </c>
      <c r="W60" s="87">
        <f>'[1]Sheet1'!X54</f>
        <v>2680</v>
      </c>
      <c r="X60" s="87">
        <f>'[1]Sheet1'!Y54</f>
        <v>2626.39</v>
      </c>
      <c r="Y60" s="87">
        <f>'[1]Sheet1'!Z54</f>
        <v>0</v>
      </c>
      <c r="Z60" s="87">
        <f>'[1]Sheet1'!AA54</f>
        <v>0</v>
      </c>
      <c r="AA60" s="87">
        <f>'[1]Sheet1'!AB54</f>
        <v>0</v>
      </c>
      <c r="AB60" s="87">
        <f>'[1]Sheet1'!AC54</f>
        <v>0</v>
      </c>
      <c r="AC60" s="87">
        <f>'[1]Sheet1'!AD54</f>
        <v>0</v>
      </c>
      <c r="AD60" s="87">
        <f>'[1]Sheet1'!AE54</f>
        <v>0</v>
      </c>
      <c r="AE60" s="87">
        <f>'[1]Sheet1'!AF54</f>
        <v>0</v>
      </c>
      <c r="AF60" s="87">
        <f>'[1]Sheet1'!AG54</f>
        <v>0</v>
      </c>
      <c r="AG60" s="87">
        <f>'[1]Sheet1'!AH54</f>
        <v>0</v>
      </c>
      <c r="AH60" s="87">
        <f>'[1]Sheet1'!AI54</f>
        <v>0</v>
      </c>
      <c r="AI60" s="87">
        <f t="shared" si="4"/>
        <v>2360.129</v>
      </c>
      <c r="AJ60" s="87">
        <f>'[1]Sheet1'!AK54</f>
        <v>2360.129</v>
      </c>
      <c r="AK60" s="85">
        <f t="shared" si="2"/>
        <v>5040.129</v>
      </c>
      <c r="AL60" s="85">
        <f t="shared" si="2"/>
        <v>4986.519</v>
      </c>
    </row>
    <row r="61" spans="1:38" ht="16.5" customHeight="1">
      <c r="A61" s="5">
        <v>51</v>
      </c>
      <c r="B61" s="83" t="s">
        <v>143</v>
      </c>
      <c r="C61" s="84">
        <f t="shared" si="5"/>
        <v>6601.3</v>
      </c>
      <c r="D61" s="84">
        <f t="shared" si="5"/>
        <v>6357.4</v>
      </c>
      <c r="E61" s="65">
        <f>'[1]Sheet1'!F94</f>
        <v>4916</v>
      </c>
      <c r="F61" s="65">
        <f>'[1]Sheet1'!G94</f>
        <v>4914.655</v>
      </c>
      <c r="G61" s="65">
        <f>'[1]Sheet1'!H94</f>
        <v>898.8</v>
      </c>
      <c r="H61" s="65">
        <f>'[1]Sheet1'!I94</f>
        <v>898.8</v>
      </c>
      <c r="I61" s="65">
        <f>'[1]Sheet1'!J94</f>
        <v>477</v>
      </c>
      <c r="J61" s="65">
        <f>'[1]Sheet1'!K94</f>
        <v>476.09</v>
      </c>
      <c r="K61" s="65">
        <f>'[1]Sheet1'!L94</f>
        <v>0</v>
      </c>
      <c r="L61" s="65">
        <f>'[1]Sheet1'!M94</f>
        <v>0</v>
      </c>
      <c r="M61" s="65">
        <f>'[1]Sheet1'!N94</f>
        <v>0</v>
      </c>
      <c r="N61" s="65">
        <f>'[1]Sheet1'!O94</f>
        <v>0</v>
      </c>
      <c r="O61" s="65">
        <f>'[1]Sheet1'!P94</f>
        <v>0</v>
      </c>
      <c r="P61" s="65">
        <f>'[1]Sheet1'!Q94</f>
        <v>0</v>
      </c>
      <c r="Q61" s="65">
        <f>'[1]Sheet1'!R94</f>
        <v>0</v>
      </c>
      <c r="R61" s="65">
        <f>'[1]Sheet1'!S94</f>
        <v>0</v>
      </c>
      <c r="S61" s="65">
        <f>'[1]Sheet1'!T94</f>
        <v>9</v>
      </c>
      <c r="T61" s="65">
        <f>'[1]Sheet1'!U94</f>
        <v>9</v>
      </c>
      <c r="U61" s="85">
        <f t="shared" si="1"/>
        <v>6300.8</v>
      </c>
      <c r="V61" s="85">
        <f t="shared" si="1"/>
        <v>6298.545</v>
      </c>
      <c r="W61" s="87">
        <f>'[1]Sheet1'!X94</f>
        <v>2800.5</v>
      </c>
      <c r="X61" s="87">
        <f>'[1]Sheet1'!Y94</f>
        <v>1899.4</v>
      </c>
      <c r="Y61" s="87">
        <f>'[1]Sheet1'!Z94</f>
        <v>0</v>
      </c>
      <c r="Z61" s="87">
        <f>'[1]Sheet1'!AA94</f>
        <v>0</v>
      </c>
      <c r="AA61" s="87">
        <f>'[1]Sheet1'!AB94</f>
        <v>0</v>
      </c>
      <c r="AB61" s="87">
        <f>'[1]Sheet1'!AC94</f>
        <v>0</v>
      </c>
      <c r="AC61" s="87">
        <f>'[1]Sheet1'!AD94</f>
        <v>0</v>
      </c>
      <c r="AD61" s="87">
        <f>'[1]Sheet1'!AE94</f>
        <v>0</v>
      </c>
      <c r="AE61" s="87">
        <f>'[1]Sheet1'!AF94</f>
        <v>-2500</v>
      </c>
      <c r="AF61" s="87">
        <f>'[1]Sheet1'!AG94</f>
        <v>-1840.545</v>
      </c>
      <c r="AG61" s="87">
        <f>'[1]Sheet1'!AH94</f>
        <v>0</v>
      </c>
      <c r="AH61" s="87">
        <f>'[1]Sheet1'!AI94</f>
        <v>0</v>
      </c>
      <c r="AI61" s="87">
        <f t="shared" si="4"/>
        <v>300</v>
      </c>
      <c r="AJ61" s="87">
        <f>'[1]Sheet1'!AK94</f>
        <v>300</v>
      </c>
      <c r="AK61" s="85">
        <f t="shared" si="2"/>
        <v>600.5</v>
      </c>
      <c r="AL61" s="85">
        <f t="shared" si="2"/>
        <v>358.855</v>
      </c>
    </row>
    <row r="62" spans="1:38" ht="16.5" customHeight="1">
      <c r="A62" s="5">
        <v>52</v>
      </c>
      <c r="B62" s="83" t="s">
        <v>144</v>
      </c>
      <c r="C62" s="84">
        <f t="shared" si="5"/>
        <v>9461.9</v>
      </c>
      <c r="D62" s="84">
        <f t="shared" si="5"/>
        <v>8923.739</v>
      </c>
      <c r="E62" s="65">
        <f>'[1]Sheet1'!F10</f>
        <v>6743</v>
      </c>
      <c r="F62" s="65">
        <f>'[1]Sheet1'!G10</f>
        <v>6621.539</v>
      </c>
      <c r="G62" s="65">
        <f>'[1]Sheet1'!H10</f>
        <v>1385</v>
      </c>
      <c r="H62" s="65">
        <f>'[1]Sheet1'!I10</f>
        <v>1368.2</v>
      </c>
      <c r="I62" s="65">
        <f>'[1]Sheet1'!J10</f>
        <v>808.9</v>
      </c>
      <c r="J62" s="65">
        <f>'[1]Sheet1'!K10</f>
        <v>807</v>
      </c>
      <c r="K62" s="65">
        <f>'[1]Sheet1'!L10</f>
        <v>0</v>
      </c>
      <c r="L62" s="65">
        <f>'[1]Sheet1'!M10</f>
        <v>0</v>
      </c>
      <c r="M62" s="65">
        <f>'[1]Sheet1'!N10</f>
        <v>0</v>
      </c>
      <c r="N62" s="65">
        <f>'[1]Sheet1'!O10</f>
        <v>0</v>
      </c>
      <c r="O62" s="65">
        <f>'[1]Sheet1'!P10</f>
        <v>0</v>
      </c>
      <c r="P62" s="65">
        <f>'[1]Sheet1'!Q10</f>
        <v>0</v>
      </c>
      <c r="Q62" s="65">
        <f>'[1]Sheet1'!R10</f>
        <v>0</v>
      </c>
      <c r="R62" s="65">
        <f>'[1]Sheet1'!S10</f>
        <v>0</v>
      </c>
      <c r="S62" s="65">
        <f>'[1]Sheet1'!T10</f>
        <v>25</v>
      </c>
      <c r="T62" s="65">
        <f>'[1]Sheet1'!U10</f>
        <v>25</v>
      </c>
      <c r="U62" s="85">
        <f t="shared" si="1"/>
        <v>8961.9</v>
      </c>
      <c r="V62" s="85">
        <f t="shared" si="1"/>
        <v>8821.739</v>
      </c>
      <c r="W62" s="87">
        <f>'[1]Sheet1'!X10</f>
        <v>500</v>
      </c>
      <c r="X62" s="87">
        <f>'[1]Sheet1'!Y10</f>
        <v>472.48</v>
      </c>
      <c r="Y62" s="87">
        <f>'[1]Sheet1'!Z10</f>
        <v>0</v>
      </c>
      <c r="Z62" s="87">
        <f>'[1]Sheet1'!AA10</f>
        <v>0</v>
      </c>
      <c r="AA62" s="87">
        <f>'[1]Sheet1'!AB10</f>
        <v>0</v>
      </c>
      <c r="AB62" s="87">
        <f>'[1]Sheet1'!AC10</f>
        <v>0</v>
      </c>
      <c r="AC62" s="87">
        <f>'[1]Sheet1'!AD10</f>
        <v>0</v>
      </c>
      <c r="AD62" s="87">
        <f>'[1]Sheet1'!AE10</f>
        <v>-370.48</v>
      </c>
      <c r="AE62" s="87">
        <f>'[1]Sheet1'!AF10</f>
        <v>0</v>
      </c>
      <c r="AF62" s="87">
        <f>'[1]Sheet1'!AG10</f>
        <v>0</v>
      </c>
      <c r="AG62" s="87">
        <f>'[1]Sheet1'!AH10</f>
        <v>0</v>
      </c>
      <c r="AH62" s="87">
        <f>'[1]Sheet1'!AI10</f>
        <v>0</v>
      </c>
      <c r="AI62" s="87">
        <f t="shared" si="4"/>
        <v>500</v>
      </c>
      <c r="AJ62" s="87">
        <f>'[1]Sheet1'!AK10</f>
        <v>500</v>
      </c>
      <c r="AK62" s="85">
        <f t="shared" si="2"/>
        <v>1000</v>
      </c>
      <c r="AL62" s="85">
        <f t="shared" si="2"/>
        <v>602</v>
      </c>
    </row>
    <row r="63" spans="1:38" ht="16.5" customHeight="1">
      <c r="A63" s="5">
        <v>53</v>
      </c>
      <c r="B63" s="83" t="s">
        <v>145</v>
      </c>
      <c r="C63" s="84">
        <f t="shared" si="5"/>
        <v>7367.799999999999</v>
      </c>
      <c r="D63" s="84">
        <f t="shared" si="5"/>
        <v>4491.497</v>
      </c>
      <c r="E63" s="65">
        <f>'[1]Sheet1'!F13</f>
        <v>3564</v>
      </c>
      <c r="F63" s="65">
        <f>'[1]Sheet1'!G13</f>
        <v>3516.697</v>
      </c>
      <c r="G63" s="65">
        <f>'[1]Sheet1'!H13</f>
        <v>874.8</v>
      </c>
      <c r="H63" s="65">
        <f>'[1]Sheet1'!I13</f>
        <v>874.8</v>
      </c>
      <c r="I63" s="65">
        <f>'[1]Sheet1'!J13</f>
        <v>952</v>
      </c>
      <c r="J63" s="65">
        <f>'[1]Sheet1'!K13</f>
        <v>80</v>
      </c>
      <c r="K63" s="65">
        <f>'[1]Sheet1'!L13</f>
        <v>0</v>
      </c>
      <c r="L63" s="65">
        <f>'[1]Sheet1'!M13</f>
        <v>0</v>
      </c>
      <c r="M63" s="65">
        <f>'[1]Sheet1'!N13</f>
        <v>0</v>
      </c>
      <c r="N63" s="65">
        <f>'[1]Sheet1'!O13</f>
        <v>0</v>
      </c>
      <c r="O63" s="65">
        <f>'[1]Sheet1'!P13</f>
        <v>0</v>
      </c>
      <c r="P63" s="65">
        <f>'[1]Sheet1'!Q13</f>
        <v>0</v>
      </c>
      <c r="Q63" s="65">
        <f>'[1]Sheet1'!R13</f>
        <v>150</v>
      </c>
      <c r="R63" s="65">
        <f>'[1]Sheet1'!S13</f>
        <v>20</v>
      </c>
      <c r="S63" s="65">
        <f>'[1]Sheet1'!T13</f>
        <v>0</v>
      </c>
      <c r="T63" s="65">
        <f>'[1]Sheet1'!U13</f>
        <v>0</v>
      </c>
      <c r="U63" s="85">
        <f t="shared" si="1"/>
        <v>5540.8</v>
      </c>
      <c r="V63" s="85">
        <f t="shared" si="1"/>
        <v>4491.497</v>
      </c>
      <c r="W63" s="87">
        <f>'[1]Sheet1'!X13</f>
        <v>1827</v>
      </c>
      <c r="X63" s="87">
        <f>'[1]Sheet1'!Y13</f>
        <v>0</v>
      </c>
      <c r="Y63" s="87">
        <f>'[1]Sheet1'!Z13</f>
        <v>0</v>
      </c>
      <c r="Z63" s="87">
        <f>'[1]Sheet1'!AA13</f>
        <v>0</v>
      </c>
      <c r="AA63" s="87">
        <f>'[1]Sheet1'!AB13</f>
        <v>0</v>
      </c>
      <c r="AB63" s="87">
        <f>'[1]Sheet1'!AC13</f>
        <v>0</v>
      </c>
      <c r="AC63" s="87">
        <f>'[1]Sheet1'!AD13</f>
        <v>0</v>
      </c>
      <c r="AD63" s="87">
        <f>'[1]Sheet1'!AE13</f>
        <v>0</v>
      </c>
      <c r="AE63" s="87">
        <f>'[1]Sheet1'!AF13</f>
        <v>0</v>
      </c>
      <c r="AF63" s="87">
        <f>'[1]Sheet1'!AG13</f>
        <v>0</v>
      </c>
      <c r="AG63" s="87">
        <f>'[1]Sheet1'!AH13</f>
        <v>0</v>
      </c>
      <c r="AH63" s="87">
        <f>'[1]Sheet1'!AI13</f>
        <v>0</v>
      </c>
      <c r="AI63" s="87">
        <f t="shared" si="4"/>
        <v>1385</v>
      </c>
      <c r="AJ63" s="87">
        <f>'[1]Sheet1'!AK13</f>
        <v>1385</v>
      </c>
      <c r="AK63" s="85">
        <f t="shared" si="2"/>
        <v>3212</v>
      </c>
      <c r="AL63" s="85">
        <f t="shared" si="2"/>
        <v>1385</v>
      </c>
    </row>
    <row r="64" spans="1:38" ht="16.5" customHeight="1">
      <c r="A64" s="5">
        <v>54</v>
      </c>
      <c r="B64" s="83" t="s">
        <v>146</v>
      </c>
      <c r="C64" s="84">
        <f t="shared" si="5"/>
        <v>6750.3</v>
      </c>
      <c r="D64" s="84">
        <f t="shared" si="5"/>
        <v>5818.5689999999995</v>
      </c>
      <c r="E64" s="65">
        <f>'[1]Sheet1'!F18</f>
        <v>3496.8</v>
      </c>
      <c r="F64" s="65">
        <f>'[1]Sheet1'!G18</f>
        <v>3297.539</v>
      </c>
      <c r="G64" s="65">
        <f>'[1]Sheet1'!H18</f>
        <v>826.8</v>
      </c>
      <c r="H64" s="65">
        <f>'[1]Sheet1'!I18</f>
        <v>807.389</v>
      </c>
      <c r="I64" s="65">
        <f>'[1]Sheet1'!J18</f>
        <v>1106</v>
      </c>
      <c r="J64" s="65">
        <f>'[1]Sheet1'!K18</f>
        <v>867.641</v>
      </c>
      <c r="K64" s="65">
        <f>'[1]Sheet1'!L18</f>
        <v>0</v>
      </c>
      <c r="L64" s="65">
        <f>'[1]Sheet1'!M18</f>
        <v>0</v>
      </c>
      <c r="M64" s="65">
        <f>'[1]Sheet1'!N18</f>
        <v>0</v>
      </c>
      <c r="N64" s="65">
        <f>'[1]Sheet1'!O18</f>
        <v>0</v>
      </c>
      <c r="O64" s="65">
        <f>'[1]Sheet1'!P18</f>
        <v>0</v>
      </c>
      <c r="P64" s="65">
        <f>'[1]Sheet1'!Q18</f>
        <v>0</v>
      </c>
      <c r="Q64" s="65">
        <f>'[1]Sheet1'!R18</f>
        <v>600</v>
      </c>
      <c r="R64" s="65">
        <f>'[1]Sheet1'!S18</f>
        <v>595</v>
      </c>
      <c r="S64" s="65">
        <f>'[1]Sheet1'!T18</f>
        <v>80</v>
      </c>
      <c r="T64" s="65">
        <f>'[1]Sheet1'!U18</f>
        <v>31</v>
      </c>
      <c r="U64" s="85">
        <f t="shared" si="1"/>
        <v>6109.6</v>
      </c>
      <c r="V64" s="85">
        <f t="shared" si="1"/>
        <v>5598.5689999999995</v>
      </c>
      <c r="W64" s="87">
        <f>'[1]Sheet1'!X18</f>
        <v>640.7</v>
      </c>
      <c r="X64" s="87">
        <f>'[1]Sheet1'!Y18</f>
        <v>220</v>
      </c>
      <c r="Y64" s="87">
        <f>'[1]Sheet1'!Z18</f>
        <v>0</v>
      </c>
      <c r="Z64" s="87">
        <f>'[1]Sheet1'!AA18</f>
        <v>0</v>
      </c>
      <c r="AA64" s="87">
        <f>'[1]Sheet1'!AB18</f>
        <v>0</v>
      </c>
      <c r="AB64" s="87">
        <f>'[1]Sheet1'!AC18</f>
        <v>0</v>
      </c>
      <c r="AC64" s="87">
        <f>'[1]Sheet1'!AD18</f>
        <v>0</v>
      </c>
      <c r="AD64" s="87">
        <f>'[1]Sheet1'!AE18</f>
        <v>0</v>
      </c>
      <c r="AE64" s="87">
        <f>'[1]Sheet1'!AF18</f>
        <v>0</v>
      </c>
      <c r="AF64" s="87">
        <f>'[1]Sheet1'!AG18</f>
        <v>0</v>
      </c>
      <c r="AG64" s="87">
        <f>'[1]Sheet1'!AH18</f>
        <v>0</v>
      </c>
      <c r="AH64" s="87">
        <f>'[1]Sheet1'!AI18</f>
        <v>0</v>
      </c>
      <c r="AI64" s="87">
        <f t="shared" si="4"/>
        <v>350</v>
      </c>
      <c r="AJ64" s="87">
        <f>'[1]Sheet1'!AK18</f>
        <v>350</v>
      </c>
      <c r="AK64" s="85">
        <f t="shared" si="2"/>
        <v>990.7</v>
      </c>
      <c r="AL64" s="85">
        <f t="shared" si="2"/>
        <v>570</v>
      </c>
    </row>
    <row r="65" spans="1:38" ht="16.5" customHeight="1">
      <c r="A65" s="5">
        <v>55</v>
      </c>
      <c r="B65" s="83" t="s">
        <v>147</v>
      </c>
      <c r="C65" s="84">
        <f t="shared" si="5"/>
        <v>16126.8</v>
      </c>
      <c r="D65" s="84">
        <f t="shared" si="5"/>
        <v>13150</v>
      </c>
      <c r="E65" s="65">
        <f>'[1]Sheet1'!F31</f>
        <v>6786.8</v>
      </c>
      <c r="F65" s="65">
        <f>'[1]Sheet1'!G31</f>
        <v>6668</v>
      </c>
      <c r="G65" s="65">
        <f>'[1]Sheet1'!H31</f>
        <v>1667.6</v>
      </c>
      <c r="H65" s="65">
        <f>'[1]Sheet1'!I31</f>
        <v>1500.8</v>
      </c>
      <c r="I65" s="65">
        <f>'[1]Sheet1'!J31</f>
        <v>4350.1</v>
      </c>
      <c r="J65" s="65">
        <f>'[1]Sheet1'!K31</f>
        <v>2681.2</v>
      </c>
      <c r="K65" s="65">
        <f>'[1]Sheet1'!L31</f>
        <v>0</v>
      </c>
      <c r="L65" s="65">
        <f>'[1]Sheet1'!M31</f>
        <v>0</v>
      </c>
      <c r="M65" s="65">
        <f>'[1]Sheet1'!N31</f>
        <v>0</v>
      </c>
      <c r="N65" s="65">
        <f>'[1]Sheet1'!O31</f>
        <v>0</v>
      </c>
      <c r="O65" s="65">
        <f>'[1]Sheet1'!P31</f>
        <v>0</v>
      </c>
      <c r="P65" s="65">
        <f>'[1]Sheet1'!Q31</f>
        <v>0</v>
      </c>
      <c r="Q65" s="65">
        <f>'[1]Sheet1'!R31</f>
        <v>500</v>
      </c>
      <c r="R65" s="65">
        <f>'[1]Sheet1'!S31</f>
        <v>500</v>
      </c>
      <c r="S65" s="65">
        <f>'[1]Sheet1'!T31</f>
        <v>400</v>
      </c>
      <c r="T65" s="65">
        <f>'[1]Sheet1'!U31</f>
        <v>0</v>
      </c>
      <c r="U65" s="85">
        <f t="shared" si="1"/>
        <v>13704.5</v>
      </c>
      <c r="V65" s="85">
        <f t="shared" si="1"/>
        <v>11350</v>
      </c>
      <c r="W65" s="87">
        <f>'[1]Sheet1'!X31</f>
        <v>2422.3</v>
      </c>
      <c r="X65" s="87">
        <f>'[1]Sheet1'!Y31</f>
        <v>1800</v>
      </c>
      <c r="Y65" s="87">
        <f>'[1]Sheet1'!Z31</f>
        <v>0</v>
      </c>
      <c r="Z65" s="87">
        <f>'[1]Sheet1'!AA31</f>
        <v>0</v>
      </c>
      <c r="AA65" s="87">
        <f>'[1]Sheet1'!AB31</f>
        <v>0</v>
      </c>
      <c r="AB65" s="87">
        <f>'[1]Sheet1'!AC31</f>
        <v>0</v>
      </c>
      <c r="AC65" s="87">
        <f>'[1]Sheet1'!AD31</f>
        <v>0</v>
      </c>
      <c r="AD65" s="87">
        <f>'[1]Sheet1'!AE31</f>
        <v>0</v>
      </c>
      <c r="AE65" s="87">
        <f>'[1]Sheet1'!AF31</f>
        <v>0</v>
      </c>
      <c r="AF65" s="87">
        <f>'[1]Sheet1'!AG31</f>
        <v>0</v>
      </c>
      <c r="AG65" s="87">
        <f>'[1]Sheet1'!AH31</f>
        <v>0</v>
      </c>
      <c r="AH65" s="87">
        <f>'[1]Sheet1'!AI31</f>
        <v>0</v>
      </c>
      <c r="AI65" s="87">
        <f t="shared" si="4"/>
        <v>2422.3</v>
      </c>
      <c r="AJ65" s="87">
        <f>'[1]Sheet1'!AK31</f>
        <v>2422.3</v>
      </c>
      <c r="AK65" s="85">
        <f t="shared" si="2"/>
        <v>4844.6</v>
      </c>
      <c r="AL65" s="85">
        <f t="shared" si="2"/>
        <v>4222.3</v>
      </c>
    </row>
    <row r="66" spans="1:38" ht="16.5" customHeight="1">
      <c r="A66" s="5">
        <v>56</v>
      </c>
      <c r="B66" s="83" t="s">
        <v>148</v>
      </c>
      <c r="C66" s="84">
        <f t="shared" si="5"/>
        <v>12207.499999999998</v>
      </c>
      <c r="D66" s="84">
        <f t="shared" si="5"/>
        <v>10674.204000000002</v>
      </c>
      <c r="E66" s="65">
        <f>'[1]Sheet1'!F34</f>
        <v>8532.8</v>
      </c>
      <c r="F66" s="65">
        <f>'[1]Sheet1'!G34</f>
        <v>8351.69</v>
      </c>
      <c r="G66" s="65">
        <f>'[1]Sheet1'!H34</f>
        <v>1736.8</v>
      </c>
      <c r="H66" s="65">
        <f>'[1]Sheet1'!I34</f>
        <v>1393.85</v>
      </c>
      <c r="I66" s="65">
        <f>'[1]Sheet1'!J34</f>
        <v>1370.9</v>
      </c>
      <c r="J66" s="65">
        <f>'[1]Sheet1'!K34</f>
        <v>728</v>
      </c>
      <c r="K66" s="65">
        <f>'[1]Sheet1'!L34</f>
        <v>0</v>
      </c>
      <c r="L66" s="65">
        <f>'[1]Sheet1'!M34</f>
        <v>0</v>
      </c>
      <c r="M66" s="65">
        <f>'[1]Sheet1'!N34</f>
        <v>0</v>
      </c>
      <c r="N66" s="65">
        <f>'[1]Sheet1'!O34</f>
        <v>0</v>
      </c>
      <c r="O66" s="65">
        <f>'[1]Sheet1'!P34</f>
        <v>0</v>
      </c>
      <c r="P66" s="65">
        <f>'[1]Sheet1'!Q34</f>
        <v>0</v>
      </c>
      <c r="Q66" s="65">
        <f>'[1]Sheet1'!R34</f>
        <v>300</v>
      </c>
      <c r="R66" s="65">
        <f>'[1]Sheet1'!S34</f>
        <v>200.664</v>
      </c>
      <c r="S66" s="65">
        <f>'[1]Sheet1'!T34</f>
        <v>0</v>
      </c>
      <c r="T66" s="65">
        <f>'[1]Sheet1'!U34</f>
        <v>0</v>
      </c>
      <c r="U66" s="85">
        <f t="shared" si="1"/>
        <v>11940.499999999998</v>
      </c>
      <c r="V66" s="85">
        <f t="shared" si="1"/>
        <v>10674.204000000002</v>
      </c>
      <c r="W66" s="87">
        <f>'[1]Sheet1'!X34</f>
        <v>267</v>
      </c>
      <c r="X66" s="87">
        <f>'[1]Sheet1'!Y34</f>
        <v>27.84</v>
      </c>
      <c r="Y66" s="87">
        <f>'[1]Sheet1'!Z34</f>
        <v>0</v>
      </c>
      <c r="Z66" s="87">
        <f>'[1]Sheet1'!AA34</f>
        <v>0</v>
      </c>
      <c r="AA66" s="87">
        <f>'[1]Sheet1'!AB34</f>
        <v>0</v>
      </c>
      <c r="AB66" s="87">
        <f>'[1]Sheet1'!AC34</f>
        <v>0</v>
      </c>
      <c r="AC66" s="87">
        <f>'[1]Sheet1'!AD34</f>
        <v>0</v>
      </c>
      <c r="AD66" s="87">
        <f>'[1]Sheet1'!AE34</f>
        <v>0</v>
      </c>
      <c r="AE66" s="87">
        <f>'[1]Sheet1'!AF34</f>
        <v>0</v>
      </c>
      <c r="AF66" s="87">
        <f>'[1]Sheet1'!AG34</f>
        <v>-27.84</v>
      </c>
      <c r="AG66" s="87">
        <f>'[1]Sheet1'!AH34</f>
        <v>0</v>
      </c>
      <c r="AH66" s="87">
        <f>'[1]Sheet1'!AI34</f>
        <v>0</v>
      </c>
      <c r="AI66" s="87">
        <f t="shared" si="4"/>
        <v>267</v>
      </c>
      <c r="AJ66" s="87">
        <f>'[1]Sheet1'!AK34</f>
        <v>267</v>
      </c>
      <c r="AK66" s="85">
        <f t="shared" si="2"/>
        <v>534</v>
      </c>
      <c r="AL66" s="85">
        <f t="shared" si="2"/>
        <v>267</v>
      </c>
    </row>
    <row r="67" spans="1:38" ht="16.5" customHeight="1">
      <c r="A67" s="5">
        <v>57</v>
      </c>
      <c r="B67" s="83" t="s">
        <v>149</v>
      </c>
      <c r="C67" s="84">
        <f t="shared" si="5"/>
        <v>25526.4</v>
      </c>
      <c r="D67" s="84">
        <f t="shared" si="5"/>
        <v>17969.523</v>
      </c>
      <c r="E67" s="65">
        <f>'[1]Sheet1'!F35</f>
        <v>7926.8</v>
      </c>
      <c r="F67" s="65">
        <f>'[1]Sheet1'!G35</f>
        <v>7810.856</v>
      </c>
      <c r="G67" s="65">
        <f>'[1]Sheet1'!H35</f>
        <v>1719.6</v>
      </c>
      <c r="H67" s="65">
        <f>'[1]Sheet1'!I35</f>
        <v>1684</v>
      </c>
      <c r="I67" s="65">
        <f>'[1]Sheet1'!J35</f>
        <v>5994.4</v>
      </c>
      <c r="J67" s="65">
        <f>'[1]Sheet1'!K35</f>
        <v>5013.41</v>
      </c>
      <c r="K67" s="65">
        <f>'[1]Sheet1'!L35</f>
        <v>0</v>
      </c>
      <c r="L67" s="65">
        <f>'[1]Sheet1'!M35</f>
        <v>0</v>
      </c>
      <c r="M67" s="65">
        <f>'[1]Sheet1'!N35</f>
        <v>0</v>
      </c>
      <c r="N67" s="65">
        <f>'[1]Sheet1'!O35</f>
        <v>0</v>
      </c>
      <c r="O67" s="65">
        <f>'[1]Sheet1'!P35</f>
        <v>1800</v>
      </c>
      <c r="P67" s="65">
        <f>'[1]Sheet1'!Q35</f>
        <v>300</v>
      </c>
      <c r="Q67" s="65">
        <f>'[1]Sheet1'!R35</f>
        <v>900</v>
      </c>
      <c r="R67" s="65">
        <f>'[1]Sheet1'!S35</f>
        <v>900</v>
      </c>
      <c r="S67" s="65">
        <f>'[1]Sheet1'!T35</f>
        <v>20</v>
      </c>
      <c r="T67" s="65">
        <f>'[1]Sheet1'!U35</f>
        <v>1</v>
      </c>
      <c r="U67" s="85">
        <f t="shared" si="1"/>
        <v>18360.8</v>
      </c>
      <c r="V67" s="85">
        <f t="shared" si="1"/>
        <v>15709.266</v>
      </c>
      <c r="W67" s="87">
        <f>'[1]Sheet1'!X35</f>
        <v>7165.6</v>
      </c>
      <c r="X67" s="87">
        <f>'[1]Sheet1'!Y35</f>
        <v>3253</v>
      </c>
      <c r="Y67" s="87">
        <f>'[1]Sheet1'!Z35</f>
        <v>0</v>
      </c>
      <c r="Z67" s="87">
        <f>'[1]Sheet1'!AA35</f>
        <v>0</v>
      </c>
      <c r="AA67" s="87">
        <f>'[1]Sheet1'!AB35</f>
        <v>0</v>
      </c>
      <c r="AB67" s="87">
        <f>'[1]Sheet1'!AC35</f>
        <v>0</v>
      </c>
      <c r="AC67" s="87">
        <f>'[1]Sheet1'!AD35</f>
        <v>0</v>
      </c>
      <c r="AD67" s="87">
        <f>'[1]Sheet1'!AE35</f>
        <v>-64</v>
      </c>
      <c r="AE67" s="87">
        <f>'[1]Sheet1'!AF35</f>
        <v>0</v>
      </c>
      <c r="AF67" s="87">
        <f>'[1]Sheet1'!AG35</f>
        <v>-928.743</v>
      </c>
      <c r="AG67" s="87">
        <f>'[1]Sheet1'!AH35</f>
        <v>0</v>
      </c>
      <c r="AH67" s="87">
        <f>'[1]Sheet1'!AI35</f>
        <v>0</v>
      </c>
      <c r="AI67" s="87">
        <f t="shared" si="4"/>
        <v>4026.3</v>
      </c>
      <c r="AJ67" s="87">
        <f>'[1]Sheet1'!AK35</f>
        <v>4026.3</v>
      </c>
      <c r="AK67" s="85">
        <f t="shared" si="2"/>
        <v>11191.900000000001</v>
      </c>
      <c r="AL67" s="85">
        <f t="shared" si="2"/>
        <v>6286.557000000001</v>
      </c>
    </row>
    <row r="68" spans="1:38" ht="16.5" customHeight="1">
      <c r="A68" s="5">
        <v>58</v>
      </c>
      <c r="B68" s="83" t="s">
        <v>150</v>
      </c>
      <c r="C68" s="84">
        <f t="shared" si="5"/>
        <v>9643.9</v>
      </c>
      <c r="D68" s="84">
        <f t="shared" si="5"/>
        <v>7422.822</v>
      </c>
      <c r="E68" s="65">
        <f>'[1]Sheet1'!F36</f>
        <v>6249.6</v>
      </c>
      <c r="F68" s="65">
        <f>'[1]Sheet1'!G36</f>
        <v>4847.907</v>
      </c>
      <c r="G68" s="65">
        <f>'[1]Sheet1'!H36</f>
        <v>1997.8</v>
      </c>
      <c r="H68" s="65">
        <f>'[1]Sheet1'!I36</f>
        <v>1801.915</v>
      </c>
      <c r="I68" s="65">
        <f>'[1]Sheet1'!J36</f>
        <v>371.5</v>
      </c>
      <c r="J68" s="65">
        <f>'[1]Sheet1'!K36</f>
        <v>240</v>
      </c>
      <c r="K68" s="65">
        <f>'[1]Sheet1'!L36</f>
        <v>0</v>
      </c>
      <c r="L68" s="65">
        <f>'[1]Sheet1'!M36</f>
        <v>0</v>
      </c>
      <c r="M68" s="65">
        <f>'[1]Sheet1'!N36</f>
        <v>0</v>
      </c>
      <c r="N68" s="65">
        <f>'[1]Sheet1'!O36</f>
        <v>0</v>
      </c>
      <c r="O68" s="65">
        <f>'[1]Sheet1'!P36</f>
        <v>0</v>
      </c>
      <c r="P68" s="65">
        <f>'[1]Sheet1'!Q36</f>
        <v>0</v>
      </c>
      <c r="Q68" s="65">
        <f>'[1]Sheet1'!R36</f>
        <v>543</v>
      </c>
      <c r="R68" s="65">
        <f>'[1]Sheet1'!S36</f>
        <v>533</v>
      </c>
      <c r="S68" s="65">
        <f>'[1]Sheet1'!T36</f>
        <v>0</v>
      </c>
      <c r="T68" s="65">
        <f>'[1]Sheet1'!U36</f>
        <v>0</v>
      </c>
      <c r="U68" s="85">
        <f t="shared" si="1"/>
        <v>9161.9</v>
      </c>
      <c r="V68" s="85">
        <f t="shared" si="1"/>
        <v>7422.822</v>
      </c>
      <c r="W68" s="87">
        <f>'[1]Sheet1'!X36</f>
        <v>482</v>
      </c>
      <c r="X68" s="87">
        <f>'[1]Sheet1'!Y36</f>
        <v>0</v>
      </c>
      <c r="Y68" s="87">
        <f>'[1]Sheet1'!Z36</f>
        <v>0</v>
      </c>
      <c r="Z68" s="87">
        <f>'[1]Sheet1'!AA36</f>
        <v>0</v>
      </c>
      <c r="AA68" s="87">
        <f>'[1]Sheet1'!AB36</f>
        <v>0</v>
      </c>
      <c r="AB68" s="87">
        <f>'[1]Sheet1'!AC36</f>
        <v>0</v>
      </c>
      <c r="AC68" s="87">
        <f>'[1]Sheet1'!AD36</f>
        <v>0</v>
      </c>
      <c r="AD68" s="87">
        <f>'[1]Sheet1'!AE36</f>
        <v>0</v>
      </c>
      <c r="AE68" s="87">
        <f>'[1]Sheet1'!AF36</f>
        <v>0</v>
      </c>
      <c r="AF68" s="87">
        <f>'[1]Sheet1'!AG36</f>
        <v>0</v>
      </c>
      <c r="AG68" s="87">
        <f>'[1]Sheet1'!AH36</f>
        <v>0</v>
      </c>
      <c r="AH68" s="87">
        <f>'[1]Sheet1'!AI36</f>
        <v>0</v>
      </c>
      <c r="AI68" s="87">
        <f t="shared" si="4"/>
        <v>482</v>
      </c>
      <c r="AJ68" s="87">
        <f>'[1]Sheet1'!AK36</f>
        <v>482</v>
      </c>
      <c r="AK68" s="85">
        <f t="shared" si="2"/>
        <v>964</v>
      </c>
      <c r="AL68" s="85">
        <f t="shared" si="2"/>
        <v>482</v>
      </c>
    </row>
    <row r="69" spans="1:38" ht="16.5" customHeight="1">
      <c r="A69" s="5">
        <v>59</v>
      </c>
      <c r="B69" s="83" t="s">
        <v>151</v>
      </c>
      <c r="C69" s="84">
        <f t="shared" si="5"/>
        <v>11368.900000000001</v>
      </c>
      <c r="D69" s="84">
        <f t="shared" si="5"/>
        <v>7764.398000000001</v>
      </c>
      <c r="E69" s="65">
        <f>'[1]Sheet1'!F41</f>
        <v>5512.8</v>
      </c>
      <c r="F69" s="65">
        <f>'[1]Sheet1'!G41</f>
        <v>5200.26</v>
      </c>
      <c r="G69" s="65">
        <f>'[1]Sheet1'!H41</f>
        <v>1498.7</v>
      </c>
      <c r="H69" s="65">
        <f>'[1]Sheet1'!I41</f>
        <v>1451.9</v>
      </c>
      <c r="I69" s="65">
        <f>'[1]Sheet1'!J41</f>
        <v>1227.7</v>
      </c>
      <c r="J69" s="65">
        <f>'[1]Sheet1'!K41</f>
        <v>812.238</v>
      </c>
      <c r="K69" s="65">
        <f>'[1]Sheet1'!L41</f>
        <v>0</v>
      </c>
      <c r="L69" s="65">
        <f>'[1]Sheet1'!M41</f>
        <v>0</v>
      </c>
      <c r="M69" s="65">
        <f>'[1]Sheet1'!N41</f>
        <v>0</v>
      </c>
      <c r="N69" s="65">
        <f>'[1]Sheet1'!O41</f>
        <v>0</v>
      </c>
      <c r="O69" s="65">
        <f>'[1]Sheet1'!P41</f>
        <v>0</v>
      </c>
      <c r="P69" s="65">
        <f>'[1]Sheet1'!Q41</f>
        <v>0</v>
      </c>
      <c r="Q69" s="65">
        <f>'[1]Sheet1'!R41</f>
        <v>829.7</v>
      </c>
      <c r="R69" s="65">
        <f>'[1]Sheet1'!S41</f>
        <v>300</v>
      </c>
      <c r="S69" s="65">
        <f>'[1]Sheet1'!T41</f>
        <v>50</v>
      </c>
      <c r="T69" s="65">
        <f>'[1]Sheet1'!U41</f>
        <v>0</v>
      </c>
      <c r="U69" s="85">
        <f t="shared" si="1"/>
        <v>9118.900000000001</v>
      </c>
      <c r="V69" s="85">
        <f t="shared" si="1"/>
        <v>7764.398</v>
      </c>
      <c r="W69" s="87">
        <f>'[1]Sheet1'!X41</f>
        <v>2250</v>
      </c>
      <c r="X69" s="87">
        <f>'[1]Sheet1'!Y41</f>
        <v>0</v>
      </c>
      <c r="Y69" s="87">
        <f>'[1]Sheet1'!Z41</f>
        <v>0</v>
      </c>
      <c r="Z69" s="87">
        <f>'[1]Sheet1'!AA41</f>
        <v>0</v>
      </c>
      <c r="AA69" s="87">
        <f>'[1]Sheet1'!AB41</f>
        <v>0</v>
      </c>
      <c r="AB69" s="87">
        <f>'[1]Sheet1'!AC41</f>
        <v>0</v>
      </c>
      <c r="AC69" s="87">
        <f>'[1]Sheet1'!AD41</f>
        <v>0</v>
      </c>
      <c r="AD69" s="87">
        <f>'[1]Sheet1'!AE41</f>
        <v>0</v>
      </c>
      <c r="AE69" s="87">
        <f>'[1]Sheet1'!AF41</f>
        <v>0</v>
      </c>
      <c r="AF69" s="87">
        <f>'[1]Sheet1'!AG41</f>
        <v>0</v>
      </c>
      <c r="AG69" s="87">
        <f>'[1]Sheet1'!AH41</f>
        <v>0</v>
      </c>
      <c r="AH69" s="87">
        <f>'[1]Sheet1'!AI41</f>
        <v>0</v>
      </c>
      <c r="AI69" s="87">
        <f t="shared" si="4"/>
        <v>2250</v>
      </c>
      <c r="AJ69" s="87">
        <f>'[1]Sheet1'!AK41</f>
        <v>2250</v>
      </c>
      <c r="AK69" s="85">
        <f t="shared" si="2"/>
        <v>4500</v>
      </c>
      <c r="AL69" s="85">
        <f t="shared" si="2"/>
        <v>2250</v>
      </c>
    </row>
    <row r="70" spans="1:38" ht="16.5" customHeight="1">
      <c r="A70" s="5">
        <v>60</v>
      </c>
      <c r="B70" s="83" t="s">
        <v>152</v>
      </c>
      <c r="C70" s="84">
        <f t="shared" si="5"/>
        <v>12558.199999999999</v>
      </c>
      <c r="D70" s="84">
        <f t="shared" si="5"/>
        <v>10227.64</v>
      </c>
      <c r="E70" s="65">
        <f>'[1]Sheet1'!F52</f>
        <v>5791.2</v>
      </c>
      <c r="F70" s="65">
        <f>'[1]Sheet1'!G52</f>
        <v>5635.032</v>
      </c>
      <c r="G70" s="65">
        <f>'[1]Sheet1'!H52</f>
        <v>1252.6</v>
      </c>
      <c r="H70" s="65">
        <f>'[1]Sheet1'!I52</f>
        <v>1235.773</v>
      </c>
      <c r="I70" s="65">
        <f>'[1]Sheet1'!J52</f>
        <v>2507.5</v>
      </c>
      <c r="J70" s="65">
        <f>'[1]Sheet1'!K52</f>
        <v>1233.4</v>
      </c>
      <c r="K70" s="65">
        <f>'[1]Sheet1'!L52</f>
        <v>0</v>
      </c>
      <c r="L70" s="65">
        <f>'[1]Sheet1'!M52</f>
        <v>0</v>
      </c>
      <c r="M70" s="65">
        <f>'[1]Sheet1'!N52</f>
        <v>0</v>
      </c>
      <c r="N70" s="65">
        <f>'[1]Sheet1'!O52</f>
        <v>0</v>
      </c>
      <c r="O70" s="65">
        <f>'[1]Sheet1'!P52</f>
        <v>0</v>
      </c>
      <c r="P70" s="65">
        <f>'[1]Sheet1'!Q52</f>
        <v>0</v>
      </c>
      <c r="Q70" s="65">
        <f>'[1]Sheet1'!R52</f>
        <v>690</v>
      </c>
      <c r="R70" s="65">
        <f>'[1]Sheet1'!S52</f>
        <v>690</v>
      </c>
      <c r="S70" s="65">
        <f>'[1]Sheet1'!T52</f>
        <v>0</v>
      </c>
      <c r="T70" s="65">
        <f>'[1]Sheet1'!U52</f>
        <v>0</v>
      </c>
      <c r="U70" s="85">
        <f t="shared" si="1"/>
        <v>10241.3</v>
      </c>
      <c r="V70" s="85">
        <f t="shared" si="1"/>
        <v>8794.205</v>
      </c>
      <c r="W70" s="87">
        <f>'[1]Sheet1'!X52</f>
        <v>2316.9</v>
      </c>
      <c r="X70" s="87">
        <f>'[1]Sheet1'!Y52</f>
        <v>1933.435</v>
      </c>
      <c r="Y70" s="87">
        <f>'[1]Sheet1'!Z52</f>
        <v>0</v>
      </c>
      <c r="Z70" s="87">
        <f>'[1]Sheet1'!AA52</f>
        <v>0</v>
      </c>
      <c r="AA70" s="87">
        <f>'[1]Sheet1'!AB52</f>
        <v>0</v>
      </c>
      <c r="AB70" s="87">
        <f>'[1]Sheet1'!AC52</f>
        <v>0</v>
      </c>
      <c r="AC70" s="87">
        <f>'[1]Sheet1'!AD52</f>
        <v>0</v>
      </c>
      <c r="AD70" s="87">
        <f>'[1]Sheet1'!AE52</f>
        <v>-500</v>
      </c>
      <c r="AE70" s="87">
        <f>'[1]Sheet1'!AF52</f>
        <v>0</v>
      </c>
      <c r="AF70" s="87">
        <f>'[1]Sheet1'!AG52</f>
        <v>0</v>
      </c>
      <c r="AG70" s="87">
        <f>'[1]Sheet1'!AH52</f>
        <v>0</v>
      </c>
      <c r="AH70" s="87">
        <f>'[1]Sheet1'!AI52</f>
        <v>0</v>
      </c>
      <c r="AI70" s="87">
        <f t="shared" si="4"/>
        <v>640</v>
      </c>
      <c r="AJ70" s="87">
        <f>'[1]Sheet1'!AK52</f>
        <v>640</v>
      </c>
      <c r="AK70" s="85">
        <f t="shared" si="2"/>
        <v>2956.9</v>
      </c>
      <c r="AL70" s="85">
        <f t="shared" si="2"/>
        <v>2073.435</v>
      </c>
    </row>
    <row r="71" spans="1:38" ht="16.5" customHeight="1">
      <c r="A71" s="5">
        <v>61</v>
      </c>
      <c r="B71" s="83" t="s">
        <v>153</v>
      </c>
      <c r="C71" s="84">
        <f t="shared" si="5"/>
        <v>35990.3</v>
      </c>
      <c r="D71" s="84">
        <f t="shared" si="5"/>
        <v>33015.39</v>
      </c>
      <c r="E71" s="65">
        <f>'[1]Sheet1'!F56</f>
        <v>22354.6</v>
      </c>
      <c r="F71" s="65">
        <f>'[1]Sheet1'!G56</f>
        <v>22116.788</v>
      </c>
      <c r="G71" s="65">
        <f>'[1]Sheet1'!H56</f>
        <v>5429.9</v>
      </c>
      <c r="H71" s="65">
        <f>'[1]Sheet1'!I56</f>
        <v>5408.3</v>
      </c>
      <c r="I71" s="65">
        <f>'[1]Sheet1'!J56</f>
        <v>3275.6</v>
      </c>
      <c r="J71" s="65">
        <f>'[1]Sheet1'!K56</f>
        <v>2761.024</v>
      </c>
      <c r="K71" s="65">
        <f>'[1]Sheet1'!L56</f>
        <v>0</v>
      </c>
      <c r="L71" s="65">
        <f>'[1]Sheet1'!M56</f>
        <v>0</v>
      </c>
      <c r="M71" s="65">
        <f>'[1]Sheet1'!N56</f>
        <v>0</v>
      </c>
      <c r="N71" s="65">
        <f>'[1]Sheet1'!O56</f>
        <v>0</v>
      </c>
      <c r="O71" s="65">
        <f>'[1]Sheet1'!P56</f>
        <v>0</v>
      </c>
      <c r="P71" s="65">
        <f>'[1]Sheet1'!Q56</f>
        <v>0</v>
      </c>
      <c r="Q71" s="65">
        <f>'[1]Sheet1'!R56</f>
        <v>2101.3</v>
      </c>
      <c r="R71" s="65">
        <f>'[1]Sheet1'!S56</f>
        <v>2101.03</v>
      </c>
      <c r="S71" s="65">
        <f>'[1]Sheet1'!T56</f>
        <v>220</v>
      </c>
      <c r="T71" s="65">
        <f>'[1]Sheet1'!U56</f>
        <v>191</v>
      </c>
      <c r="U71" s="85">
        <f t="shared" si="1"/>
        <v>33381.4</v>
      </c>
      <c r="V71" s="85">
        <f t="shared" si="1"/>
        <v>32578.142</v>
      </c>
      <c r="W71" s="87">
        <f>'[1]Sheet1'!X56</f>
        <v>2789.5</v>
      </c>
      <c r="X71" s="87">
        <f>'[1]Sheet1'!Y56</f>
        <v>2709.5</v>
      </c>
      <c r="Y71" s="87">
        <f>'[1]Sheet1'!Z56</f>
        <v>1319.4</v>
      </c>
      <c r="Z71" s="87">
        <f>'[1]Sheet1'!AA56</f>
        <v>1319.4</v>
      </c>
      <c r="AA71" s="87">
        <f>'[1]Sheet1'!AB56</f>
        <v>0</v>
      </c>
      <c r="AB71" s="87">
        <f>'[1]Sheet1'!AC56</f>
        <v>0</v>
      </c>
      <c r="AC71" s="87">
        <f>'[1]Sheet1'!AD56</f>
        <v>-1000</v>
      </c>
      <c r="AD71" s="87">
        <f>'[1]Sheet1'!AE56</f>
        <v>-2740.112</v>
      </c>
      <c r="AE71" s="87">
        <f>'[1]Sheet1'!AF56</f>
        <v>-500</v>
      </c>
      <c r="AF71" s="87">
        <f>'[1]Sheet1'!AG56</f>
        <v>-851.54</v>
      </c>
      <c r="AG71" s="87">
        <f>'[1]Sheet1'!AH56</f>
        <v>0</v>
      </c>
      <c r="AH71" s="87">
        <f>'[1]Sheet1'!AI56</f>
        <v>0</v>
      </c>
      <c r="AI71" s="87">
        <f t="shared" si="4"/>
        <v>2607.5</v>
      </c>
      <c r="AJ71" s="87">
        <f>'[1]Sheet1'!AK56</f>
        <v>2607.5</v>
      </c>
      <c r="AK71" s="85">
        <f t="shared" si="2"/>
        <v>5216.4</v>
      </c>
      <c r="AL71" s="85">
        <f t="shared" si="2"/>
        <v>3044.748</v>
      </c>
    </row>
    <row r="72" spans="1:38" ht="16.5" customHeight="1">
      <c r="A72" s="5">
        <v>62</v>
      </c>
      <c r="B72" s="83" t="s">
        <v>154</v>
      </c>
      <c r="C72" s="84">
        <f t="shared" si="5"/>
        <v>12145.599999999999</v>
      </c>
      <c r="D72" s="84">
        <f t="shared" si="5"/>
        <v>10448.7737</v>
      </c>
      <c r="E72" s="65">
        <f>'[1]Sheet1'!F59</f>
        <v>5980.8</v>
      </c>
      <c r="F72" s="65">
        <f>'[1]Sheet1'!G59</f>
        <v>5587.2737</v>
      </c>
      <c r="G72" s="65">
        <f>'[1]Sheet1'!H59</f>
        <v>1389.6</v>
      </c>
      <c r="H72" s="65">
        <f>'[1]Sheet1'!I59</f>
        <v>1324.2</v>
      </c>
      <c r="I72" s="65">
        <f>'[1]Sheet1'!J59</f>
        <v>2140</v>
      </c>
      <c r="J72" s="65">
        <f>'[1]Sheet1'!K59</f>
        <v>1121.2</v>
      </c>
      <c r="K72" s="65">
        <f>'[1]Sheet1'!L59</f>
        <v>0</v>
      </c>
      <c r="L72" s="65">
        <f>'[1]Sheet1'!M59</f>
        <v>0</v>
      </c>
      <c r="M72" s="65">
        <f>'[1]Sheet1'!N59</f>
        <v>0</v>
      </c>
      <c r="N72" s="65">
        <f>'[1]Sheet1'!O59</f>
        <v>0</v>
      </c>
      <c r="O72" s="65">
        <f>'[1]Sheet1'!P59</f>
        <v>0</v>
      </c>
      <c r="P72" s="65">
        <f>'[1]Sheet1'!Q59</f>
        <v>0</v>
      </c>
      <c r="Q72" s="65">
        <f>'[1]Sheet1'!R59</f>
        <v>610.5</v>
      </c>
      <c r="R72" s="65">
        <f>'[1]Sheet1'!S59</f>
        <v>583</v>
      </c>
      <c r="S72" s="65">
        <f>'[1]Sheet1'!T59</f>
        <v>60</v>
      </c>
      <c r="T72" s="65">
        <f>'[1]Sheet1'!U59</f>
        <v>33.1</v>
      </c>
      <c r="U72" s="85">
        <f t="shared" si="1"/>
        <v>10180.9</v>
      </c>
      <c r="V72" s="85">
        <f t="shared" si="1"/>
        <v>8648.7737</v>
      </c>
      <c r="W72" s="87">
        <f>'[1]Sheet1'!X59</f>
        <v>3964.7</v>
      </c>
      <c r="X72" s="87">
        <f>'[1]Sheet1'!Y59</f>
        <v>1800</v>
      </c>
      <c r="Y72" s="87">
        <f>'[1]Sheet1'!Z59</f>
        <v>0</v>
      </c>
      <c r="Z72" s="87">
        <f>'[1]Sheet1'!AA59</f>
        <v>0</v>
      </c>
      <c r="AA72" s="87">
        <f>'[1]Sheet1'!AB59</f>
        <v>0</v>
      </c>
      <c r="AB72" s="87">
        <f>'[1]Sheet1'!AC59</f>
        <v>0</v>
      </c>
      <c r="AC72" s="87">
        <f>'[1]Sheet1'!AD59</f>
        <v>-2000</v>
      </c>
      <c r="AD72" s="87">
        <f>'[1]Sheet1'!AE59</f>
        <v>0</v>
      </c>
      <c r="AE72" s="87">
        <f>'[1]Sheet1'!AF59</f>
        <v>0</v>
      </c>
      <c r="AF72" s="87">
        <f>'[1]Sheet1'!AG59</f>
        <v>0</v>
      </c>
      <c r="AG72" s="87">
        <f>'[1]Sheet1'!AH59</f>
        <v>0</v>
      </c>
      <c r="AH72" s="87">
        <f>'[1]Sheet1'!AI59</f>
        <v>0</v>
      </c>
      <c r="AI72" s="87">
        <f t="shared" si="4"/>
        <v>544</v>
      </c>
      <c r="AJ72" s="87">
        <f>'[1]Sheet1'!AK59</f>
        <v>544</v>
      </c>
      <c r="AK72" s="85">
        <f t="shared" si="2"/>
        <v>2508.7</v>
      </c>
      <c r="AL72" s="85">
        <f t="shared" si="2"/>
        <v>2344</v>
      </c>
    </row>
    <row r="73" spans="1:38" ht="16.5" customHeight="1">
      <c r="A73" s="5">
        <v>63</v>
      </c>
      <c r="B73" s="83" t="s">
        <v>155</v>
      </c>
      <c r="C73" s="84">
        <f t="shared" si="5"/>
        <v>46638.3</v>
      </c>
      <c r="D73" s="84">
        <f t="shared" si="5"/>
        <v>22096.265</v>
      </c>
      <c r="E73" s="65">
        <f>'[1]Sheet1'!F68</f>
        <v>16085.6</v>
      </c>
      <c r="F73" s="65">
        <f>'[1]Sheet1'!G68</f>
        <v>13090.222</v>
      </c>
      <c r="G73" s="65">
        <f>'[1]Sheet1'!H68</f>
        <v>3291.8</v>
      </c>
      <c r="H73" s="65">
        <f>'[1]Sheet1'!I68</f>
        <v>2555.776</v>
      </c>
      <c r="I73" s="65">
        <f>'[1]Sheet1'!J68</f>
        <v>7676</v>
      </c>
      <c r="J73" s="65">
        <f>'[1]Sheet1'!K68</f>
        <v>3659.375</v>
      </c>
      <c r="K73" s="65">
        <f>'[1]Sheet1'!L68</f>
        <v>0</v>
      </c>
      <c r="L73" s="65">
        <f>'[1]Sheet1'!M68</f>
        <v>0</v>
      </c>
      <c r="M73" s="65">
        <f>'[1]Sheet1'!N68</f>
        <v>500</v>
      </c>
      <c r="N73" s="65">
        <f>'[1]Sheet1'!O68</f>
        <v>200</v>
      </c>
      <c r="O73" s="65">
        <f>'[1]Sheet1'!P68</f>
        <v>3149.5</v>
      </c>
      <c r="P73" s="65">
        <f>'[1]Sheet1'!Q68</f>
        <v>0</v>
      </c>
      <c r="Q73" s="65">
        <f>'[1]Sheet1'!R68</f>
        <v>1589.4</v>
      </c>
      <c r="R73" s="65">
        <f>'[1]Sheet1'!S68</f>
        <v>1589.4</v>
      </c>
      <c r="S73" s="65">
        <f>'[1]Sheet1'!T68</f>
        <v>2582.3</v>
      </c>
      <c r="T73" s="65">
        <f>'[1]Sheet1'!U68</f>
        <v>35</v>
      </c>
      <c r="U73" s="85">
        <f t="shared" si="1"/>
        <v>34874.600000000006</v>
      </c>
      <c r="V73" s="85">
        <f t="shared" si="1"/>
        <v>21129.773</v>
      </c>
      <c r="W73" s="87">
        <f>'[1]Sheet1'!X68</f>
        <v>11763.7</v>
      </c>
      <c r="X73" s="87">
        <f>'[1]Sheet1'!Y68</f>
        <v>1000</v>
      </c>
      <c r="Y73" s="87">
        <f>'[1]Sheet1'!Z68</f>
        <v>0</v>
      </c>
      <c r="Z73" s="87">
        <f>'[1]Sheet1'!AA68</f>
        <v>0</v>
      </c>
      <c r="AA73" s="87">
        <f>'[1]Sheet1'!AB68</f>
        <v>0</v>
      </c>
      <c r="AB73" s="87">
        <f>'[1]Sheet1'!AC68</f>
        <v>0</v>
      </c>
      <c r="AC73" s="87">
        <f>'[1]Sheet1'!AD68</f>
        <v>0</v>
      </c>
      <c r="AD73" s="87">
        <f>'[1]Sheet1'!AE68</f>
        <v>-28.324</v>
      </c>
      <c r="AE73" s="87">
        <f>'[1]Sheet1'!AF68</f>
        <v>0</v>
      </c>
      <c r="AF73" s="87">
        <f>'[1]Sheet1'!AG68</f>
        <v>-5.184</v>
      </c>
      <c r="AG73" s="87">
        <f>'[1]Sheet1'!AH68</f>
        <v>0</v>
      </c>
      <c r="AH73" s="87">
        <f>'[1]Sheet1'!AI68</f>
        <v>0</v>
      </c>
      <c r="AI73" s="87">
        <f t="shared" si="4"/>
        <v>0</v>
      </c>
      <c r="AJ73" s="87">
        <f>'[1]Sheet1'!AK68</f>
        <v>0</v>
      </c>
      <c r="AK73" s="85">
        <f t="shared" si="2"/>
        <v>11763.7</v>
      </c>
      <c r="AL73" s="85">
        <f t="shared" si="2"/>
        <v>966.492</v>
      </c>
    </row>
    <row r="74" spans="1:38" ht="16.5" customHeight="1">
      <c r="A74" s="5">
        <v>64</v>
      </c>
      <c r="B74" s="83" t="s">
        <v>156</v>
      </c>
      <c r="C74" s="84">
        <f t="shared" si="5"/>
        <v>19391.4</v>
      </c>
      <c r="D74" s="84">
        <f t="shared" si="5"/>
        <v>17348.949999999997</v>
      </c>
      <c r="E74" s="65">
        <f>'[1]Sheet1'!F73</f>
        <v>12908.8</v>
      </c>
      <c r="F74" s="65">
        <f>'[1]Sheet1'!G73</f>
        <v>12533.8</v>
      </c>
      <c r="G74" s="65">
        <f>'[1]Sheet1'!H73</f>
        <v>2950.6</v>
      </c>
      <c r="H74" s="65">
        <f>'[1]Sheet1'!I73</f>
        <v>2915.55</v>
      </c>
      <c r="I74" s="65">
        <f>'[1]Sheet1'!J73</f>
        <v>1172</v>
      </c>
      <c r="J74" s="65">
        <f>'[1]Sheet1'!K73</f>
        <v>1039.6</v>
      </c>
      <c r="K74" s="65">
        <f>'[1]Sheet1'!L73</f>
        <v>0</v>
      </c>
      <c r="L74" s="65">
        <f>'[1]Sheet1'!M73</f>
        <v>0</v>
      </c>
      <c r="M74" s="65">
        <f>'[1]Sheet1'!N73</f>
        <v>0</v>
      </c>
      <c r="N74" s="65">
        <f>'[1]Sheet1'!O73</f>
        <v>0</v>
      </c>
      <c r="O74" s="65">
        <f>'[1]Sheet1'!P73</f>
        <v>0</v>
      </c>
      <c r="P74" s="65">
        <f>'[1]Sheet1'!Q73</f>
        <v>0</v>
      </c>
      <c r="Q74" s="65">
        <f>'[1]Sheet1'!R73</f>
        <v>860</v>
      </c>
      <c r="R74" s="65">
        <f>'[1]Sheet1'!S73</f>
        <v>860</v>
      </c>
      <c r="S74" s="65">
        <f>'[1]Sheet1'!T73</f>
        <v>0</v>
      </c>
      <c r="T74" s="65">
        <f>'[1]Sheet1'!U73</f>
        <v>0</v>
      </c>
      <c r="U74" s="85">
        <f t="shared" si="1"/>
        <v>17891.4</v>
      </c>
      <c r="V74" s="85">
        <f t="shared" si="1"/>
        <v>17348.949999999997</v>
      </c>
      <c r="W74" s="87">
        <f>'[1]Sheet1'!X73</f>
        <v>1500</v>
      </c>
      <c r="X74" s="87">
        <f>'[1]Sheet1'!Y73</f>
        <v>1000</v>
      </c>
      <c r="Y74" s="87">
        <f>'[1]Sheet1'!Z73</f>
        <v>0</v>
      </c>
      <c r="Z74" s="87">
        <f>'[1]Sheet1'!AA73</f>
        <v>0</v>
      </c>
      <c r="AA74" s="87">
        <f>'[1]Sheet1'!AB73</f>
        <v>0</v>
      </c>
      <c r="AB74" s="87">
        <f>'[1]Sheet1'!AC73</f>
        <v>0</v>
      </c>
      <c r="AC74" s="87">
        <f>'[1]Sheet1'!AD73</f>
        <v>0</v>
      </c>
      <c r="AD74" s="87">
        <f>'[1]Sheet1'!AE73</f>
        <v>-1000</v>
      </c>
      <c r="AE74" s="87">
        <f>'[1]Sheet1'!AF73</f>
        <v>0</v>
      </c>
      <c r="AF74" s="87">
        <f>'[1]Sheet1'!AG73</f>
        <v>0</v>
      </c>
      <c r="AG74" s="87">
        <f>'[1]Sheet1'!AH73</f>
        <v>0</v>
      </c>
      <c r="AH74" s="87">
        <f>'[1]Sheet1'!AI73</f>
        <v>0</v>
      </c>
      <c r="AI74" s="87">
        <f t="shared" si="4"/>
        <v>1500</v>
      </c>
      <c r="AJ74" s="87">
        <f>'[1]Sheet1'!AK73</f>
        <v>1500</v>
      </c>
      <c r="AK74" s="85">
        <f t="shared" si="2"/>
        <v>3000</v>
      </c>
      <c r="AL74" s="85">
        <f t="shared" si="2"/>
        <v>1500</v>
      </c>
    </row>
    <row r="75" spans="1:38" ht="16.5" customHeight="1">
      <c r="A75" s="5">
        <v>65</v>
      </c>
      <c r="B75" s="83" t="s">
        <v>157</v>
      </c>
      <c r="C75" s="84">
        <f aca="true" t="shared" si="6" ref="C75:D106">U75+AK75-AI75</f>
        <v>5935.4</v>
      </c>
      <c r="D75" s="84">
        <f t="shared" si="6"/>
        <v>5343.4</v>
      </c>
      <c r="E75" s="65">
        <f>'[1]Sheet1'!F74</f>
        <v>4360</v>
      </c>
      <c r="F75" s="65">
        <f>'[1]Sheet1'!G74</f>
        <v>4166.45</v>
      </c>
      <c r="G75" s="65">
        <f>'[1]Sheet1'!H74</f>
        <v>990</v>
      </c>
      <c r="H75" s="65">
        <f>'[1]Sheet1'!I74</f>
        <v>891.95</v>
      </c>
      <c r="I75" s="65">
        <f>'[1]Sheet1'!J74</f>
        <v>285</v>
      </c>
      <c r="J75" s="65">
        <f>'[1]Sheet1'!K74</f>
        <v>285</v>
      </c>
      <c r="K75" s="65">
        <f>'[1]Sheet1'!L74</f>
        <v>0</v>
      </c>
      <c r="L75" s="65">
        <f>'[1]Sheet1'!M74</f>
        <v>0</v>
      </c>
      <c r="M75" s="65">
        <f>'[1]Sheet1'!N74</f>
        <v>0</v>
      </c>
      <c r="N75" s="65">
        <f>'[1]Sheet1'!O74</f>
        <v>0</v>
      </c>
      <c r="O75" s="65">
        <f>'[1]Sheet1'!P74</f>
        <v>0</v>
      </c>
      <c r="P75" s="65">
        <f>'[1]Sheet1'!Q74</f>
        <v>0</v>
      </c>
      <c r="Q75" s="65">
        <f>'[1]Sheet1'!R74</f>
        <v>0</v>
      </c>
      <c r="R75" s="65">
        <f>'[1]Sheet1'!S74</f>
        <v>0</v>
      </c>
      <c r="S75" s="65">
        <f>'[1]Sheet1'!T74</f>
        <v>0</v>
      </c>
      <c r="T75" s="65">
        <f>'[1]Sheet1'!U74</f>
        <v>0</v>
      </c>
      <c r="U75" s="85">
        <f t="shared" si="1"/>
        <v>5635</v>
      </c>
      <c r="V75" s="85">
        <f t="shared" si="1"/>
        <v>5343.4</v>
      </c>
      <c r="W75" s="87">
        <f>'[1]Sheet1'!X74</f>
        <v>300.4</v>
      </c>
      <c r="X75" s="87">
        <f>'[1]Sheet1'!Y74</f>
        <v>0</v>
      </c>
      <c r="Y75" s="87">
        <f>'[1]Sheet1'!Z74</f>
        <v>0</v>
      </c>
      <c r="Z75" s="87">
        <f>'[1]Sheet1'!AA74</f>
        <v>0</v>
      </c>
      <c r="AA75" s="87">
        <f>'[1]Sheet1'!AB74</f>
        <v>0</v>
      </c>
      <c r="AB75" s="87">
        <f>'[1]Sheet1'!AC74</f>
        <v>0</v>
      </c>
      <c r="AC75" s="87">
        <f>'[1]Sheet1'!AD74</f>
        <v>0</v>
      </c>
      <c r="AD75" s="87">
        <f>'[1]Sheet1'!AE74</f>
        <v>0</v>
      </c>
      <c r="AE75" s="87">
        <f>'[1]Sheet1'!AF74</f>
        <v>0</v>
      </c>
      <c r="AF75" s="87">
        <f>'[1]Sheet1'!AG74</f>
        <v>0</v>
      </c>
      <c r="AG75" s="87">
        <f>'[1]Sheet1'!AH74</f>
        <v>0</v>
      </c>
      <c r="AH75" s="87">
        <f>'[1]Sheet1'!AI74</f>
        <v>0</v>
      </c>
      <c r="AI75" s="87">
        <f t="shared" si="4"/>
        <v>296</v>
      </c>
      <c r="AJ75" s="87">
        <f>'[1]Sheet1'!AK74</f>
        <v>296</v>
      </c>
      <c r="AK75" s="85">
        <f t="shared" si="2"/>
        <v>596.4</v>
      </c>
      <c r="AL75" s="85">
        <f t="shared" si="2"/>
        <v>296</v>
      </c>
    </row>
    <row r="76" spans="1:38" ht="16.5" customHeight="1">
      <c r="A76" s="5">
        <v>66</v>
      </c>
      <c r="B76" s="83" t="s">
        <v>158</v>
      </c>
      <c r="C76" s="84">
        <f t="shared" si="6"/>
        <v>20109.6</v>
      </c>
      <c r="D76" s="84">
        <f t="shared" si="6"/>
        <v>18457.870000000003</v>
      </c>
      <c r="E76" s="65">
        <f>'[1]Sheet1'!F81</f>
        <v>7596.8</v>
      </c>
      <c r="F76" s="65">
        <f>'[1]Sheet1'!G81</f>
        <v>7480.354</v>
      </c>
      <c r="G76" s="65">
        <f>'[1]Sheet1'!H81</f>
        <v>2010.7</v>
      </c>
      <c r="H76" s="65">
        <f>'[1]Sheet1'!I81</f>
        <v>1993.9</v>
      </c>
      <c r="I76" s="65">
        <f>'[1]Sheet1'!J81</f>
        <v>3585.8</v>
      </c>
      <c r="J76" s="65">
        <f>'[1]Sheet1'!K81</f>
        <v>3577.616</v>
      </c>
      <c r="K76" s="65">
        <f>'[1]Sheet1'!L81</f>
        <v>0</v>
      </c>
      <c r="L76" s="65">
        <f>'[1]Sheet1'!M81</f>
        <v>0</v>
      </c>
      <c r="M76" s="65">
        <f>'[1]Sheet1'!N81</f>
        <v>0</v>
      </c>
      <c r="N76" s="65">
        <f>'[1]Sheet1'!O81</f>
        <v>0</v>
      </c>
      <c r="O76" s="65">
        <f>'[1]Sheet1'!P81</f>
        <v>0</v>
      </c>
      <c r="P76" s="65">
        <f>'[1]Sheet1'!Q81</f>
        <v>0</v>
      </c>
      <c r="Q76" s="65">
        <f>'[1]Sheet1'!R81</f>
        <v>1200</v>
      </c>
      <c r="R76" s="65">
        <f>'[1]Sheet1'!S81</f>
        <v>1200</v>
      </c>
      <c r="S76" s="65">
        <f>'[1]Sheet1'!T81</f>
        <v>33</v>
      </c>
      <c r="T76" s="65">
        <f>'[1]Sheet1'!U81</f>
        <v>28</v>
      </c>
      <c r="U76" s="85">
        <f aca="true" t="shared" si="7" ref="U76:V125">E76+G76+I76+K76+M76+O76+Q76+S76</f>
        <v>14426.3</v>
      </c>
      <c r="V76" s="85">
        <f t="shared" si="7"/>
        <v>14279.87</v>
      </c>
      <c r="W76" s="90">
        <f>'[1]Sheet1'!X81</f>
        <v>5923.3</v>
      </c>
      <c r="X76" s="90">
        <f>'[1]Sheet1'!Y81</f>
        <v>4433</v>
      </c>
      <c r="Y76" s="90">
        <f>'[1]Sheet1'!Z81</f>
        <v>0</v>
      </c>
      <c r="Z76" s="90">
        <f>'[1]Sheet1'!AA81</f>
        <v>0</v>
      </c>
      <c r="AA76" s="90">
        <f>'[1]Sheet1'!AB81</f>
        <v>0</v>
      </c>
      <c r="AB76" s="90">
        <f>'[1]Sheet1'!AC81</f>
        <v>0</v>
      </c>
      <c r="AC76" s="90">
        <f>'[1]Sheet1'!AD81</f>
        <v>0</v>
      </c>
      <c r="AD76" s="90">
        <f>'[1]Sheet1'!AE81</f>
        <v>0</v>
      </c>
      <c r="AE76" s="90">
        <f>'[1]Sheet1'!AF81</f>
        <v>-240</v>
      </c>
      <c r="AF76" s="90">
        <f>'[1]Sheet1'!AG81</f>
        <v>-255</v>
      </c>
      <c r="AG76" s="90">
        <f>'[1]Sheet1'!AH81</f>
        <v>0</v>
      </c>
      <c r="AH76" s="90">
        <f>'[1]Sheet1'!AI81</f>
        <v>0</v>
      </c>
      <c r="AI76" s="87">
        <f t="shared" si="4"/>
        <v>3600</v>
      </c>
      <c r="AJ76" s="90">
        <f>'[1]Sheet1'!AK81</f>
        <v>3600</v>
      </c>
      <c r="AK76" s="85">
        <f aca="true" t="shared" si="8" ref="AK76:AL125">AG76++AE76+AC76+AA76+Y76+W76+AI76</f>
        <v>9283.3</v>
      </c>
      <c r="AL76" s="85">
        <f t="shared" si="8"/>
        <v>7778</v>
      </c>
    </row>
    <row r="77" spans="1:38" ht="16.5" customHeight="1">
      <c r="A77" s="5">
        <v>67</v>
      </c>
      <c r="B77" s="83" t="s">
        <v>159</v>
      </c>
      <c r="C77" s="84">
        <f t="shared" si="6"/>
        <v>5680</v>
      </c>
      <c r="D77" s="84">
        <f t="shared" si="6"/>
        <v>5195.205</v>
      </c>
      <c r="E77" s="65">
        <f>'[1]Sheet1'!F86</f>
        <v>2866.8</v>
      </c>
      <c r="F77" s="65">
        <f>'[1]Sheet1'!G86</f>
        <v>2754</v>
      </c>
      <c r="G77" s="65">
        <f>'[1]Sheet1'!H86</f>
        <v>1062.8</v>
      </c>
      <c r="H77" s="65">
        <f>'[1]Sheet1'!I86</f>
        <v>1011.461</v>
      </c>
      <c r="I77" s="65">
        <f>'[1]Sheet1'!J86</f>
        <v>615.4</v>
      </c>
      <c r="J77" s="65">
        <f>'[1]Sheet1'!K86</f>
        <v>419.744</v>
      </c>
      <c r="K77" s="65">
        <f>'[1]Sheet1'!L86</f>
        <v>0</v>
      </c>
      <c r="L77" s="65">
        <f>'[1]Sheet1'!M86</f>
        <v>0</v>
      </c>
      <c r="M77" s="65">
        <f>'[1]Sheet1'!N86</f>
        <v>0</v>
      </c>
      <c r="N77" s="65">
        <f>'[1]Sheet1'!O86</f>
        <v>0</v>
      </c>
      <c r="O77" s="65">
        <f>'[1]Sheet1'!P86</f>
        <v>0</v>
      </c>
      <c r="P77" s="65">
        <f>'[1]Sheet1'!Q86</f>
        <v>0</v>
      </c>
      <c r="Q77" s="65">
        <f>'[1]Sheet1'!R86</f>
        <v>300</v>
      </c>
      <c r="R77" s="65">
        <f>'[1]Sheet1'!S86</f>
        <v>300</v>
      </c>
      <c r="S77" s="65">
        <f>'[1]Sheet1'!T86</f>
        <v>0</v>
      </c>
      <c r="T77" s="65">
        <f>'[1]Sheet1'!U86</f>
        <v>0</v>
      </c>
      <c r="U77" s="85">
        <f t="shared" si="7"/>
        <v>4845</v>
      </c>
      <c r="V77" s="85">
        <f t="shared" si="7"/>
        <v>4485.205</v>
      </c>
      <c r="W77" s="87">
        <f>'[1]Sheet1'!X86</f>
        <v>835</v>
      </c>
      <c r="X77" s="87">
        <f>'[1]Sheet1'!Y86</f>
        <v>710</v>
      </c>
      <c r="Y77" s="87">
        <f>'[1]Sheet1'!Z86</f>
        <v>0</v>
      </c>
      <c r="Z77" s="87">
        <f>'[1]Sheet1'!AA86</f>
        <v>0</v>
      </c>
      <c r="AA77" s="87">
        <f>'[1]Sheet1'!AB86</f>
        <v>0</v>
      </c>
      <c r="AB77" s="87">
        <f>'[1]Sheet1'!AC86</f>
        <v>0</v>
      </c>
      <c r="AC77" s="87">
        <f>'[1]Sheet1'!AD86</f>
        <v>0</v>
      </c>
      <c r="AD77" s="87">
        <f>'[1]Sheet1'!AE86</f>
        <v>0</v>
      </c>
      <c r="AE77" s="87">
        <f>'[1]Sheet1'!AF86</f>
        <v>0</v>
      </c>
      <c r="AF77" s="87">
        <f>'[1]Sheet1'!AG86</f>
        <v>0</v>
      </c>
      <c r="AG77" s="87">
        <f>'[1]Sheet1'!AH86</f>
        <v>0</v>
      </c>
      <c r="AH77" s="87">
        <f>'[1]Sheet1'!AI86</f>
        <v>0</v>
      </c>
      <c r="AI77" s="87">
        <f t="shared" si="4"/>
        <v>835</v>
      </c>
      <c r="AJ77" s="87">
        <f>'[1]Sheet1'!AK86</f>
        <v>835</v>
      </c>
      <c r="AK77" s="85">
        <f t="shared" si="8"/>
        <v>1670</v>
      </c>
      <c r="AL77" s="85">
        <f t="shared" si="8"/>
        <v>1545</v>
      </c>
    </row>
    <row r="78" spans="1:38" ht="16.5" customHeight="1">
      <c r="A78" s="5">
        <v>68</v>
      </c>
      <c r="B78" s="83" t="s">
        <v>160</v>
      </c>
      <c r="C78" s="84">
        <f t="shared" si="6"/>
        <v>6810.8</v>
      </c>
      <c r="D78" s="84">
        <f t="shared" si="6"/>
        <v>6460.276000000001</v>
      </c>
      <c r="E78" s="65">
        <f>'[1]Sheet1'!F93</f>
        <v>3876</v>
      </c>
      <c r="F78" s="65">
        <f>'[1]Sheet1'!G93</f>
        <v>3829.326</v>
      </c>
      <c r="G78" s="65">
        <f>'[1]Sheet1'!H93</f>
        <v>889</v>
      </c>
      <c r="H78" s="65">
        <f>'[1]Sheet1'!I93</f>
        <v>889</v>
      </c>
      <c r="I78" s="65">
        <f>'[1]Sheet1'!J93</f>
        <v>1000</v>
      </c>
      <c r="J78" s="65">
        <f>'[1]Sheet1'!K93</f>
        <v>944.85</v>
      </c>
      <c r="K78" s="65">
        <f>'[1]Sheet1'!L93</f>
        <v>0</v>
      </c>
      <c r="L78" s="65">
        <f>'[1]Sheet1'!M93</f>
        <v>0</v>
      </c>
      <c r="M78" s="65">
        <f>'[1]Sheet1'!N93</f>
        <v>0</v>
      </c>
      <c r="N78" s="65">
        <f>'[1]Sheet1'!O93</f>
        <v>0</v>
      </c>
      <c r="O78" s="65">
        <f>'[1]Sheet1'!P93</f>
        <v>0</v>
      </c>
      <c r="P78" s="65">
        <f>'[1]Sheet1'!Q93</f>
        <v>0</v>
      </c>
      <c r="Q78" s="65">
        <f>'[1]Sheet1'!R93</f>
        <v>377.6</v>
      </c>
      <c r="R78" s="65">
        <f>'[1]Sheet1'!S93</f>
        <v>370</v>
      </c>
      <c r="S78" s="65">
        <f>'[1]Sheet1'!T93</f>
        <v>30</v>
      </c>
      <c r="T78" s="65">
        <f>'[1]Sheet1'!U93</f>
        <v>25</v>
      </c>
      <c r="U78" s="85">
        <f t="shared" si="7"/>
        <v>6172.6</v>
      </c>
      <c r="V78" s="85">
        <f t="shared" si="7"/>
        <v>6058.176</v>
      </c>
      <c r="W78" s="87">
        <f>'[1]Sheet1'!X93</f>
        <v>638.2</v>
      </c>
      <c r="X78" s="87">
        <f>'[1]Sheet1'!Y93</f>
        <v>402.1</v>
      </c>
      <c r="Y78" s="87">
        <f>'[1]Sheet1'!Z93</f>
        <v>0</v>
      </c>
      <c r="Z78" s="87">
        <f>'[1]Sheet1'!AA93</f>
        <v>0</v>
      </c>
      <c r="AA78" s="87">
        <f>'[1]Sheet1'!AB93</f>
        <v>0</v>
      </c>
      <c r="AB78" s="87">
        <f>'[1]Sheet1'!AC93</f>
        <v>0</v>
      </c>
      <c r="AC78" s="87">
        <f>'[1]Sheet1'!AD93</f>
        <v>0</v>
      </c>
      <c r="AD78" s="87">
        <f>'[1]Sheet1'!AE93</f>
        <v>0</v>
      </c>
      <c r="AE78" s="87">
        <f>'[1]Sheet1'!AF93</f>
        <v>0</v>
      </c>
      <c r="AF78" s="87">
        <f>'[1]Sheet1'!AG93</f>
        <v>0</v>
      </c>
      <c r="AG78" s="87">
        <f>'[1]Sheet1'!AH93</f>
        <v>0</v>
      </c>
      <c r="AH78" s="87">
        <f>'[1]Sheet1'!AI93</f>
        <v>0</v>
      </c>
      <c r="AI78" s="87">
        <f t="shared" si="4"/>
        <v>330</v>
      </c>
      <c r="AJ78" s="87">
        <f>'[1]Sheet1'!AK93</f>
        <v>330</v>
      </c>
      <c r="AK78" s="85">
        <f t="shared" si="8"/>
        <v>968.2</v>
      </c>
      <c r="AL78" s="85">
        <f t="shared" si="8"/>
        <v>732.1</v>
      </c>
    </row>
    <row r="79" spans="1:38" ht="16.5" customHeight="1">
      <c r="A79" s="5">
        <v>69</v>
      </c>
      <c r="B79" s="83" t="s">
        <v>161</v>
      </c>
      <c r="C79" s="84">
        <f t="shared" si="6"/>
        <v>14374.700000000003</v>
      </c>
      <c r="D79" s="84">
        <f t="shared" si="6"/>
        <v>7764.563000000001</v>
      </c>
      <c r="E79" s="65">
        <f>'[1]Sheet1'!F95</f>
        <v>5236.8</v>
      </c>
      <c r="F79" s="65">
        <f>'[1]Sheet1'!G95</f>
        <v>5106.009</v>
      </c>
      <c r="G79" s="65">
        <f>'[1]Sheet1'!H95</f>
        <v>1017.6</v>
      </c>
      <c r="H79" s="65">
        <f>'[1]Sheet1'!I95</f>
        <v>1000.769</v>
      </c>
      <c r="I79" s="65">
        <f>'[1]Sheet1'!J95</f>
        <v>1900</v>
      </c>
      <c r="J79" s="65">
        <f>'[1]Sheet1'!K95</f>
        <v>1481.63</v>
      </c>
      <c r="K79" s="65">
        <f>'[1]Sheet1'!L95</f>
        <v>0</v>
      </c>
      <c r="L79" s="65">
        <f>'[1]Sheet1'!M95</f>
        <v>0</v>
      </c>
      <c r="M79" s="65">
        <f>'[1]Sheet1'!N95</f>
        <v>0</v>
      </c>
      <c r="N79" s="65">
        <f>'[1]Sheet1'!O95</f>
        <v>0</v>
      </c>
      <c r="O79" s="65">
        <f>'[1]Sheet1'!P95</f>
        <v>0</v>
      </c>
      <c r="P79" s="65">
        <f>'[1]Sheet1'!Q95</f>
        <v>0</v>
      </c>
      <c r="Q79" s="65">
        <f>'[1]Sheet1'!R95</f>
        <v>600</v>
      </c>
      <c r="R79" s="65">
        <f>'[1]Sheet1'!S95</f>
        <v>400</v>
      </c>
      <c r="S79" s="65">
        <f>'[1]Sheet1'!T95</f>
        <v>45</v>
      </c>
      <c r="T79" s="65">
        <f>'[1]Sheet1'!U95</f>
        <v>45</v>
      </c>
      <c r="U79" s="85">
        <f t="shared" si="7"/>
        <v>8799.400000000001</v>
      </c>
      <c r="V79" s="85">
        <f t="shared" si="7"/>
        <v>8033.408</v>
      </c>
      <c r="W79" s="87">
        <f>'[1]Sheet1'!X95</f>
        <v>5575.3</v>
      </c>
      <c r="X79" s="87">
        <f>'[1]Sheet1'!Y95</f>
        <v>750</v>
      </c>
      <c r="Y79" s="87">
        <f>'[1]Sheet1'!Z95</f>
        <v>0</v>
      </c>
      <c r="Z79" s="87">
        <f>'[1]Sheet1'!AA95</f>
        <v>0</v>
      </c>
      <c r="AA79" s="87">
        <f>'[1]Sheet1'!AB95</f>
        <v>0</v>
      </c>
      <c r="AB79" s="87">
        <f>'[1]Sheet1'!AC95</f>
        <v>0</v>
      </c>
      <c r="AC79" s="87">
        <f>'[1]Sheet1'!AD95</f>
        <v>0</v>
      </c>
      <c r="AD79" s="87">
        <f>'[1]Sheet1'!AE95</f>
        <v>0</v>
      </c>
      <c r="AE79" s="87">
        <f>'[1]Sheet1'!AF95</f>
        <v>0</v>
      </c>
      <c r="AF79" s="87">
        <f>'[1]Sheet1'!AG95</f>
        <v>-1018.845</v>
      </c>
      <c r="AG79" s="87">
        <f>'[1]Sheet1'!AH95</f>
        <v>0</v>
      </c>
      <c r="AH79" s="87">
        <f>'[1]Sheet1'!AI95</f>
        <v>0</v>
      </c>
      <c r="AI79" s="87">
        <f t="shared" si="4"/>
        <v>860.8</v>
      </c>
      <c r="AJ79" s="87">
        <f>'[1]Sheet1'!AK95</f>
        <v>860.8</v>
      </c>
      <c r="AK79" s="85">
        <f t="shared" si="8"/>
        <v>6436.1</v>
      </c>
      <c r="AL79" s="85">
        <f t="shared" si="8"/>
        <v>591.9549999999999</v>
      </c>
    </row>
    <row r="80" spans="1:38" ht="16.5" customHeight="1">
      <c r="A80" s="5">
        <v>70</v>
      </c>
      <c r="B80" s="83" t="s">
        <v>162</v>
      </c>
      <c r="C80" s="84">
        <f t="shared" si="6"/>
        <v>9350.2</v>
      </c>
      <c r="D80" s="84">
        <f t="shared" si="6"/>
        <v>6897.035</v>
      </c>
      <c r="E80" s="65">
        <f>'[1]Sheet1'!F97</f>
        <v>4685.2</v>
      </c>
      <c r="F80" s="65">
        <f>'[1]Sheet1'!G97</f>
        <v>4564.96</v>
      </c>
      <c r="G80" s="65">
        <f>'[1]Sheet1'!H97</f>
        <v>968.6</v>
      </c>
      <c r="H80" s="65">
        <f>'[1]Sheet1'!I97</f>
        <v>942.235</v>
      </c>
      <c r="I80" s="65">
        <f>'[1]Sheet1'!J97</f>
        <v>1416.4</v>
      </c>
      <c r="J80" s="65">
        <f>'[1]Sheet1'!K97</f>
        <v>989.84</v>
      </c>
      <c r="K80" s="65">
        <f>'[1]Sheet1'!L97</f>
        <v>0</v>
      </c>
      <c r="L80" s="65">
        <f>'[1]Sheet1'!M97</f>
        <v>0</v>
      </c>
      <c r="M80" s="65">
        <f>'[1]Sheet1'!N97</f>
        <v>0</v>
      </c>
      <c r="N80" s="65">
        <f>'[1]Sheet1'!O97</f>
        <v>0</v>
      </c>
      <c r="O80" s="65">
        <f>'[1]Sheet1'!P97</f>
        <v>0</v>
      </c>
      <c r="P80" s="65">
        <f>'[1]Sheet1'!Q97</f>
        <v>0</v>
      </c>
      <c r="Q80" s="65">
        <f>'[1]Sheet1'!R97</f>
        <v>400</v>
      </c>
      <c r="R80" s="65">
        <f>'[1]Sheet1'!S97</f>
        <v>400</v>
      </c>
      <c r="S80" s="65">
        <f>'[1]Sheet1'!T97</f>
        <v>10</v>
      </c>
      <c r="T80" s="65">
        <f>'[1]Sheet1'!U97</f>
        <v>0</v>
      </c>
      <c r="U80" s="85">
        <f t="shared" si="7"/>
        <v>7480.200000000001</v>
      </c>
      <c r="V80" s="85">
        <f t="shared" si="7"/>
        <v>6897.035</v>
      </c>
      <c r="W80" s="87">
        <f>'[1]Sheet1'!X97</f>
        <v>1870</v>
      </c>
      <c r="X80" s="87">
        <f>'[1]Sheet1'!Y97</f>
        <v>0</v>
      </c>
      <c r="Y80" s="87">
        <f>'[1]Sheet1'!Z97</f>
        <v>0</v>
      </c>
      <c r="Z80" s="87">
        <f>'[1]Sheet1'!AA97</f>
        <v>0</v>
      </c>
      <c r="AA80" s="87">
        <f>'[1]Sheet1'!AB97</f>
        <v>0</v>
      </c>
      <c r="AB80" s="87">
        <f>'[1]Sheet1'!AC97</f>
        <v>0</v>
      </c>
      <c r="AC80" s="87">
        <f>'[1]Sheet1'!AD97</f>
        <v>0</v>
      </c>
      <c r="AD80" s="87">
        <f>'[1]Sheet1'!AE97</f>
        <v>0</v>
      </c>
      <c r="AE80" s="87">
        <f>'[1]Sheet1'!AF97</f>
        <v>0</v>
      </c>
      <c r="AF80" s="87">
        <f>'[1]Sheet1'!AG97</f>
        <v>0</v>
      </c>
      <c r="AG80" s="87">
        <f>'[1]Sheet1'!AH97</f>
        <v>0</v>
      </c>
      <c r="AH80" s="87">
        <f>'[1]Sheet1'!AI97</f>
        <v>0</v>
      </c>
      <c r="AI80" s="87">
        <f t="shared" si="4"/>
        <v>1870</v>
      </c>
      <c r="AJ80" s="87">
        <f>'[1]Sheet1'!AK97</f>
        <v>1870</v>
      </c>
      <c r="AK80" s="85">
        <f t="shared" si="8"/>
        <v>3740</v>
      </c>
      <c r="AL80" s="85">
        <f t="shared" si="8"/>
        <v>1870</v>
      </c>
    </row>
    <row r="81" spans="1:38" ht="16.5" customHeight="1">
      <c r="A81" s="5">
        <v>71</v>
      </c>
      <c r="B81" s="83" t="s">
        <v>163</v>
      </c>
      <c r="C81" s="84">
        <f t="shared" si="6"/>
        <v>5319.7</v>
      </c>
      <c r="D81" s="84">
        <f t="shared" si="6"/>
        <v>5052.77</v>
      </c>
      <c r="E81" s="65">
        <f>'[1]Sheet1'!F100</f>
        <v>2940</v>
      </c>
      <c r="F81" s="65">
        <f>'[1]Sheet1'!G100</f>
        <v>2933.82</v>
      </c>
      <c r="G81" s="65">
        <f>'[1]Sheet1'!H100</f>
        <v>748</v>
      </c>
      <c r="H81" s="65">
        <f>'[1]Sheet1'!I100</f>
        <v>748</v>
      </c>
      <c r="I81" s="65">
        <f>'[1]Sheet1'!J100</f>
        <v>869.8</v>
      </c>
      <c r="J81" s="65">
        <f>'[1]Sheet1'!K100</f>
        <v>729.95</v>
      </c>
      <c r="K81" s="65">
        <f>'[1]Sheet1'!L100</f>
        <v>0</v>
      </c>
      <c r="L81" s="65">
        <f>'[1]Sheet1'!M100</f>
        <v>0</v>
      </c>
      <c r="M81" s="65">
        <f>'[1]Sheet1'!N100</f>
        <v>0</v>
      </c>
      <c r="N81" s="65">
        <f>'[1]Sheet1'!O100</f>
        <v>0</v>
      </c>
      <c r="O81" s="65">
        <f>'[1]Sheet1'!P100</f>
        <v>0</v>
      </c>
      <c r="P81" s="65">
        <f>'[1]Sheet1'!Q100</f>
        <v>0</v>
      </c>
      <c r="Q81" s="65">
        <f>'[1]Sheet1'!R100</f>
        <v>284.3</v>
      </c>
      <c r="R81" s="65">
        <f>'[1]Sheet1'!S100</f>
        <v>284</v>
      </c>
      <c r="S81" s="65">
        <f>'[1]Sheet1'!T100</f>
        <v>180</v>
      </c>
      <c r="T81" s="65">
        <f>'[1]Sheet1'!U100</f>
        <v>180</v>
      </c>
      <c r="U81" s="85">
        <f t="shared" si="7"/>
        <v>5022.1</v>
      </c>
      <c r="V81" s="85">
        <f t="shared" si="7"/>
        <v>4875.77</v>
      </c>
      <c r="W81" s="87">
        <f>'[1]Sheet1'!X100</f>
        <v>297.6</v>
      </c>
      <c r="X81" s="87">
        <f>'[1]Sheet1'!Y100</f>
        <v>177</v>
      </c>
      <c r="Y81" s="87">
        <f>'[1]Sheet1'!Z100</f>
        <v>0</v>
      </c>
      <c r="Z81" s="87">
        <f>'[1]Sheet1'!AA100</f>
        <v>0</v>
      </c>
      <c r="AA81" s="87">
        <f>'[1]Sheet1'!AB100</f>
        <v>0</v>
      </c>
      <c r="AB81" s="87">
        <f>'[1]Sheet1'!AC100</f>
        <v>0</v>
      </c>
      <c r="AC81" s="87">
        <f>'[1]Sheet1'!AD100</f>
        <v>0</v>
      </c>
      <c r="AD81" s="87">
        <f>'[1]Sheet1'!AE100</f>
        <v>0</v>
      </c>
      <c r="AE81" s="87">
        <f>'[1]Sheet1'!AF100</f>
        <v>0</v>
      </c>
      <c r="AF81" s="87">
        <f>'[1]Sheet1'!AG100</f>
        <v>0</v>
      </c>
      <c r="AG81" s="87">
        <f>'[1]Sheet1'!AH100</f>
        <v>0</v>
      </c>
      <c r="AH81" s="87">
        <f>'[1]Sheet1'!AI100</f>
        <v>0</v>
      </c>
      <c r="AI81" s="87">
        <f t="shared" si="4"/>
        <v>297.6</v>
      </c>
      <c r="AJ81" s="87">
        <f>'[1]Sheet1'!AK100</f>
        <v>297.6</v>
      </c>
      <c r="AK81" s="85">
        <f t="shared" si="8"/>
        <v>595.2</v>
      </c>
      <c r="AL81" s="85">
        <f t="shared" si="8"/>
        <v>474.6</v>
      </c>
    </row>
    <row r="82" spans="1:38" ht="16.5" customHeight="1">
      <c r="A82" s="5">
        <v>72</v>
      </c>
      <c r="B82" s="83" t="s">
        <v>164</v>
      </c>
      <c r="C82" s="84">
        <f t="shared" si="6"/>
        <v>13155.3</v>
      </c>
      <c r="D82" s="84">
        <f t="shared" si="6"/>
        <v>12944.408000000001</v>
      </c>
      <c r="E82" s="65">
        <f>'[1]Sheet1'!F103</f>
        <v>8631.8</v>
      </c>
      <c r="F82" s="65">
        <f>'[1]Sheet1'!G103</f>
        <v>8494.964</v>
      </c>
      <c r="G82" s="65">
        <f>'[1]Sheet1'!H103</f>
        <v>1862.4</v>
      </c>
      <c r="H82" s="65">
        <f>'[1]Sheet1'!I103</f>
        <v>1823.438</v>
      </c>
      <c r="I82" s="65">
        <f>'[1]Sheet1'!J103</f>
        <v>772.1</v>
      </c>
      <c r="J82" s="65">
        <f>'[1]Sheet1'!K103</f>
        <v>769.12</v>
      </c>
      <c r="K82" s="65">
        <f>'[1]Sheet1'!L103</f>
        <v>0</v>
      </c>
      <c r="L82" s="65">
        <f>'[1]Sheet1'!M103</f>
        <v>0</v>
      </c>
      <c r="M82" s="65">
        <f>'[1]Sheet1'!N103</f>
        <v>0</v>
      </c>
      <c r="N82" s="65">
        <f>'[1]Sheet1'!O103</f>
        <v>0</v>
      </c>
      <c r="O82" s="65">
        <f>'[1]Sheet1'!P103</f>
        <v>970</v>
      </c>
      <c r="P82" s="65">
        <f>'[1]Sheet1'!Q103</f>
        <v>937.886</v>
      </c>
      <c r="Q82" s="65">
        <f>'[1]Sheet1'!R103</f>
        <v>275</v>
      </c>
      <c r="R82" s="65">
        <f>'[1]Sheet1'!S103</f>
        <v>275</v>
      </c>
      <c r="S82" s="65">
        <f>'[1]Sheet1'!T103</f>
        <v>0</v>
      </c>
      <c r="T82" s="65">
        <f>'[1]Sheet1'!U103</f>
        <v>0</v>
      </c>
      <c r="U82" s="85">
        <f t="shared" si="7"/>
        <v>12511.3</v>
      </c>
      <c r="V82" s="85">
        <f t="shared" si="7"/>
        <v>12300.408000000001</v>
      </c>
      <c r="W82" s="87">
        <f>'[1]Sheet1'!X103</f>
        <v>644</v>
      </c>
      <c r="X82" s="87">
        <f>'[1]Sheet1'!Y103</f>
        <v>644</v>
      </c>
      <c r="Y82" s="87">
        <f>'[1]Sheet1'!Z103</f>
        <v>0</v>
      </c>
      <c r="Z82" s="87">
        <f>'[1]Sheet1'!AA103</f>
        <v>0</v>
      </c>
      <c r="AA82" s="87">
        <f>'[1]Sheet1'!AB103</f>
        <v>0</v>
      </c>
      <c r="AB82" s="87">
        <f>'[1]Sheet1'!AC103</f>
        <v>0</v>
      </c>
      <c r="AC82" s="87">
        <f>'[1]Sheet1'!AD103</f>
        <v>0</v>
      </c>
      <c r="AD82" s="87">
        <f>'[1]Sheet1'!AE103</f>
        <v>0</v>
      </c>
      <c r="AE82" s="87">
        <f>'[1]Sheet1'!AF103</f>
        <v>0</v>
      </c>
      <c r="AF82" s="87">
        <f>'[1]Sheet1'!AG103</f>
        <v>0</v>
      </c>
      <c r="AG82" s="87">
        <f>'[1]Sheet1'!AH103</f>
        <v>0</v>
      </c>
      <c r="AH82" s="87">
        <f>'[1]Sheet1'!AI103</f>
        <v>0</v>
      </c>
      <c r="AI82" s="87">
        <f t="shared" si="4"/>
        <v>644</v>
      </c>
      <c r="AJ82" s="87">
        <f>'[1]Sheet1'!AK103</f>
        <v>644</v>
      </c>
      <c r="AK82" s="85">
        <f t="shared" si="8"/>
        <v>1288</v>
      </c>
      <c r="AL82" s="85">
        <f t="shared" si="8"/>
        <v>1288</v>
      </c>
    </row>
    <row r="83" spans="1:38" ht="16.5" customHeight="1">
      <c r="A83" s="5">
        <v>73</v>
      </c>
      <c r="B83" s="83" t="s">
        <v>165</v>
      </c>
      <c r="C83" s="84">
        <f t="shared" si="6"/>
        <v>5808.2</v>
      </c>
      <c r="D83" s="84">
        <f t="shared" si="6"/>
        <v>4076.8</v>
      </c>
      <c r="E83" s="65">
        <f>'[1]Sheet1'!F118</f>
        <v>2592</v>
      </c>
      <c r="F83" s="65">
        <f>'[1]Sheet1'!G118</f>
        <v>2592</v>
      </c>
      <c r="G83" s="65">
        <f>'[1]Sheet1'!H118</f>
        <v>580.8</v>
      </c>
      <c r="H83" s="65">
        <f>'[1]Sheet1'!I118</f>
        <v>580.8</v>
      </c>
      <c r="I83" s="65">
        <f>'[1]Sheet1'!J118</f>
        <v>1032.2</v>
      </c>
      <c r="J83" s="65">
        <f>'[1]Sheet1'!K118</f>
        <v>593</v>
      </c>
      <c r="K83" s="65">
        <f>'[1]Sheet1'!L118</f>
        <v>0</v>
      </c>
      <c r="L83" s="65">
        <f>'[1]Sheet1'!M118</f>
        <v>0</v>
      </c>
      <c r="M83" s="65">
        <f>'[1]Sheet1'!N118</f>
        <v>0</v>
      </c>
      <c r="N83" s="65">
        <f>'[1]Sheet1'!O118</f>
        <v>0</v>
      </c>
      <c r="O83" s="65">
        <f>'[1]Sheet1'!P118</f>
        <v>0</v>
      </c>
      <c r="P83" s="65">
        <f>'[1]Sheet1'!Q118</f>
        <v>0</v>
      </c>
      <c r="Q83" s="65">
        <f>'[1]Sheet1'!R118</f>
        <v>300</v>
      </c>
      <c r="R83" s="65">
        <f>'[1]Sheet1'!S118</f>
        <v>291</v>
      </c>
      <c r="S83" s="65">
        <f>'[1]Sheet1'!T118</f>
        <v>20</v>
      </c>
      <c r="T83" s="65">
        <f>'[1]Sheet1'!U118</f>
        <v>20</v>
      </c>
      <c r="U83" s="85">
        <f t="shared" si="7"/>
        <v>4525</v>
      </c>
      <c r="V83" s="85">
        <f t="shared" si="7"/>
        <v>4076.8</v>
      </c>
      <c r="W83" s="87">
        <f>'[1]Sheet1'!X118</f>
        <v>1283.2</v>
      </c>
      <c r="X83" s="87">
        <f>'[1]Sheet1'!Y118</f>
        <v>0</v>
      </c>
      <c r="Y83" s="87">
        <f>'[1]Sheet1'!Z118</f>
        <v>0</v>
      </c>
      <c r="Z83" s="87">
        <f>'[1]Sheet1'!AA118</f>
        <v>0</v>
      </c>
      <c r="AA83" s="87">
        <f>'[1]Sheet1'!AB118</f>
        <v>0</v>
      </c>
      <c r="AB83" s="87">
        <f>'[1]Sheet1'!AC118</f>
        <v>0</v>
      </c>
      <c r="AC83" s="87">
        <f>'[1]Sheet1'!AD118</f>
        <v>0</v>
      </c>
      <c r="AD83" s="87">
        <f>'[1]Sheet1'!AE118</f>
        <v>0</v>
      </c>
      <c r="AE83" s="87">
        <f>'[1]Sheet1'!AF118</f>
        <v>0</v>
      </c>
      <c r="AF83" s="87">
        <f>'[1]Sheet1'!AG118</f>
        <v>0</v>
      </c>
      <c r="AG83" s="87">
        <f>'[1]Sheet1'!AH118</f>
        <v>0</v>
      </c>
      <c r="AH83" s="87">
        <f>'[1]Sheet1'!AI118</f>
        <v>0</v>
      </c>
      <c r="AI83" s="87">
        <f t="shared" si="4"/>
        <v>1000</v>
      </c>
      <c r="AJ83" s="87">
        <f>'[1]Sheet1'!AK118</f>
        <v>1000</v>
      </c>
      <c r="AK83" s="85">
        <f t="shared" si="8"/>
        <v>2283.2</v>
      </c>
      <c r="AL83" s="85">
        <f t="shared" si="8"/>
        <v>1000</v>
      </c>
    </row>
    <row r="84" spans="1:38" ht="16.5" customHeight="1">
      <c r="A84" s="5">
        <v>74</v>
      </c>
      <c r="B84" s="83" t="s">
        <v>166</v>
      </c>
      <c r="C84" s="84">
        <f t="shared" si="6"/>
        <v>12618.876</v>
      </c>
      <c r="D84" s="84">
        <f t="shared" si="6"/>
        <v>11568.599999999999</v>
      </c>
      <c r="E84" s="65">
        <f>'[1]Sheet1'!F11</f>
        <v>5345</v>
      </c>
      <c r="F84" s="65">
        <f>'[1]Sheet1'!G11</f>
        <v>5345</v>
      </c>
      <c r="G84" s="65">
        <f>'[1]Sheet1'!H11</f>
        <v>1141.4</v>
      </c>
      <c r="H84" s="65">
        <f>'[1]Sheet1'!I11</f>
        <v>1141.3</v>
      </c>
      <c r="I84" s="65">
        <f>'[1]Sheet1'!J11</f>
        <v>1668.1</v>
      </c>
      <c r="J84" s="65">
        <f>'[1]Sheet1'!K11</f>
        <v>1618.1</v>
      </c>
      <c r="K84" s="65">
        <f>'[1]Sheet1'!L11</f>
        <v>0</v>
      </c>
      <c r="L84" s="65">
        <f>'[1]Sheet1'!M11</f>
        <v>0</v>
      </c>
      <c r="M84" s="65">
        <f>'[1]Sheet1'!N11</f>
        <v>0</v>
      </c>
      <c r="N84" s="65">
        <f>'[1]Sheet1'!O11</f>
        <v>0</v>
      </c>
      <c r="O84" s="65">
        <f>'[1]Sheet1'!P11</f>
        <v>0</v>
      </c>
      <c r="P84" s="65">
        <f>'[1]Sheet1'!Q11</f>
        <v>0</v>
      </c>
      <c r="Q84" s="65">
        <f>'[1]Sheet1'!R11</f>
        <v>700</v>
      </c>
      <c r="R84" s="65">
        <f>'[1]Sheet1'!S11</f>
        <v>700</v>
      </c>
      <c r="S84" s="65">
        <f>'[1]Sheet1'!T11</f>
        <v>144</v>
      </c>
      <c r="T84" s="65">
        <f>'[1]Sheet1'!U11</f>
        <v>144</v>
      </c>
      <c r="U84" s="85">
        <f t="shared" si="7"/>
        <v>8998.5</v>
      </c>
      <c r="V84" s="85">
        <f t="shared" si="7"/>
        <v>8948.4</v>
      </c>
      <c r="W84" s="87">
        <f>'[1]Sheet1'!X11</f>
        <v>3620.376</v>
      </c>
      <c r="X84" s="87">
        <f>'[1]Sheet1'!Y11</f>
        <v>2620.2</v>
      </c>
      <c r="Y84" s="87">
        <f>'[1]Sheet1'!Z11</f>
        <v>0</v>
      </c>
      <c r="Z84" s="87">
        <f>'[1]Sheet1'!AA11</f>
        <v>0</v>
      </c>
      <c r="AA84" s="87">
        <f>'[1]Sheet1'!AB11</f>
        <v>0</v>
      </c>
      <c r="AB84" s="87">
        <f>'[1]Sheet1'!AC11</f>
        <v>0</v>
      </c>
      <c r="AC84" s="87">
        <f>'[1]Sheet1'!AD11</f>
        <v>0</v>
      </c>
      <c r="AD84" s="87">
        <f>'[1]Sheet1'!AE11</f>
        <v>0</v>
      </c>
      <c r="AE84" s="87">
        <f>'[1]Sheet1'!AF11</f>
        <v>0</v>
      </c>
      <c r="AF84" s="87">
        <f>'[1]Sheet1'!AG11</f>
        <v>0</v>
      </c>
      <c r="AG84" s="87">
        <f>'[1]Sheet1'!AH11</f>
        <v>0</v>
      </c>
      <c r="AH84" s="87">
        <f>'[1]Sheet1'!AI11</f>
        <v>0</v>
      </c>
      <c r="AI84" s="87">
        <f t="shared" si="4"/>
        <v>1700</v>
      </c>
      <c r="AJ84" s="87">
        <f>'[1]Sheet1'!AK11</f>
        <v>1700</v>
      </c>
      <c r="AK84" s="85">
        <f t="shared" si="8"/>
        <v>5320.376</v>
      </c>
      <c r="AL84" s="85">
        <f t="shared" si="8"/>
        <v>4320.2</v>
      </c>
    </row>
    <row r="85" spans="1:38" ht="16.5" customHeight="1">
      <c r="A85" s="5">
        <v>75</v>
      </c>
      <c r="B85" s="83" t="s">
        <v>167</v>
      </c>
      <c r="C85" s="84">
        <f t="shared" si="6"/>
        <v>116192.587</v>
      </c>
      <c r="D85" s="84">
        <f t="shared" si="6"/>
        <v>83588.884</v>
      </c>
      <c r="E85" s="65">
        <f>'[1]Sheet1'!F20</f>
        <v>32152.7</v>
      </c>
      <c r="F85" s="65">
        <f>'[1]Sheet1'!G20</f>
        <v>26641.42</v>
      </c>
      <c r="G85" s="65">
        <f>'[1]Sheet1'!H20</f>
        <v>8676</v>
      </c>
      <c r="H85" s="65">
        <f>'[1]Sheet1'!I20</f>
        <v>6233.448</v>
      </c>
      <c r="I85" s="65">
        <f>'[1]Sheet1'!J20</f>
        <v>30049.987</v>
      </c>
      <c r="J85" s="65">
        <f>'[1]Sheet1'!K20</f>
        <v>17607.235</v>
      </c>
      <c r="K85" s="65">
        <f>'[1]Sheet1'!L20</f>
        <v>0</v>
      </c>
      <c r="L85" s="65">
        <f>'[1]Sheet1'!M20</f>
        <v>0</v>
      </c>
      <c r="M85" s="65">
        <f>'[1]Sheet1'!N20</f>
        <v>0</v>
      </c>
      <c r="N85" s="65">
        <f>'[1]Sheet1'!O20</f>
        <v>0</v>
      </c>
      <c r="O85" s="65">
        <f>'[1]Sheet1'!P20</f>
        <v>0</v>
      </c>
      <c r="P85" s="65">
        <f>'[1]Sheet1'!Q20</f>
        <v>0</v>
      </c>
      <c r="Q85" s="65">
        <f>'[1]Sheet1'!R20</f>
        <v>12440</v>
      </c>
      <c r="R85" s="65">
        <f>'[1]Sheet1'!S20</f>
        <v>12426.2</v>
      </c>
      <c r="S85" s="65">
        <f>'[1]Sheet1'!T20</f>
        <v>1400</v>
      </c>
      <c r="T85" s="65">
        <f>'[1]Sheet1'!U20</f>
        <v>839.982</v>
      </c>
      <c r="U85" s="85">
        <f t="shared" si="7"/>
        <v>84718.687</v>
      </c>
      <c r="V85" s="85">
        <f t="shared" si="7"/>
        <v>63748.285</v>
      </c>
      <c r="W85" s="87">
        <f>'[1]Sheet1'!X20</f>
        <v>38000</v>
      </c>
      <c r="X85" s="87">
        <f>'[1]Sheet1'!Y20</f>
        <v>22910.5</v>
      </c>
      <c r="Y85" s="87">
        <f>'[1]Sheet1'!Z20</f>
        <v>0</v>
      </c>
      <c r="Z85" s="87">
        <f>'[1]Sheet1'!AA20</f>
        <v>0</v>
      </c>
      <c r="AA85" s="87">
        <f>'[1]Sheet1'!AB20</f>
        <v>0</v>
      </c>
      <c r="AB85" s="87">
        <f>'[1]Sheet1'!AC20</f>
        <v>0</v>
      </c>
      <c r="AC85" s="87">
        <f>'[1]Sheet1'!AD20</f>
        <v>-6526.1</v>
      </c>
      <c r="AD85" s="87">
        <f>'[1]Sheet1'!AE20</f>
        <v>0</v>
      </c>
      <c r="AE85" s="87">
        <f>'[1]Sheet1'!AF20</f>
        <v>0</v>
      </c>
      <c r="AF85" s="87">
        <f>'[1]Sheet1'!AG20</f>
        <v>-3069.901</v>
      </c>
      <c r="AG85" s="87">
        <f>'[1]Sheet1'!AH20</f>
        <v>0</v>
      </c>
      <c r="AH85" s="87">
        <f>'[1]Sheet1'!AI20</f>
        <v>0</v>
      </c>
      <c r="AI85" s="87">
        <f t="shared" si="4"/>
        <v>5000</v>
      </c>
      <c r="AJ85" s="87">
        <f>'[1]Sheet1'!AK20</f>
        <v>5000</v>
      </c>
      <c r="AK85" s="85">
        <f t="shared" si="8"/>
        <v>36473.9</v>
      </c>
      <c r="AL85" s="85">
        <f t="shared" si="8"/>
        <v>24840.599000000002</v>
      </c>
    </row>
    <row r="86" spans="1:38" ht="16.5" customHeight="1">
      <c r="A86" s="5">
        <v>76</v>
      </c>
      <c r="B86" s="83" t="s">
        <v>168</v>
      </c>
      <c r="C86" s="84">
        <f t="shared" si="6"/>
        <v>55180.6</v>
      </c>
      <c r="D86" s="84">
        <f t="shared" si="6"/>
        <v>51708.278999999995</v>
      </c>
      <c r="E86" s="65">
        <f>'[1]Sheet1'!F25</f>
        <v>16750</v>
      </c>
      <c r="F86" s="65">
        <f>'[1]Sheet1'!G25</f>
        <v>16315.429</v>
      </c>
      <c r="G86" s="65">
        <f>'[1]Sheet1'!H25</f>
        <v>3939.5</v>
      </c>
      <c r="H86" s="65">
        <f>'[1]Sheet1'!I25</f>
        <v>3482.84</v>
      </c>
      <c r="I86" s="65">
        <f>'[1]Sheet1'!J25</f>
        <v>22444.5</v>
      </c>
      <c r="J86" s="65">
        <f>'[1]Sheet1'!K25</f>
        <v>20652.53</v>
      </c>
      <c r="K86" s="65">
        <f>'[1]Sheet1'!L25</f>
        <v>0</v>
      </c>
      <c r="L86" s="65">
        <f>'[1]Sheet1'!M25</f>
        <v>0</v>
      </c>
      <c r="M86" s="65">
        <f>'[1]Sheet1'!N25</f>
        <v>0</v>
      </c>
      <c r="N86" s="65">
        <f>'[1]Sheet1'!O25</f>
        <v>0</v>
      </c>
      <c r="O86" s="65">
        <f>'[1]Sheet1'!P25</f>
        <v>0</v>
      </c>
      <c r="P86" s="65">
        <f>'[1]Sheet1'!Q25</f>
        <v>0</v>
      </c>
      <c r="Q86" s="65">
        <f>'[1]Sheet1'!R25</f>
        <v>5910</v>
      </c>
      <c r="R86" s="65">
        <f>'[1]Sheet1'!S25</f>
        <v>5775</v>
      </c>
      <c r="S86" s="65">
        <f>'[1]Sheet1'!T25</f>
        <v>120</v>
      </c>
      <c r="T86" s="65">
        <f>'[1]Sheet1'!U25</f>
        <v>67.71</v>
      </c>
      <c r="U86" s="85">
        <f t="shared" si="7"/>
        <v>49164</v>
      </c>
      <c r="V86" s="85">
        <f t="shared" si="7"/>
        <v>46293.509</v>
      </c>
      <c r="W86" s="87">
        <f>'[1]Sheet1'!X25</f>
        <v>8016.6</v>
      </c>
      <c r="X86" s="87">
        <f>'[1]Sheet1'!Y25</f>
        <v>5414.77</v>
      </c>
      <c r="Y86" s="87">
        <f>'[1]Sheet1'!Z25</f>
        <v>0</v>
      </c>
      <c r="Z86" s="87">
        <f>'[1]Sheet1'!AA25</f>
        <v>0</v>
      </c>
      <c r="AA86" s="87">
        <f>'[1]Sheet1'!AB25</f>
        <v>0</v>
      </c>
      <c r="AB86" s="87">
        <f>'[1]Sheet1'!AC25</f>
        <v>0</v>
      </c>
      <c r="AC86" s="87">
        <f>'[1]Sheet1'!AD25</f>
        <v>-2000</v>
      </c>
      <c r="AD86" s="87">
        <f>'[1]Sheet1'!AE25</f>
        <v>0</v>
      </c>
      <c r="AE86" s="87">
        <f>'[1]Sheet1'!AF25</f>
        <v>0</v>
      </c>
      <c r="AF86" s="87">
        <f>'[1]Sheet1'!AG25</f>
        <v>0</v>
      </c>
      <c r="AG86" s="87">
        <f>'[1]Sheet1'!AH25</f>
        <v>0</v>
      </c>
      <c r="AH86" s="87">
        <f>'[1]Sheet1'!AI25</f>
        <v>0</v>
      </c>
      <c r="AI86" s="87">
        <f t="shared" si="4"/>
        <v>3000</v>
      </c>
      <c r="AJ86" s="87">
        <f>'[1]Sheet1'!AK25</f>
        <v>3000</v>
      </c>
      <c r="AK86" s="85">
        <f t="shared" si="8"/>
        <v>9016.6</v>
      </c>
      <c r="AL86" s="85">
        <f t="shared" si="8"/>
        <v>8414.77</v>
      </c>
    </row>
    <row r="87" spans="1:38" ht="16.5" customHeight="1">
      <c r="A87" s="5">
        <v>77</v>
      </c>
      <c r="B87" s="83" t="s">
        <v>169</v>
      </c>
      <c r="C87" s="84">
        <f t="shared" si="6"/>
        <v>21392.9</v>
      </c>
      <c r="D87" s="84">
        <f t="shared" si="6"/>
        <v>17632.195</v>
      </c>
      <c r="E87" s="65">
        <f>'[1]Sheet1'!F15</f>
        <v>10978.5</v>
      </c>
      <c r="F87" s="65">
        <f>'[1]Sheet1'!G15</f>
        <v>10850.248</v>
      </c>
      <c r="G87" s="65">
        <f>'[1]Sheet1'!H15</f>
        <v>2718</v>
      </c>
      <c r="H87" s="65">
        <f>'[1]Sheet1'!I15</f>
        <v>2622.935</v>
      </c>
      <c r="I87" s="65">
        <f>'[1]Sheet1'!J15</f>
        <v>3272</v>
      </c>
      <c r="J87" s="65">
        <f>'[1]Sheet1'!K15</f>
        <v>3031.812</v>
      </c>
      <c r="K87" s="65">
        <f>'[1]Sheet1'!L15</f>
        <v>0</v>
      </c>
      <c r="L87" s="65">
        <f>'[1]Sheet1'!M15</f>
        <v>0</v>
      </c>
      <c r="M87" s="65">
        <f>'[1]Sheet1'!N15</f>
        <v>0</v>
      </c>
      <c r="N87" s="65">
        <f>'[1]Sheet1'!O15</f>
        <v>0</v>
      </c>
      <c r="O87" s="65">
        <f>'[1]Sheet1'!P15</f>
        <v>408.2</v>
      </c>
      <c r="P87" s="65">
        <f>'[1]Sheet1'!Q15</f>
        <v>408.2</v>
      </c>
      <c r="Q87" s="65">
        <f>'[1]Sheet1'!R15</f>
        <v>380</v>
      </c>
      <c r="R87" s="65">
        <f>'[1]Sheet1'!S15</f>
        <v>345</v>
      </c>
      <c r="S87" s="65">
        <f>'[1]Sheet1'!T15</f>
        <v>280</v>
      </c>
      <c r="T87" s="65">
        <f>'[1]Sheet1'!U15</f>
        <v>256</v>
      </c>
      <c r="U87" s="85">
        <f t="shared" si="7"/>
        <v>18036.7</v>
      </c>
      <c r="V87" s="85">
        <f t="shared" si="7"/>
        <v>17514.195</v>
      </c>
      <c r="W87" s="87">
        <f>'[1]Sheet1'!X15</f>
        <v>4556.2</v>
      </c>
      <c r="X87" s="87">
        <f>'[1]Sheet1'!Y15</f>
        <v>355</v>
      </c>
      <c r="Y87" s="87">
        <f>'[1]Sheet1'!Z15</f>
        <v>0</v>
      </c>
      <c r="Z87" s="87">
        <f>'[1]Sheet1'!AA15</f>
        <v>0</v>
      </c>
      <c r="AA87" s="87">
        <f>'[1]Sheet1'!AB15</f>
        <v>0</v>
      </c>
      <c r="AB87" s="87">
        <f>'[1]Sheet1'!AC15</f>
        <v>0</v>
      </c>
      <c r="AC87" s="87">
        <f>'[1]Sheet1'!AD15</f>
        <v>-1200</v>
      </c>
      <c r="AD87" s="87">
        <f>'[1]Sheet1'!AE15</f>
        <v>0</v>
      </c>
      <c r="AE87" s="87">
        <f>'[1]Sheet1'!AF15</f>
        <v>0</v>
      </c>
      <c r="AF87" s="87">
        <f>'[1]Sheet1'!AG15</f>
        <v>-237</v>
      </c>
      <c r="AG87" s="87">
        <f>'[1]Sheet1'!AH15</f>
        <v>0</v>
      </c>
      <c r="AH87" s="87">
        <f>'[1]Sheet1'!AI15</f>
        <v>0</v>
      </c>
      <c r="AI87" s="87">
        <f t="shared" si="4"/>
        <v>1433.9</v>
      </c>
      <c r="AJ87" s="87">
        <f>'[1]Sheet1'!AK15</f>
        <v>1433.9</v>
      </c>
      <c r="AK87" s="85">
        <f t="shared" si="8"/>
        <v>4790.1</v>
      </c>
      <c r="AL87" s="85">
        <f t="shared" si="8"/>
        <v>1551.9</v>
      </c>
    </row>
    <row r="88" spans="1:38" ht="16.5" customHeight="1">
      <c r="A88" s="5">
        <v>78</v>
      </c>
      <c r="B88" s="83" t="s">
        <v>170</v>
      </c>
      <c r="C88" s="84">
        <f t="shared" si="6"/>
        <v>17770.5</v>
      </c>
      <c r="D88" s="84">
        <f t="shared" si="6"/>
        <v>11305.76</v>
      </c>
      <c r="E88" s="65">
        <f>'[1]Sheet1'!F23</f>
        <v>7032</v>
      </c>
      <c r="F88" s="65">
        <f>'[1]Sheet1'!G23</f>
        <v>6552</v>
      </c>
      <c r="G88" s="65">
        <f>'[1]Sheet1'!H23</f>
        <v>1774.8</v>
      </c>
      <c r="H88" s="65">
        <f>'[1]Sheet1'!I23</f>
        <v>1673</v>
      </c>
      <c r="I88" s="65">
        <f>'[1]Sheet1'!J23</f>
        <v>3408.1</v>
      </c>
      <c r="J88" s="65">
        <f>'[1]Sheet1'!K23</f>
        <v>2235.76</v>
      </c>
      <c r="K88" s="65">
        <f>'[1]Sheet1'!L23</f>
        <v>0</v>
      </c>
      <c r="L88" s="65">
        <f>'[1]Sheet1'!M23</f>
        <v>0</v>
      </c>
      <c r="M88" s="65">
        <f>'[1]Sheet1'!N23</f>
        <v>0</v>
      </c>
      <c r="N88" s="65">
        <f>'[1]Sheet1'!O23</f>
        <v>0</v>
      </c>
      <c r="O88" s="65">
        <f>'[1]Sheet1'!P23</f>
        <v>0</v>
      </c>
      <c r="P88" s="65">
        <f>'[1]Sheet1'!Q23</f>
        <v>0</v>
      </c>
      <c r="Q88" s="65">
        <f>'[1]Sheet1'!R23</f>
        <v>300</v>
      </c>
      <c r="R88" s="65">
        <f>'[1]Sheet1'!S23</f>
        <v>125</v>
      </c>
      <c r="S88" s="65">
        <f>'[1]Sheet1'!T23</f>
        <v>3.1</v>
      </c>
      <c r="T88" s="65">
        <f>'[1]Sheet1'!U23</f>
        <v>0</v>
      </c>
      <c r="U88" s="85">
        <f t="shared" si="7"/>
        <v>12518</v>
      </c>
      <c r="V88" s="85">
        <f t="shared" si="7"/>
        <v>10585.76</v>
      </c>
      <c r="W88" s="87">
        <f>'[1]Sheet1'!X23</f>
        <v>6252.5</v>
      </c>
      <c r="X88" s="87">
        <f>'[1]Sheet1'!Y23</f>
        <v>720</v>
      </c>
      <c r="Y88" s="87">
        <f>'[1]Sheet1'!Z23</f>
        <v>0</v>
      </c>
      <c r="Z88" s="87">
        <f>'[1]Sheet1'!AA23</f>
        <v>0</v>
      </c>
      <c r="AA88" s="87">
        <f>'[1]Sheet1'!AB23</f>
        <v>0</v>
      </c>
      <c r="AB88" s="87">
        <f>'[1]Sheet1'!AC23</f>
        <v>0</v>
      </c>
      <c r="AC88" s="87">
        <f>'[1]Sheet1'!AD23</f>
        <v>-1000</v>
      </c>
      <c r="AD88" s="87">
        <f>'[1]Sheet1'!AE23</f>
        <v>0</v>
      </c>
      <c r="AE88" s="87">
        <f>'[1]Sheet1'!AF23</f>
        <v>0</v>
      </c>
      <c r="AF88" s="87">
        <f>'[1]Sheet1'!AG23</f>
        <v>0</v>
      </c>
      <c r="AG88" s="87">
        <f>'[1]Sheet1'!AH23</f>
        <v>0</v>
      </c>
      <c r="AH88" s="87">
        <f>'[1]Sheet1'!AI23</f>
        <v>0</v>
      </c>
      <c r="AI88" s="87">
        <f t="shared" si="4"/>
        <v>1400</v>
      </c>
      <c r="AJ88" s="87">
        <f>'[1]Sheet1'!AK23</f>
        <v>1400</v>
      </c>
      <c r="AK88" s="85">
        <f t="shared" si="8"/>
        <v>6652.5</v>
      </c>
      <c r="AL88" s="85">
        <f t="shared" si="8"/>
        <v>2120</v>
      </c>
    </row>
    <row r="89" spans="1:38" ht="16.5" customHeight="1">
      <c r="A89" s="5">
        <v>79</v>
      </c>
      <c r="B89" s="83" t="s">
        <v>171</v>
      </c>
      <c r="C89" s="84">
        <f t="shared" si="6"/>
        <v>4338</v>
      </c>
      <c r="D89" s="84">
        <f t="shared" si="6"/>
        <v>2640.141</v>
      </c>
      <c r="E89" s="65">
        <f>'[1]Sheet1'!F17</f>
        <v>2162.4</v>
      </c>
      <c r="F89" s="65">
        <f>'[1]Sheet1'!G17</f>
        <v>2102.541</v>
      </c>
      <c r="G89" s="65">
        <f>'[1]Sheet1'!H17</f>
        <v>516.4</v>
      </c>
      <c r="H89" s="65">
        <f>'[1]Sheet1'!I17</f>
        <v>516.4</v>
      </c>
      <c r="I89" s="65">
        <f>'[1]Sheet1'!J17</f>
        <v>821.2</v>
      </c>
      <c r="J89" s="65">
        <f>'[1]Sheet1'!K17</f>
        <v>21.2</v>
      </c>
      <c r="K89" s="65">
        <f>'[1]Sheet1'!L17</f>
        <v>0</v>
      </c>
      <c r="L89" s="65">
        <f>'[1]Sheet1'!M17</f>
        <v>0</v>
      </c>
      <c r="M89" s="65">
        <f>'[1]Sheet1'!N17</f>
        <v>0</v>
      </c>
      <c r="N89" s="65">
        <f>'[1]Sheet1'!O17</f>
        <v>0</v>
      </c>
      <c r="O89" s="65">
        <f>'[1]Sheet1'!P17</f>
        <v>0</v>
      </c>
      <c r="P89" s="65">
        <f>'[1]Sheet1'!Q17</f>
        <v>0</v>
      </c>
      <c r="Q89" s="65">
        <f>'[1]Sheet1'!R17</f>
        <v>0</v>
      </c>
      <c r="R89" s="65">
        <f>'[1]Sheet1'!S17</f>
        <v>0</v>
      </c>
      <c r="S89" s="65">
        <f>'[1]Sheet1'!T17</f>
        <v>0</v>
      </c>
      <c r="T89" s="65">
        <f>'[1]Sheet1'!U17</f>
        <v>0</v>
      </c>
      <c r="U89" s="85">
        <f t="shared" si="7"/>
        <v>3500</v>
      </c>
      <c r="V89" s="85">
        <f t="shared" si="7"/>
        <v>2640.141</v>
      </c>
      <c r="W89" s="87">
        <f>'[1]Sheet1'!X17</f>
        <v>938</v>
      </c>
      <c r="X89" s="87">
        <f>'[1]Sheet1'!Y17</f>
        <v>0</v>
      </c>
      <c r="Y89" s="87">
        <f>'[1]Sheet1'!Z17</f>
        <v>0</v>
      </c>
      <c r="Z89" s="87">
        <f>'[1]Sheet1'!AA17</f>
        <v>0</v>
      </c>
      <c r="AA89" s="87">
        <f>'[1]Sheet1'!AB17</f>
        <v>0</v>
      </c>
      <c r="AB89" s="87">
        <f>'[1]Sheet1'!AC17</f>
        <v>0</v>
      </c>
      <c r="AC89" s="87">
        <f>'[1]Sheet1'!AD17</f>
        <v>-100</v>
      </c>
      <c r="AD89" s="87">
        <f>'[1]Sheet1'!AE17</f>
        <v>0</v>
      </c>
      <c r="AE89" s="87">
        <f>'[1]Sheet1'!AF17</f>
        <v>0</v>
      </c>
      <c r="AF89" s="87">
        <f>'[1]Sheet1'!AG17</f>
        <v>0</v>
      </c>
      <c r="AG89" s="87">
        <f>'[1]Sheet1'!AH17</f>
        <v>0</v>
      </c>
      <c r="AH89" s="87">
        <f>'[1]Sheet1'!AI17</f>
        <v>0</v>
      </c>
      <c r="AI89" s="87">
        <f t="shared" si="4"/>
        <v>810</v>
      </c>
      <c r="AJ89" s="87">
        <f>'[1]Sheet1'!AK17</f>
        <v>810</v>
      </c>
      <c r="AK89" s="85">
        <f t="shared" si="8"/>
        <v>1648</v>
      </c>
      <c r="AL89" s="85">
        <f t="shared" si="8"/>
        <v>810</v>
      </c>
    </row>
    <row r="90" spans="1:38" ht="16.5" customHeight="1">
      <c r="A90" s="5">
        <v>80</v>
      </c>
      <c r="B90" s="83" t="s">
        <v>172</v>
      </c>
      <c r="C90" s="84">
        <f t="shared" si="6"/>
        <v>4368.3</v>
      </c>
      <c r="D90" s="84">
        <f t="shared" si="6"/>
        <v>3674.38</v>
      </c>
      <c r="E90" s="65">
        <f>'[1]Sheet1'!F29</f>
        <v>2789.8</v>
      </c>
      <c r="F90" s="65">
        <f>'[1]Sheet1'!G29</f>
        <v>2439.29</v>
      </c>
      <c r="G90" s="65">
        <f>'[1]Sheet1'!H29</f>
        <v>1223</v>
      </c>
      <c r="H90" s="65">
        <f>'[1]Sheet1'!I29</f>
        <v>1125.09</v>
      </c>
      <c r="I90" s="65">
        <f>'[1]Sheet1'!J29</f>
        <v>75</v>
      </c>
      <c r="J90" s="65">
        <f>'[1]Sheet1'!K29</f>
        <v>75</v>
      </c>
      <c r="K90" s="65">
        <f>'[1]Sheet1'!L29</f>
        <v>0</v>
      </c>
      <c r="L90" s="65">
        <f>'[1]Sheet1'!M29</f>
        <v>0</v>
      </c>
      <c r="M90" s="65">
        <f>'[1]Sheet1'!N29</f>
        <v>0</v>
      </c>
      <c r="N90" s="65">
        <f>'[1]Sheet1'!O29</f>
        <v>0</v>
      </c>
      <c r="O90" s="65">
        <f>'[1]Sheet1'!P29</f>
        <v>0</v>
      </c>
      <c r="P90" s="65">
        <f>'[1]Sheet1'!Q29</f>
        <v>0</v>
      </c>
      <c r="Q90" s="65">
        <f>'[1]Sheet1'!R29</f>
        <v>0</v>
      </c>
      <c r="R90" s="65">
        <f>'[1]Sheet1'!S29</f>
        <v>0</v>
      </c>
      <c r="S90" s="65">
        <f>'[1]Sheet1'!T29</f>
        <v>35</v>
      </c>
      <c r="T90" s="65">
        <f>'[1]Sheet1'!U29</f>
        <v>35</v>
      </c>
      <c r="U90" s="85">
        <f t="shared" si="7"/>
        <v>4122.8</v>
      </c>
      <c r="V90" s="85">
        <f t="shared" si="7"/>
        <v>3674.38</v>
      </c>
      <c r="W90" s="87">
        <f>'[1]Sheet1'!X29</f>
        <v>345.5</v>
      </c>
      <c r="X90" s="87">
        <f>'[1]Sheet1'!Y29</f>
        <v>0</v>
      </c>
      <c r="Y90" s="87">
        <f>'[1]Sheet1'!Z29</f>
        <v>0</v>
      </c>
      <c r="Z90" s="87">
        <f>'[1]Sheet1'!AA29</f>
        <v>0</v>
      </c>
      <c r="AA90" s="87">
        <f>'[1]Sheet1'!AB29</f>
        <v>0</v>
      </c>
      <c r="AB90" s="87">
        <f>'[1]Sheet1'!AC29</f>
        <v>0</v>
      </c>
      <c r="AC90" s="87">
        <f>'[1]Sheet1'!AD29</f>
        <v>-100</v>
      </c>
      <c r="AD90" s="87">
        <f>'[1]Sheet1'!AE29</f>
        <v>0</v>
      </c>
      <c r="AE90" s="87">
        <f>'[1]Sheet1'!AF29</f>
        <v>0</v>
      </c>
      <c r="AF90" s="87">
        <f>'[1]Sheet1'!AG29</f>
        <v>0</v>
      </c>
      <c r="AG90" s="87">
        <f>'[1]Sheet1'!AH29</f>
        <v>0</v>
      </c>
      <c r="AH90" s="87">
        <f>'[1]Sheet1'!AI29</f>
        <v>0</v>
      </c>
      <c r="AI90" s="87">
        <f t="shared" si="4"/>
        <v>230</v>
      </c>
      <c r="AJ90" s="87">
        <f>'[1]Sheet1'!AK29</f>
        <v>230</v>
      </c>
      <c r="AK90" s="85">
        <f t="shared" si="8"/>
        <v>475.5</v>
      </c>
      <c r="AL90" s="85">
        <f t="shared" si="8"/>
        <v>230</v>
      </c>
    </row>
    <row r="91" spans="1:38" ht="16.5" customHeight="1">
      <c r="A91" s="5">
        <v>81</v>
      </c>
      <c r="B91" s="83" t="s">
        <v>173</v>
      </c>
      <c r="C91" s="84">
        <f t="shared" si="6"/>
        <v>5267.8</v>
      </c>
      <c r="D91" s="84">
        <f t="shared" si="6"/>
        <v>4528.9</v>
      </c>
      <c r="E91" s="65">
        <f>'[1]Sheet1'!F30</f>
        <v>3444</v>
      </c>
      <c r="F91" s="65">
        <f>'[1]Sheet1'!G30</f>
        <v>3439</v>
      </c>
      <c r="G91" s="65">
        <f>'[1]Sheet1'!H30</f>
        <v>919</v>
      </c>
      <c r="H91" s="65">
        <f>'[1]Sheet1'!I30</f>
        <v>918.9</v>
      </c>
      <c r="I91" s="65">
        <f>'[1]Sheet1'!J30</f>
        <v>207</v>
      </c>
      <c r="J91" s="65">
        <f>'[1]Sheet1'!K30</f>
        <v>171</v>
      </c>
      <c r="K91" s="65">
        <f>'[1]Sheet1'!L30</f>
        <v>0</v>
      </c>
      <c r="L91" s="65">
        <f>'[1]Sheet1'!M30</f>
        <v>0</v>
      </c>
      <c r="M91" s="65">
        <f>'[1]Sheet1'!N30</f>
        <v>0</v>
      </c>
      <c r="N91" s="65">
        <f>'[1]Sheet1'!O30</f>
        <v>0</v>
      </c>
      <c r="O91" s="65">
        <f>'[1]Sheet1'!P30</f>
        <v>0</v>
      </c>
      <c r="P91" s="65">
        <f>'[1]Sheet1'!Q30</f>
        <v>0</v>
      </c>
      <c r="Q91" s="65">
        <f>'[1]Sheet1'!R30</f>
        <v>0</v>
      </c>
      <c r="R91" s="65">
        <f>'[1]Sheet1'!S30</f>
        <v>0</v>
      </c>
      <c r="S91" s="65">
        <f>'[1]Sheet1'!T30</f>
        <v>72</v>
      </c>
      <c r="T91" s="65">
        <f>'[1]Sheet1'!U30</f>
        <v>0</v>
      </c>
      <c r="U91" s="85">
        <f t="shared" si="7"/>
        <v>4642</v>
      </c>
      <c r="V91" s="85">
        <f t="shared" si="7"/>
        <v>4528.9</v>
      </c>
      <c r="W91" s="87">
        <f>'[1]Sheet1'!X30</f>
        <v>625.8</v>
      </c>
      <c r="X91" s="87">
        <f>'[1]Sheet1'!Y30</f>
        <v>0</v>
      </c>
      <c r="Y91" s="87">
        <f>'[1]Sheet1'!Z30</f>
        <v>0</v>
      </c>
      <c r="Z91" s="87">
        <f>'[1]Sheet1'!AA30</f>
        <v>0</v>
      </c>
      <c r="AA91" s="87">
        <f>'[1]Sheet1'!AB30</f>
        <v>0</v>
      </c>
      <c r="AB91" s="87">
        <f>'[1]Sheet1'!AC30</f>
        <v>0</v>
      </c>
      <c r="AC91" s="87">
        <f>'[1]Sheet1'!AD30</f>
        <v>0</v>
      </c>
      <c r="AD91" s="87">
        <f>'[1]Sheet1'!AE30</f>
        <v>0</v>
      </c>
      <c r="AE91" s="87">
        <f>'[1]Sheet1'!AF30</f>
        <v>0</v>
      </c>
      <c r="AF91" s="87">
        <f>'[1]Sheet1'!AG30</f>
        <v>0</v>
      </c>
      <c r="AG91" s="87">
        <f>'[1]Sheet1'!AH30</f>
        <v>0</v>
      </c>
      <c r="AH91" s="87">
        <f>'[1]Sheet1'!AI30</f>
        <v>0</v>
      </c>
      <c r="AI91" s="87">
        <f t="shared" si="4"/>
        <v>255.2</v>
      </c>
      <c r="AJ91" s="87">
        <f>'[1]Sheet1'!AK30</f>
        <v>255.2</v>
      </c>
      <c r="AK91" s="85">
        <f t="shared" si="8"/>
        <v>881</v>
      </c>
      <c r="AL91" s="85">
        <f t="shared" si="8"/>
        <v>255.2</v>
      </c>
    </row>
    <row r="92" spans="1:38" ht="16.5" customHeight="1">
      <c r="A92" s="5">
        <v>82</v>
      </c>
      <c r="B92" s="83" t="s">
        <v>174</v>
      </c>
      <c r="C92" s="84">
        <f t="shared" si="6"/>
        <v>7394.1</v>
      </c>
      <c r="D92" s="84">
        <f t="shared" si="6"/>
        <v>7144.951999999999</v>
      </c>
      <c r="E92" s="65">
        <f>'[1]Sheet1'!F33</f>
        <v>5004</v>
      </c>
      <c r="F92" s="65">
        <f>'[1]Sheet1'!G33</f>
        <v>5003.052</v>
      </c>
      <c r="G92" s="65">
        <f>'[1]Sheet1'!H33</f>
        <v>1360.1</v>
      </c>
      <c r="H92" s="65">
        <f>'[1]Sheet1'!I33</f>
        <v>1320.7</v>
      </c>
      <c r="I92" s="65">
        <f>'[1]Sheet1'!J33</f>
        <v>630</v>
      </c>
      <c r="J92" s="65">
        <f>'[1]Sheet1'!K33</f>
        <v>580</v>
      </c>
      <c r="K92" s="65">
        <f>'[1]Sheet1'!L33</f>
        <v>0</v>
      </c>
      <c r="L92" s="65">
        <f>'[1]Sheet1'!M33</f>
        <v>0</v>
      </c>
      <c r="M92" s="65">
        <f>'[1]Sheet1'!N33</f>
        <v>0</v>
      </c>
      <c r="N92" s="65">
        <f>'[1]Sheet1'!O33</f>
        <v>0</v>
      </c>
      <c r="O92" s="65">
        <f>'[1]Sheet1'!P33</f>
        <v>0</v>
      </c>
      <c r="P92" s="65">
        <f>'[1]Sheet1'!Q33</f>
        <v>0</v>
      </c>
      <c r="Q92" s="65">
        <f>'[1]Sheet1'!R33</f>
        <v>0</v>
      </c>
      <c r="R92" s="65">
        <f>'[1]Sheet1'!S33</f>
        <v>0</v>
      </c>
      <c r="S92" s="65">
        <f>'[1]Sheet1'!T33</f>
        <v>0</v>
      </c>
      <c r="T92" s="65">
        <f>'[1]Sheet1'!U33</f>
        <v>0</v>
      </c>
      <c r="U92" s="85">
        <f t="shared" si="7"/>
        <v>6994.1</v>
      </c>
      <c r="V92" s="85">
        <f t="shared" si="7"/>
        <v>6903.7519999999995</v>
      </c>
      <c r="W92" s="87">
        <f>'[1]Sheet1'!X33</f>
        <v>400</v>
      </c>
      <c r="X92" s="87">
        <f>'[1]Sheet1'!Y33</f>
        <v>241.2</v>
      </c>
      <c r="Y92" s="87">
        <f>'[1]Sheet1'!Z33</f>
        <v>0</v>
      </c>
      <c r="Z92" s="87">
        <f>'[1]Sheet1'!AA33</f>
        <v>0</v>
      </c>
      <c r="AA92" s="87">
        <f>'[1]Sheet1'!AB33</f>
        <v>0</v>
      </c>
      <c r="AB92" s="87">
        <f>'[1]Sheet1'!AC33</f>
        <v>0</v>
      </c>
      <c r="AC92" s="87">
        <f>'[1]Sheet1'!AD33</f>
        <v>0</v>
      </c>
      <c r="AD92" s="87">
        <f>'[1]Sheet1'!AE33</f>
        <v>0</v>
      </c>
      <c r="AE92" s="87">
        <f>'[1]Sheet1'!AF33</f>
        <v>0</v>
      </c>
      <c r="AF92" s="87">
        <f>'[1]Sheet1'!AG33</f>
        <v>0</v>
      </c>
      <c r="AG92" s="87">
        <f>'[1]Sheet1'!AH33</f>
        <v>0</v>
      </c>
      <c r="AH92" s="87">
        <f>'[1]Sheet1'!AI33</f>
        <v>0</v>
      </c>
      <c r="AI92" s="87">
        <f t="shared" si="4"/>
        <v>400</v>
      </c>
      <c r="AJ92" s="87">
        <f>'[1]Sheet1'!AK33</f>
        <v>400</v>
      </c>
      <c r="AK92" s="85">
        <f t="shared" si="8"/>
        <v>800</v>
      </c>
      <c r="AL92" s="85">
        <f t="shared" si="8"/>
        <v>641.2</v>
      </c>
    </row>
    <row r="93" spans="1:38" ht="16.5" customHeight="1">
      <c r="A93" s="5">
        <v>83</v>
      </c>
      <c r="B93" s="83" t="s">
        <v>175</v>
      </c>
      <c r="C93" s="84">
        <f t="shared" si="6"/>
        <v>6368</v>
      </c>
      <c r="D93" s="84">
        <f t="shared" si="6"/>
        <v>5040.5</v>
      </c>
      <c r="E93" s="65">
        <f>'[1]Sheet1'!F37</f>
        <v>2760</v>
      </c>
      <c r="F93" s="65">
        <f>'[1]Sheet1'!G37</f>
        <v>2586</v>
      </c>
      <c r="G93" s="65">
        <f>'[1]Sheet1'!H37</f>
        <v>711</v>
      </c>
      <c r="H93" s="65">
        <f>'[1]Sheet1'!I37</f>
        <v>690.5</v>
      </c>
      <c r="I93" s="65">
        <f>'[1]Sheet1'!J37</f>
        <v>1505</v>
      </c>
      <c r="J93" s="65">
        <f>'[1]Sheet1'!K37</f>
        <v>1489</v>
      </c>
      <c r="K93" s="65">
        <f>'[1]Sheet1'!L37</f>
        <v>0</v>
      </c>
      <c r="L93" s="65">
        <f>'[1]Sheet1'!M37</f>
        <v>0</v>
      </c>
      <c r="M93" s="65">
        <f>'[1]Sheet1'!N37</f>
        <v>0</v>
      </c>
      <c r="N93" s="65">
        <f>'[1]Sheet1'!O37</f>
        <v>0</v>
      </c>
      <c r="O93" s="65">
        <f>'[1]Sheet1'!P37</f>
        <v>0</v>
      </c>
      <c r="P93" s="65">
        <f>'[1]Sheet1'!Q37</f>
        <v>0</v>
      </c>
      <c r="Q93" s="65">
        <f>'[1]Sheet1'!R37</f>
        <v>0</v>
      </c>
      <c r="R93" s="65">
        <f>'[1]Sheet1'!S37</f>
        <v>0</v>
      </c>
      <c r="S93" s="65">
        <f>'[1]Sheet1'!T37</f>
        <v>0</v>
      </c>
      <c r="T93" s="65">
        <f>'[1]Sheet1'!U37</f>
        <v>0</v>
      </c>
      <c r="U93" s="85">
        <f t="shared" si="7"/>
        <v>4976</v>
      </c>
      <c r="V93" s="85">
        <f t="shared" si="7"/>
        <v>4765.5</v>
      </c>
      <c r="W93" s="87">
        <f>'[1]Sheet1'!X37</f>
        <v>1392</v>
      </c>
      <c r="X93" s="87">
        <f>'[1]Sheet1'!Y37</f>
        <v>275</v>
      </c>
      <c r="Y93" s="87">
        <f>'[1]Sheet1'!Z37</f>
        <v>0</v>
      </c>
      <c r="Z93" s="87">
        <f>'[1]Sheet1'!AA37</f>
        <v>0</v>
      </c>
      <c r="AA93" s="87">
        <f>'[1]Sheet1'!AB37</f>
        <v>0</v>
      </c>
      <c r="AB93" s="87">
        <f>'[1]Sheet1'!AC37</f>
        <v>0</v>
      </c>
      <c r="AC93" s="87">
        <f>'[1]Sheet1'!AD37</f>
        <v>0</v>
      </c>
      <c r="AD93" s="87">
        <f>'[1]Sheet1'!AE37</f>
        <v>0</v>
      </c>
      <c r="AE93" s="87">
        <f>'[1]Sheet1'!AF37</f>
        <v>0</v>
      </c>
      <c r="AF93" s="87">
        <f>'[1]Sheet1'!AG37</f>
        <v>0</v>
      </c>
      <c r="AG93" s="87">
        <f>'[1]Sheet1'!AH37</f>
        <v>0</v>
      </c>
      <c r="AH93" s="87">
        <f>'[1]Sheet1'!AI37</f>
        <v>0</v>
      </c>
      <c r="AI93" s="87">
        <f aca="true" t="shared" si="9" ref="AI93:AI124">AJ93</f>
        <v>1244</v>
      </c>
      <c r="AJ93" s="87">
        <f>'[1]Sheet1'!AK37</f>
        <v>1244</v>
      </c>
      <c r="AK93" s="85">
        <f t="shared" si="8"/>
        <v>2636</v>
      </c>
      <c r="AL93" s="85">
        <f t="shared" si="8"/>
        <v>1519</v>
      </c>
    </row>
    <row r="94" spans="1:38" ht="16.5" customHeight="1">
      <c r="A94" s="5">
        <v>84</v>
      </c>
      <c r="B94" s="83" t="s">
        <v>176</v>
      </c>
      <c r="C94" s="84">
        <f t="shared" si="6"/>
        <v>5555.744</v>
      </c>
      <c r="D94" s="84">
        <f t="shared" si="6"/>
        <v>5460.01</v>
      </c>
      <c r="E94" s="65">
        <f>'[1]Sheet1'!F38</f>
        <v>3461</v>
      </c>
      <c r="F94" s="65">
        <f>'[1]Sheet1'!G38</f>
        <v>3432.536</v>
      </c>
      <c r="G94" s="65">
        <f>'[1]Sheet1'!H38</f>
        <v>1423</v>
      </c>
      <c r="H94" s="65">
        <f>'[1]Sheet1'!I38</f>
        <v>1409.25</v>
      </c>
      <c r="I94" s="65">
        <f>'[1]Sheet1'!J38</f>
        <v>109.044</v>
      </c>
      <c r="J94" s="65">
        <f>'[1]Sheet1'!K38</f>
        <v>59</v>
      </c>
      <c r="K94" s="65">
        <f>'[1]Sheet1'!L38</f>
        <v>0</v>
      </c>
      <c r="L94" s="65">
        <f>'[1]Sheet1'!M38</f>
        <v>0</v>
      </c>
      <c r="M94" s="65">
        <f>'[1]Sheet1'!N38</f>
        <v>0</v>
      </c>
      <c r="N94" s="65">
        <f>'[1]Sheet1'!O38</f>
        <v>0</v>
      </c>
      <c r="O94" s="65">
        <f>'[1]Sheet1'!P38</f>
        <v>0</v>
      </c>
      <c r="P94" s="65">
        <f>'[1]Sheet1'!Q38</f>
        <v>0</v>
      </c>
      <c r="Q94" s="65">
        <f>'[1]Sheet1'!R38</f>
        <v>0</v>
      </c>
      <c r="R94" s="65">
        <f>'[1]Sheet1'!S38</f>
        <v>0</v>
      </c>
      <c r="S94" s="65">
        <f>'[1]Sheet1'!T38</f>
        <v>0</v>
      </c>
      <c r="T94" s="65">
        <f>'[1]Sheet1'!U38</f>
        <v>0</v>
      </c>
      <c r="U94" s="85">
        <f t="shared" si="7"/>
        <v>4993.044</v>
      </c>
      <c r="V94" s="85">
        <f t="shared" si="7"/>
        <v>4900.786</v>
      </c>
      <c r="W94" s="87">
        <f>'[1]Sheet1'!X38</f>
        <v>812.7</v>
      </c>
      <c r="X94" s="87">
        <f>'[1]Sheet1'!Y38</f>
        <v>559.224</v>
      </c>
      <c r="Y94" s="87">
        <f>'[1]Sheet1'!Z38</f>
        <v>0</v>
      </c>
      <c r="Z94" s="87">
        <f>'[1]Sheet1'!AA38</f>
        <v>0</v>
      </c>
      <c r="AA94" s="87">
        <f>'[1]Sheet1'!AB38</f>
        <v>0</v>
      </c>
      <c r="AB94" s="87">
        <f>'[1]Sheet1'!AC38</f>
        <v>0</v>
      </c>
      <c r="AC94" s="87">
        <f>'[1]Sheet1'!AD38</f>
        <v>-250</v>
      </c>
      <c r="AD94" s="87">
        <f>'[1]Sheet1'!AE38</f>
        <v>0</v>
      </c>
      <c r="AE94" s="87">
        <f>'[1]Sheet1'!AF38</f>
        <v>0</v>
      </c>
      <c r="AF94" s="87">
        <f>'[1]Sheet1'!AG38</f>
        <v>0</v>
      </c>
      <c r="AG94" s="87">
        <f>'[1]Sheet1'!AH38</f>
        <v>0</v>
      </c>
      <c r="AH94" s="87">
        <f>'[1]Sheet1'!AI38</f>
        <v>0</v>
      </c>
      <c r="AI94" s="87">
        <f t="shared" si="9"/>
        <v>260</v>
      </c>
      <c r="AJ94" s="87">
        <f>'[1]Sheet1'!AK38</f>
        <v>260</v>
      </c>
      <c r="AK94" s="85">
        <f t="shared" si="8"/>
        <v>822.7</v>
      </c>
      <c r="AL94" s="85">
        <f t="shared" si="8"/>
        <v>819.224</v>
      </c>
    </row>
    <row r="95" spans="1:38" ht="16.5" customHeight="1">
      <c r="A95" s="5">
        <v>85</v>
      </c>
      <c r="B95" s="83" t="s">
        <v>177</v>
      </c>
      <c r="C95" s="84">
        <f t="shared" si="6"/>
        <v>15442.7</v>
      </c>
      <c r="D95" s="84">
        <f t="shared" si="6"/>
        <v>12336.952</v>
      </c>
      <c r="E95" s="65">
        <f>'[1]Sheet1'!F39</f>
        <v>6588</v>
      </c>
      <c r="F95" s="65">
        <f>'[1]Sheet1'!G39</f>
        <v>6470.076</v>
      </c>
      <c r="G95" s="65">
        <f>'[1]Sheet1'!H39</f>
        <v>1644.2</v>
      </c>
      <c r="H95" s="65">
        <f>'[1]Sheet1'!I39</f>
        <v>1623.276</v>
      </c>
      <c r="I95" s="65">
        <f>'[1]Sheet1'!J39-105</f>
        <v>2587.6</v>
      </c>
      <c r="J95" s="65">
        <f>'[1]Sheet1'!K39-130</f>
        <v>2217.6</v>
      </c>
      <c r="K95" s="65">
        <f>'[1]Sheet1'!L39</f>
        <v>0</v>
      </c>
      <c r="L95" s="65">
        <f>'[1]Sheet1'!M39</f>
        <v>0</v>
      </c>
      <c r="M95" s="65">
        <f>'[1]Sheet1'!N39</f>
        <v>0</v>
      </c>
      <c r="N95" s="65">
        <f>'[1]Sheet1'!O39</f>
        <v>0</v>
      </c>
      <c r="O95" s="65">
        <f>'[1]Sheet1'!P39</f>
        <v>0</v>
      </c>
      <c r="P95" s="65">
        <f>'[1]Sheet1'!Q39</f>
        <v>0</v>
      </c>
      <c r="Q95" s="65">
        <f>'[1]Sheet1'!R39</f>
        <v>0</v>
      </c>
      <c r="R95" s="65">
        <f>'[1]Sheet1'!S39</f>
        <v>0</v>
      </c>
      <c r="S95" s="65">
        <v>0</v>
      </c>
      <c r="T95" s="65">
        <f>'[1]Sheet1'!U39</f>
        <v>14</v>
      </c>
      <c r="U95" s="85">
        <f t="shared" si="7"/>
        <v>10819.800000000001</v>
      </c>
      <c r="V95" s="85">
        <f t="shared" si="7"/>
        <v>10324.952</v>
      </c>
      <c r="W95" s="87">
        <f>'[1]Sheet1'!X39</f>
        <v>6000</v>
      </c>
      <c r="X95" s="87">
        <f>'[1]Sheet1'!Y39</f>
        <v>2012</v>
      </c>
      <c r="Y95" s="87">
        <f>'[1]Sheet1'!Z39</f>
        <v>0</v>
      </c>
      <c r="Z95" s="87">
        <f>'[1]Sheet1'!AA39</f>
        <v>0</v>
      </c>
      <c r="AA95" s="87">
        <f>'[1]Sheet1'!AB39</f>
        <v>0</v>
      </c>
      <c r="AB95" s="87">
        <f>'[1]Sheet1'!AC39</f>
        <v>0</v>
      </c>
      <c r="AC95" s="87">
        <f>'[1]Sheet1'!AD39</f>
        <v>-1377.1</v>
      </c>
      <c r="AD95" s="87">
        <f>'[1]Sheet1'!AE39</f>
        <v>0</v>
      </c>
      <c r="AE95" s="87">
        <f>'[1]Sheet1'!AF39</f>
        <v>0</v>
      </c>
      <c r="AF95" s="87">
        <f>'[1]Sheet1'!AG39</f>
        <v>0</v>
      </c>
      <c r="AG95" s="87">
        <f>'[1]Sheet1'!AH39</f>
        <v>0</v>
      </c>
      <c r="AH95" s="87">
        <f>'[1]Sheet1'!AI39</f>
        <v>0</v>
      </c>
      <c r="AI95" s="87">
        <v>570</v>
      </c>
      <c r="AJ95" s="87">
        <v>130</v>
      </c>
      <c r="AK95" s="85">
        <f t="shared" si="8"/>
        <v>5192.9</v>
      </c>
      <c r="AL95" s="85">
        <f t="shared" si="8"/>
        <v>2142</v>
      </c>
    </row>
    <row r="96" spans="1:38" ht="16.5" customHeight="1">
      <c r="A96" s="5">
        <v>86</v>
      </c>
      <c r="B96" s="83" t="s">
        <v>178</v>
      </c>
      <c r="C96" s="84">
        <f t="shared" si="6"/>
        <v>12873.3</v>
      </c>
      <c r="D96" s="84">
        <f t="shared" si="6"/>
        <v>8561.3</v>
      </c>
      <c r="E96" s="65">
        <f>'[1]Sheet1'!F40</f>
        <v>5302.5</v>
      </c>
      <c r="F96" s="65">
        <f>'[1]Sheet1'!G40</f>
        <v>5219.3</v>
      </c>
      <c r="G96" s="65">
        <f>'[1]Sheet1'!H40</f>
        <v>1250.5</v>
      </c>
      <c r="H96" s="65">
        <f>'[1]Sheet1'!I40</f>
        <v>1241.5</v>
      </c>
      <c r="I96" s="65">
        <f>'[1]Sheet1'!J40</f>
        <v>2733.9</v>
      </c>
      <c r="J96" s="65">
        <f>'[1]Sheet1'!K40</f>
        <v>1750.5</v>
      </c>
      <c r="K96" s="65">
        <f>'[1]Sheet1'!L40</f>
        <v>0</v>
      </c>
      <c r="L96" s="65">
        <f>'[1]Sheet1'!M40</f>
        <v>0</v>
      </c>
      <c r="M96" s="65">
        <f>'[1]Sheet1'!N40</f>
        <v>0</v>
      </c>
      <c r="N96" s="65">
        <f>'[1]Sheet1'!O40</f>
        <v>0</v>
      </c>
      <c r="O96" s="65">
        <f>'[1]Sheet1'!P40</f>
        <v>638.5</v>
      </c>
      <c r="P96" s="65">
        <f>'[1]Sheet1'!Q40</f>
        <v>0</v>
      </c>
      <c r="Q96" s="65">
        <f>'[1]Sheet1'!R40</f>
        <v>200</v>
      </c>
      <c r="R96" s="65">
        <f>'[1]Sheet1'!S40</f>
        <v>200</v>
      </c>
      <c r="S96" s="65">
        <f>'[1]Sheet1'!T40</f>
        <v>150</v>
      </c>
      <c r="T96" s="65">
        <f>'[1]Sheet1'!U40</f>
        <v>0</v>
      </c>
      <c r="U96" s="85">
        <f t="shared" si="7"/>
        <v>10275.4</v>
      </c>
      <c r="V96" s="85">
        <f t="shared" si="7"/>
        <v>8411.3</v>
      </c>
      <c r="W96" s="87">
        <f>'[1]Sheet1'!X40</f>
        <v>4997.9</v>
      </c>
      <c r="X96" s="87">
        <f>'[1]Sheet1'!Y40</f>
        <v>150</v>
      </c>
      <c r="Y96" s="87">
        <f>'[1]Sheet1'!Z40</f>
        <v>0</v>
      </c>
      <c r="Z96" s="87">
        <f>'[1]Sheet1'!AA40</f>
        <v>0</v>
      </c>
      <c r="AA96" s="87">
        <f>'[1]Sheet1'!AB40</f>
        <v>0</v>
      </c>
      <c r="AB96" s="87">
        <f>'[1]Sheet1'!AC40</f>
        <v>0</v>
      </c>
      <c r="AC96" s="87">
        <f>'[1]Sheet1'!AD40</f>
        <v>-2400</v>
      </c>
      <c r="AD96" s="87">
        <f>'[1]Sheet1'!AE40</f>
        <v>0</v>
      </c>
      <c r="AE96" s="87">
        <f>'[1]Sheet1'!AF40</f>
        <v>0</v>
      </c>
      <c r="AF96" s="87">
        <f>'[1]Sheet1'!AG40</f>
        <v>0</v>
      </c>
      <c r="AG96" s="87">
        <f>'[1]Sheet1'!AH40</f>
        <v>0</v>
      </c>
      <c r="AH96" s="87">
        <f>'[1]Sheet1'!AI40</f>
        <v>0</v>
      </c>
      <c r="AI96" s="87">
        <f t="shared" si="9"/>
        <v>1100</v>
      </c>
      <c r="AJ96" s="87">
        <f>'[1]Sheet1'!AK40</f>
        <v>1100</v>
      </c>
      <c r="AK96" s="85">
        <f t="shared" si="8"/>
        <v>3697.8999999999996</v>
      </c>
      <c r="AL96" s="85">
        <f t="shared" si="8"/>
        <v>1250</v>
      </c>
    </row>
    <row r="97" spans="1:38" ht="16.5" customHeight="1">
      <c r="A97" s="5">
        <v>87</v>
      </c>
      <c r="B97" s="83" t="s">
        <v>179</v>
      </c>
      <c r="C97" s="84">
        <f t="shared" si="6"/>
        <v>5549.4</v>
      </c>
      <c r="D97" s="84">
        <f t="shared" si="6"/>
        <v>4920.8</v>
      </c>
      <c r="E97" s="65">
        <f>'[1]Sheet1'!F42</f>
        <v>3892</v>
      </c>
      <c r="F97" s="65">
        <f>'[1]Sheet1'!G42</f>
        <v>3749.7</v>
      </c>
      <c r="G97" s="65">
        <f>'[1]Sheet1'!H42</f>
        <v>969.2</v>
      </c>
      <c r="H97" s="65">
        <f>'[1]Sheet1'!I42</f>
        <v>969.1</v>
      </c>
      <c r="I97" s="65">
        <f>'[1]Sheet1'!J42</f>
        <v>182</v>
      </c>
      <c r="J97" s="65">
        <f>'[1]Sheet1'!K42</f>
        <v>162</v>
      </c>
      <c r="K97" s="65">
        <f>'[1]Sheet1'!L42</f>
        <v>0</v>
      </c>
      <c r="L97" s="65">
        <f>'[1]Sheet1'!M42</f>
        <v>0</v>
      </c>
      <c r="M97" s="65">
        <f>'[1]Sheet1'!N42</f>
        <v>0</v>
      </c>
      <c r="N97" s="65">
        <f>'[1]Sheet1'!O42</f>
        <v>0</v>
      </c>
      <c r="O97" s="65">
        <f>'[1]Sheet1'!P42</f>
        <v>0</v>
      </c>
      <c r="P97" s="65">
        <f>'[1]Sheet1'!Q42</f>
        <v>0</v>
      </c>
      <c r="Q97" s="65">
        <f>'[1]Sheet1'!R42</f>
        <v>0</v>
      </c>
      <c r="R97" s="65">
        <f>'[1]Sheet1'!S42</f>
        <v>0</v>
      </c>
      <c r="S97" s="65">
        <f>'[1]Sheet1'!T42</f>
        <v>40</v>
      </c>
      <c r="T97" s="65">
        <f>'[1]Sheet1'!U42</f>
        <v>40</v>
      </c>
      <c r="U97" s="85">
        <f t="shared" si="7"/>
        <v>5083.2</v>
      </c>
      <c r="V97" s="85">
        <f t="shared" si="7"/>
        <v>4920.8</v>
      </c>
      <c r="W97" s="87">
        <f>'[1]Sheet1'!X42</f>
        <v>766.2</v>
      </c>
      <c r="X97" s="87">
        <f>'[1]Sheet1'!Y42</f>
        <v>0</v>
      </c>
      <c r="Y97" s="87">
        <f>'[1]Sheet1'!Z42</f>
        <v>0</v>
      </c>
      <c r="Z97" s="87">
        <f>'[1]Sheet1'!AA42</f>
        <v>0</v>
      </c>
      <c r="AA97" s="87">
        <f>'[1]Sheet1'!AB42</f>
        <v>0</v>
      </c>
      <c r="AB97" s="87">
        <f>'[1]Sheet1'!AC42</f>
        <v>0</v>
      </c>
      <c r="AC97" s="87">
        <f>'[1]Sheet1'!AD42</f>
        <v>-300</v>
      </c>
      <c r="AD97" s="87">
        <f>'[1]Sheet1'!AE42</f>
        <v>0</v>
      </c>
      <c r="AE97" s="87">
        <f>'[1]Sheet1'!AF42</f>
        <v>0</v>
      </c>
      <c r="AF97" s="87">
        <f>'[1]Sheet1'!AG42</f>
        <v>0</v>
      </c>
      <c r="AG97" s="87">
        <f>'[1]Sheet1'!AH42</f>
        <v>0</v>
      </c>
      <c r="AH97" s="87">
        <f>'[1]Sheet1'!AI42</f>
        <v>0</v>
      </c>
      <c r="AI97" s="87">
        <f t="shared" si="9"/>
        <v>240</v>
      </c>
      <c r="AJ97" s="87">
        <f>'[1]Sheet1'!AK42</f>
        <v>240</v>
      </c>
      <c r="AK97" s="85">
        <f t="shared" si="8"/>
        <v>706.2</v>
      </c>
      <c r="AL97" s="85">
        <f t="shared" si="8"/>
        <v>240</v>
      </c>
    </row>
    <row r="98" spans="1:38" ht="16.5" customHeight="1">
      <c r="A98" s="5">
        <v>88</v>
      </c>
      <c r="B98" s="83" t="s">
        <v>180</v>
      </c>
      <c r="C98" s="84">
        <f t="shared" si="6"/>
        <v>8795.5</v>
      </c>
      <c r="D98" s="84">
        <f t="shared" si="6"/>
        <v>7130.609</v>
      </c>
      <c r="E98" s="65">
        <f>'[1]Sheet1'!F45</f>
        <v>5040</v>
      </c>
      <c r="F98" s="65">
        <f>'[1]Sheet1'!G45</f>
        <v>5024.889</v>
      </c>
      <c r="G98" s="65">
        <f>'[1]Sheet1'!H45</f>
        <v>1126.1</v>
      </c>
      <c r="H98" s="65">
        <f>'[1]Sheet1'!I45</f>
        <v>1116.75</v>
      </c>
      <c r="I98" s="65">
        <f>'[1]Sheet1'!J45</f>
        <v>1569</v>
      </c>
      <c r="J98" s="65">
        <f>'[1]Sheet1'!K45</f>
        <v>1033.97</v>
      </c>
      <c r="K98" s="65">
        <f>'[1]Sheet1'!L45</f>
        <v>0</v>
      </c>
      <c r="L98" s="65">
        <f>'[1]Sheet1'!M45</f>
        <v>0</v>
      </c>
      <c r="M98" s="65">
        <f>'[1]Sheet1'!N45</f>
        <v>0</v>
      </c>
      <c r="N98" s="65">
        <f>'[1]Sheet1'!O45</f>
        <v>0</v>
      </c>
      <c r="O98" s="65">
        <f>'[1]Sheet1'!P45</f>
        <v>0</v>
      </c>
      <c r="P98" s="65">
        <f>'[1]Sheet1'!Q45</f>
        <v>0</v>
      </c>
      <c r="Q98" s="65">
        <f>'[1]Sheet1'!R45</f>
        <v>436</v>
      </c>
      <c r="R98" s="65">
        <f>'[1]Sheet1'!S45</f>
        <v>436</v>
      </c>
      <c r="S98" s="65">
        <f>'[1]Sheet1'!T45</f>
        <v>30</v>
      </c>
      <c r="T98" s="65">
        <f>'[1]Sheet1'!U45</f>
        <v>10</v>
      </c>
      <c r="U98" s="85">
        <f t="shared" si="7"/>
        <v>8201.1</v>
      </c>
      <c r="V98" s="85">
        <f t="shared" si="7"/>
        <v>7621.609</v>
      </c>
      <c r="W98" s="87">
        <f>'[1]Sheet1'!X45</f>
        <v>1454.4</v>
      </c>
      <c r="X98" s="87">
        <f>'[1]Sheet1'!Y45</f>
        <v>0</v>
      </c>
      <c r="Y98" s="87">
        <f>'[1]Sheet1'!Z45</f>
        <v>0</v>
      </c>
      <c r="Z98" s="87">
        <f>'[1]Sheet1'!AA45</f>
        <v>0</v>
      </c>
      <c r="AA98" s="87">
        <f>'[1]Sheet1'!AB45</f>
        <v>0</v>
      </c>
      <c r="AB98" s="87">
        <f>'[1]Sheet1'!AC45</f>
        <v>0</v>
      </c>
      <c r="AC98" s="87">
        <f>'[1]Sheet1'!AD45</f>
        <v>-860</v>
      </c>
      <c r="AD98" s="87">
        <f>'[1]Sheet1'!AE45</f>
        <v>0</v>
      </c>
      <c r="AE98" s="87">
        <f>'[1]Sheet1'!AF45</f>
        <v>0</v>
      </c>
      <c r="AF98" s="87">
        <f>'[1]Sheet1'!AG45</f>
        <v>-491</v>
      </c>
      <c r="AG98" s="87">
        <f>'[1]Sheet1'!AH45</f>
        <v>0</v>
      </c>
      <c r="AH98" s="87">
        <f>'[1]Sheet1'!AI45</f>
        <v>0</v>
      </c>
      <c r="AI98" s="87">
        <f t="shared" si="9"/>
        <v>484.1</v>
      </c>
      <c r="AJ98" s="87">
        <f>'[1]Sheet1'!AK45</f>
        <v>484.1</v>
      </c>
      <c r="AK98" s="85">
        <f t="shared" si="8"/>
        <v>1078.5</v>
      </c>
      <c r="AL98" s="85">
        <f t="shared" si="8"/>
        <v>-6.899999999999977</v>
      </c>
    </row>
    <row r="99" spans="1:38" ht="16.5" customHeight="1">
      <c r="A99" s="5">
        <v>89</v>
      </c>
      <c r="B99" s="83" t="s">
        <v>181</v>
      </c>
      <c r="C99" s="84">
        <f t="shared" si="6"/>
        <v>11657.500000000002</v>
      </c>
      <c r="D99" s="84">
        <f t="shared" si="6"/>
        <v>8512.777</v>
      </c>
      <c r="E99" s="65">
        <f>'[1]Sheet1'!F47</f>
        <v>5280</v>
      </c>
      <c r="F99" s="65">
        <f>'[1]Sheet1'!G47</f>
        <v>5255.947</v>
      </c>
      <c r="G99" s="65">
        <f>'[1]Sheet1'!H47</f>
        <v>1272</v>
      </c>
      <c r="H99" s="65">
        <f>'[1]Sheet1'!I47</f>
        <v>1268.391</v>
      </c>
      <c r="I99" s="65">
        <f>'[1]Sheet1'!J47</f>
        <v>2266.9</v>
      </c>
      <c r="J99" s="65">
        <f>'[1]Sheet1'!K47</f>
        <v>1182.017</v>
      </c>
      <c r="K99" s="65">
        <f>'[1]Sheet1'!L47</f>
        <v>0</v>
      </c>
      <c r="L99" s="65">
        <f>'[1]Sheet1'!M47</f>
        <v>0</v>
      </c>
      <c r="M99" s="65">
        <f>'[1]Sheet1'!N47</f>
        <v>0</v>
      </c>
      <c r="N99" s="65">
        <f>'[1]Sheet1'!O47</f>
        <v>0</v>
      </c>
      <c r="O99" s="65">
        <f>'[1]Sheet1'!P47</f>
        <v>0</v>
      </c>
      <c r="P99" s="65">
        <f>'[1]Sheet1'!Q47</f>
        <v>0</v>
      </c>
      <c r="Q99" s="65">
        <f>'[1]Sheet1'!R47</f>
        <v>0</v>
      </c>
      <c r="R99" s="65">
        <f>'[1]Sheet1'!S47</f>
        <v>0</v>
      </c>
      <c r="S99" s="65">
        <f>'[1]Sheet1'!T47</f>
        <v>166.7</v>
      </c>
      <c r="T99" s="65">
        <f>'[1]Sheet1'!U47</f>
        <v>100</v>
      </c>
      <c r="U99" s="85">
        <f t="shared" si="7"/>
        <v>8985.6</v>
      </c>
      <c r="V99" s="85">
        <f t="shared" si="7"/>
        <v>7806.355</v>
      </c>
      <c r="W99" s="87">
        <f>'[1]Sheet1'!X47</f>
        <v>2671.9</v>
      </c>
      <c r="X99" s="87">
        <f>'[1]Sheet1'!Y47</f>
        <v>706.422</v>
      </c>
      <c r="Y99" s="87">
        <f>'[1]Sheet1'!Z47</f>
        <v>0</v>
      </c>
      <c r="Z99" s="87">
        <f>'[1]Sheet1'!AA47</f>
        <v>0</v>
      </c>
      <c r="AA99" s="87">
        <f>'[1]Sheet1'!AB47</f>
        <v>0</v>
      </c>
      <c r="AB99" s="87">
        <f>'[1]Sheet1'!AC47</f>
        <v>0</v>
      </c>
      <c r="AC99" s="87">
        <f>'[1]Sheet1'!AD47</f>
        <v>0</v>
      </c>
      <c r="AD99" s="87">
        <f>'[1]Sheet1'!AE47</f>
        <v>0</v>
      </c>
      <c r="AE99" s="87">
        <f>'[1]Sheet1'!AF47</f>
        <v>0</v>
      </c>
      <c r="AF99" s="87">
        <f>'[1]Sheet1'!AG47</f>
        <v>0</v>
      </c>
      <c r="AG99" s="87">
        <f>'[1]Sheet1'!AH47</f>
        <v>0</v>
      </c>
      <c r="AH99" s="87">
        <f>'[1]Sheet1'!AI47</f>
        <v>0</v>
      </c>
      <c r="AI99" s="87">
        <f t="shared" si="9"/>
        <v>952.4</v>
      </c>
      <c r="AJ99" s="87">
        <f>'[1]Sheet1'!AK47</f>
        <v>952.4</v>
      </c>
      <c r="AK99" s="85">
        <f t="shared" si="8"/>
        <v>3624.3</v>
      </c>
      <c r="AL99" s="85">
        <f t="shared" si="8"/>
        <v>1658.8220000000001</v>
      </c>
    </row>
    <row r="100" spans="1:38" ht="16.5" customHeight="1">
      <c r="A100" s="5">
        <v>90</v>
      </c>
      <c r="B100" s="83" t="s">
        <v>182</v>
      </c>
      <c r="C100" s="84">
        <f t="shared" si="6"/>
        <v>10258.7</v>
      </c>
      <c r="D100" s="84">
        <f t="shared" si="6"/>
        <v>7884.114000000001</v>
      </c>
      <c r="E100" s="65">
        <f>'[1]Sheet1'!F48</f>
        <v>5160</v>
      </c>
      <c r="F100" s="65">
        <f>'[1]Sheet1'!G48</f>
        <v>4841.655</v>
      </c>
      <c r="G100" s="65">
        <f>'[1]Sheet1'!H48</f>
        <v>1223.5</v>
      </c>
      <c r="H100" s="65">
        <f>'[1]Sheet1'!I48</f>
        <v>1157.489</v>
      </c>
      <c r="I100" s="65">
        <f>'[1]Sheet1'!J48</f>
        <v>1270</v>
      </c>
      <c r="J100" s="65">
        <f>'[1]Sheet1'!K48</f>
        <v>1119.97</v>
      </c>
      <c r="K100" s="65">
        <f>'[1]Sheet1'!L48</f>
        <v>0</v>
      </c>
      <c r="L100" s="65">
        <f>'[1]Sheet1'!M48</f>
        <v>0</v>
      </c>
      <c r="M100" s="65">
        <f>'[1]Sheet1'!N48</f>
        <v>0</v>
      </c>
      <c r="N100" s="65">
        <f>'[1]Sheet1'!O48</f>
        <v>0</v>
      </c>
      <c r="O100" s="65">
        <f>'[1]Sheet1'!P48</f>
        <v>0</v>
      </c>
      <c r="P100" s="65">
        <f>'[1]Sheet1'!Q48</f>
        <v>0</v>
      </c>
      <c r="Q100" s="65">
        <f>'[1]Sheet1'!R48</f>
        <v>0</v>
      </c>
      <c r="R100" s="65">
        <f>'[1]Sheet1'!S48</f>
        <v>0</v>
      </c>
      <c r="S100" s="65">
        <f>'[1]Sheet1'!T48</f>
        <v>65</v>
      </c>
      <c r="T100" s="65">
        <f>'[1]Sheet1'!U48</f>
        <v>65</v>
      </c>
      <c r="U100" s="85">
        <f t="shared" si="7"/>
        <v>7718.5</v>
      </c>
      <c r="V100" s="85">
        <f t="shared" si="7"/>
        <v>7184.1140000000005</v>
      </c>
      <c r="W100" s="87">
        <f>'[1]Sheet1'!X48</f>
        <v>2540.2</v>
      </c>
      <c r="X100" s="87">
        <f>'[1]Sheet1'!Y48</f>
        <v>700</v>
      </c>
      <c r="Y100" s="87">
        <f>'[1]Sheet1'!Z48</f>
        <v>0</v>
      </c>
      <c r="Z100" s="87">
        <f>'[1]Sheet1'!AA48</f>
        <v>0</v>
      </c>
      <c r="AA100" s="87">
        <f>'[1]Sheet1'!AB48</f>
        <v>0</v>
      </c>
      <c r="AB100" s="87">
        <f>'[1]Sheet1'!AC48</f>
        <v>0</v>
      </c>
      <c r="AC100" s="87">
        <f>'[1]Sheet1'!AD48</f>
        <v>0</v>
      </c>
      <c r="AD100" s="87">
        <f>'[1]Sheet1'!AE48</f>
        <v>0</v>
      </c>
      <c r="AE100" s="87">
        <f>'[1]Sheet1'!AF48</f>
        <v>0</v>
      </c>
      <c r="AF100" s="87">
        <f>'[1]Sheet1'!AG48</f>
        <v>0</v>
      </c>
      <c r="AG100" s="87">
        <f>'[1]Sheet1'!AH48</f>
        <v>0</v>
      </c>
      <c r="AH100" s="87">
        <f>'[1]Sheet1'!AI48</f>
        <v>0</v>
      </c>
      <c r="AI100" s="87">
        <f t="shared" si="9"/>
        <v>450</v>
      </c>
      <c r="AJ100" s="87">
        <f>'[1]Sheet1'!AK48</f>
        <v>450</v>
      </c>
      <c r="AK100" s="85">
        <f t="shared" si="8"/>
        <v>2990.2</v>
      </c>
      <c r="AL100" s="85">
        <f t="shared" si="8"/>
        <v>1150</v>
      </c>
    </row>
    <row r="101" spans="1:38" ht="16.5" customHeight="1">
      <c r="A101" s="5">
        <v>91</v>
      </c>
      <c r="B101" s="83" t="s">
        <v>183</v>
      </c>
      <c r="C101" s="84">
        <f t="shared" si="6"/>
        <v>116058.9</v>
      </c>
      <c r="D101" s="84">
        <f t="shared" si="6"/>
        <v>103156.68000000001</v>
      </c>
      <c r="E101" s="65">
        <f>'[1]Sheet1'!F7</f>
        <v>60460</v>
      </c>
      <c r="F101" s="65">
        <f>'[1]Sheet1'!G7</f>
        <v>57587.868</v>
      </c>
      <c r="G101" s="65">
        <f>'[1]Sheet1'!H7</f>
        <v>14952</v>
      </c>
      <c r="H101" s="65">
        <f>'[1]Sheet1'!I7</f>
        <v>13822.095</v>
      </c>
      <c r="I101" s="65">
        <f>'[1]Sheet1'!J7</f>
        <v>29199</v>
      </c>
      <c r="J101" s="65">
        <f>'[1]Sheet1'!K7</f>
        <v>22188.344</v>
      </c>
      <c r="K101" s="65">
        <f>'[1]Sheet1'!L7</f>
        <v>0</v>
      </c>
      <c r="L101" s="65">
        <f>'[1]Sheet1'!M7</f>
        <v>0</v>
      </c>
      <c r="M101" s="65">
        <f>'[1]Sheet1'!N7</f>
        <v>0</v>
      </c>
      <c r="N101" s="65">
        <f>'[1]Sheet1'!O7</f>
        <v>0</v>
      </c>
      <c r="O101" s="65">
        <f>'[1]Sheet1'!P7</f>
        <v>2000</v>
      </c>
      <c r="P101" s="65">
        <f>'[1]Sheet1'!Q7</f>
        <v>2000</v>
      </c>
      <c r="Q101" s="65">
        <f>'[1]Sheet1'!R7</f>
        <v>1100</v>
      </c>
      <c r="R101" s="65">
        <f>'[1]Sheet1'!S7</f>
        <v>1100</v>
      </c>
      <c r="S101" s="65">
        <f>'[1]Sheet1'!T7</f>
        <v>700</v>
      </c>
      <c r="T101" s="65">
        <f>'[1]Sheet1'!U7</f>
        <v>557.21</v>
      </c>
      <c r="U101" s="85">
        <f t="shared" si="7"/>
        <v>108411</v>
      </c>
      <c r="V101" s="85">
        <f t="shared" si="7"/>
        <v>97255.517</v>
      </c>
      <c r="W101" s="87">
        <f>'[1]Sheet1'!X7</f>
        <v>13647.9</v>
      </c>
      <c r="X101" s="87">
        <f>'[1]Sheet1'!Y7</f>
        <v>10695.271</v>
      </c>
      <c r="Y101" s="87">
        <f>'[1]Sheet1'!Z7</f>
        <v>0</v>
      </c>
      <c r="Z101" s="87">
        <f>'[1]Sheet1'!AA7</f>
        <v>0</v>
      </c>
      <c r="AA101" s="87">
        <f>'[1]Sheet1'!AB7</f>
        <v>0</v>
      </c>
      <c r="AB101" s="87">
        <f>'[1]Sheet1'!AC7</f>
        <v>0</v>
      </c>
      <c r="AC101" s="87">
        <f>'[1]Sheet1'!AD7</f>
        <v>-6000</v>
      </c>
      <c r="AD101" s="87">
        <f>'[1]Sheet1'!AE7</f>
        <v>-298</v>
      </c>
      <c r="AE101" s="87">
        <f>'[1]Sheet1'!AF7</f>
        <v>0</v>
      </c>
      <c r="AF101" s="87">
        <f>'[1]Sheet1'!AG7</f>
        <v>-4496.108</v>
      </c>
      <c r="AG101" s="87">
        <f>'[1]Sheet1'!AH7</f>
        <v>0</v>
      </c>
      <c r="AH101" s="87">
        <f>'[1]Sheet1'!AI7</f>
        <v>0</v>
      </c>
      <c r="AI101" s="87">
        <f t="shared" si="9"/>
        <v>5400</v>
      </c>
      <c r="AJ101" s="87">
        <f>'[1]Sheet1'!AK7</f>
        <v>5400</v>
      </c>
      <c r="AK101" s="85">
        <f t="shared" si="8"/>
        <v>13047.9</v>
      </c>
      <c r="AL101" s="85">
        <f t="shared" si="8"/>
        <v>11301.163</v>
      </c>
    </row>
    <row r="102" spans="1:38" ht="16.5" customHeight="1">
      <c r="A102" s="5">
        <v>92</v>
      </c>
      <c r="B102" s="83" t="s">
        <v>184</v>
      </c>
      <c r="C102" s="84">
        <f t="shared" si="6"/>
        <v>5622.5</v>
      </c>
      <c r="D102" s="84">
        <f t="shared" si="6"/>
        <v>2898.7569999999996</v>
      </c>
      <c r="E102" s="65">
        <f>'[1]Sheet1'!F50</f>
        <v>2280</v>
      </c>
      <c r="F102" s="65">
        <f>'[1]Sheet1'!G50</f>
        <v>2139.267</v>
      </c>
      <c r="G102" s="65">
        <f>'[1]Sheet1'!H50</f>
        <v>534</v>
      </c>
      <c r="H102" s="65">
        <f>'[1]Sheet1'!I50</f>
        <v>500.89</v>
      </c>
      <c r="I102" s="65">
        <f>'[1]Sheet1'!J50</f>
        <v>1506</v>
      </c>
      <c r="J102" s="65">
        <f>'[1]Sheet1'!K50</f>
        <v>258.6</v>
      </c>
      <c r="K102" s="65">
        <f>'[1]Sheet1'!L50</f>
        <v>0</v>
      </c>
      <c r="L102" s="65">
        <f>'[1]Sheet1'!M50</f>
        <v>0</v>
      </c>
      <c r="M102" s="65">
        <f>'[1]Sheet1'!N50</f>
        <v>0</v>
      </c>
      <c r="N102" s="65">
        <f>'[1]Sheet1'!O50</f>
        <v>0</v>
      </c>
      <c r="O102" s="65">
        <f>'[1]Sheet1'!P50</f>
        <v>0</v>
      </c>
      <c r="P102" s="65">
        <f>'[1]Sheet1'!Q50</f>
        <v>0</v>
      </c>
      <c r="Q102" s="65">
        <f>'[1]Sheet1'!R50</f>
        <v>0</v>
      </c>
      <c r="R102" s="65">
        <f>'[1]Sheet1'!S50</f>
        <v>0</v>
      </c>
      <c r="S102" s="65">
        <f>'[1]Sheet1'!T50</f>
        <v>0</v>
      </c>
      <c r="T102" s="65">
        <f>'[1]Sheet1'!U50</f>
        <v>0</v>
      </c>
      <c r="U102" s="85">
        <f t="shared" si="7"/>
        <v>4320</v>
      </c>
      <c r="V102" s="85">
        <f t="shared" si="7"/>
        <v>2898.7569999999996</v>
      </c>
      <c r="W102" s="87">
        <f>'[1]Sheet1'!X50</f>
        <v>1302.5</v>
      </c>
      <c r="X102" s="87">
        <f>'[1]Sheet1'!Y50</f>
        <v>0</v>
      </c>
      <c r="Y102" s="87">
        <f>'[1]Sheet1'!Z50</f>
        <v>0</v>
      </c>
      <c r="Z102" s="87">
        <f>'[1]Sheet1'!AA50</f>
        <v>0</v>
      </c>
      <c r="AA102" s="87">
        <f>'[1]Sheet1'!AB50</f>
        <v>0</v>
      </c>
      <c r="AB102" s="87">
        <f>'[1]Sheet1'!AC50</f>
        <v>0</v>
      </c>
      <c r="AC102" s="87">
        <f>'[1]Sheet1'!AD50</f>
        <v>0</v>
      </c>
      <c r="AD102" s="87">
        <f>'[1]Sheet1'!AE50</f>
        <v>0</v>
      </c>
      <c r="AE102" s="87">
        <f>'[1]Sheet1'!AF50</f>
        <v>0</v>
      </c>
      <c r="AF102" s="87">
        <f>'[1]Sheet1'!AG50</f>
        <v>0</v>
      </c>
      <c r="AG102" s="87">
        <f>'[1]Sheet1'!AH50</f>
        <v>0</v>
      </c>
      <c r="AH102" s="87">
        <f>'[1]Sheet1'!AI50</f>
        <v>0</v>
      </c>
      <c r="AI102" s="87">
        <f t="shared" si="9"/>
        <v>645</v>
      </c>
      <c r="AJ102" s="87">
        <f>'[1]Sheet1'!AK50</f>
        <v>645</v>
      </c>
      <c r="AK102" s="85">
        <f t="shared" si="8"/>
        <v>1947.5</v>
      </c>
      <c r="AL102" s="85">
        <f t="shared" si="8"/>
        <v>645</v>
      </c>
    </row>
    <row r="103" spans="1:38" ht="16.5" customHeight="1">
      <c r="A103" s="5">
        <v>93</v>
      </c>
      <c r="B103" s="83" t="s">
        <v>185</v>
      </c>
      <c r="C103" s="84">
        <f t="shared" si="6"/>
        <v>16008</v>
      </c>
      <c r="D103" s="84">
        <f t="shared" si="6"/>
        <v>11729.657</v>
      </c>
      <c r="E103" s="65">
        <f>'[1]Sheet1'!F51</f>
        <v>8580</v>
      </c>
      <c r="F103" s="65">
        <f>'[1]Sheet1'!G51</f>
        <v>8222.873</v>
      </c>
      <c r="G103" s="65">
        <f>'[1]Sheet1'!H51</f>
        <v>1803</v>
      </c>
      <c r="H103" s="65">
        <f>'[1]Sheet1'!I51</f>
        <v>1724.784</v>
      </c>
      <c r="I103" s="65">
        <f>'[1]Sheet1'!J51</f>
        <v>2481.2</v>
      </c>
      <c r="J103" s="65">
        <f>'[1]Sheet1'!K51</f>
        <v>1209.6</v>
      </c>
      <c r="K103" s="65">
        <f>'[1]Sheet1'!L51</f>
        <v>0</v>
      </c>
      <c r="L103" s="65">
        <f>'[1]Sheet1'!M51</f>
        <v>0</v>
      </c>
      <c r="M103" s="65">
        <f>'[1]Sheet1'!N51</f>
        <v>0</v>
      </c>
      <c r="N103" s="65">
        <f>'[1]Sheet1'!O51</f>
        <v>0</v>
      </c>
      <c r="O103" s="65">
        <f>'[1]Sheet1'!P51</f>
        <v>300</v>
      </c>
      <c r="P103" s="65">
        <f>'[1]Sheet1'!Q51</f>
        <v>300</v>
      </c>
      <c r="Q103" s="65">
        <f>'[1]Sheet1'!R51</f>
        <v>200</v>
      </c>
      <c r="R103" s="65">
        <f>'[1]Sheet1'!S51</f>
        <v>200</v>
      </c>
      <c r="S103" s="65">
        <f>'[1]Sheet1'!T51</f>
        <v>110</v>
      </c>
      <c r="T103" s="65">
        <f>'[1]Sheet1'!U51</f>
        <v>72.4</v>
      </c>
      <c r="U103" s="85">
        <f t="shared" si="7"/>
        <v>13474.2</v>
      </c>
      <c r="V103" s="85">
        <f t="shared" si="7"/>
        <v>11729.657</v>
      </c>
      <c r="W103" s="87">
        <f>'[1]Sheet1'!X51</f>
        <v>4733.8</v>
      </c>
      <c r="X103" s="87">
        <f>'[1]Sheet1'!Y51</f>
        <v>0</v>
      </c>
      <c r="Y103" s="87">
        <f>'[1]Sheet1'!Z51</f>
        <v>0</v>
      </c>
      <c r="Z103" s="87">
        <f>'[1]Sheet1'!AA51</f>
        <v>0</v>
      </c>
      <c r="AA103" s="87">
        <f>'[1]Sheet1'!AB51</f>
        <v>0</v>
      </c>
      <c r="AB103" s="87">
        <f>'[1]Sheet1'!AC51</f>
        <v>0</v>
      </c>
      <c r="AC103" s="87">
        <f>'[1]Sheet1'!AD51</f>
        <v>-2200</v>
      </c>
      <c r="AD103" s="87">
        <f>'[1]Sheet1'!AE51</f>
        <v>0</v>
      </c>
      <c r="AE103" s="87">
        <f>'[1]Sheet1'!AF51</f>
        <v>0</v>
      </c>
      <c r="AF103" s="87">
        <f>'[1]Sheet1'!AG51</f>
        <v>0</v>
      </c>
      <c r="AG103" s="87">
        <f>'[1]Sheet1'!AH51</f>
        <v>0</v>
      </c>
      <c r="AH103" s="87">
        <f>'[1]Sheet1'!AI51</f>
        <v>0</v>
      </c>
      <c r="AI103" s="87">
        <f t="shared" si="9"/>
        <v>1020</v>
      </c>
      <c r="AJ103" s="87">
        <f>'[1]Sheet1'!AK51</f>
        <v>1020</v>
      </c>
      <c r="AK103" s="85">
        <f t="shared" si="8"/>
        <v>3553.8</v>
      </c>
      <c r="AL103" s="85">
        <f t="shared" si="8"/>
        <v>1020</v>
      </c>
    </row>
    <row r="104" spans="1:38" ht="16.5" customHeight="1">
      <c r="A104" s="5">
        <v>94</v>
      </c>
      <c r="B104" s="83" t="s">
        <v>186</v>
      </c>
      <c r="C104" s="84">
        <f t="shared" si="6"/>
        <v>9419.5</v>
      </c>
      <c r="D104" s="84">
        <f t="shared" si="6"/>
        <v>8091.116</v>
      </c>
      <c r="E104" s="65">
        <f>'[1]Sheet1'!F55</f>
        <v>4620</v>
      </c>
      <c r="F104" s="65">
        <f>'[1]Sheet1'!G55</f>
        <v>4331.663</v>
      </c>
      <c r="G104" s="65">
        <f>'[1]Sheet1'!H55</f>
        <v>1172</v>
      </c>
      <c r="H104" s="65">
        <f>'[1]Sheet1'!I55</f>
        <v>1171.353</v>
      </c>
      <c r="I104" s="65">
        <f>'[1]Sheet1'!J55</f>
        <v>1988</v>
      </c>
      <c r="J104" s="65">
        <f>'[1]Sheet1'!K55</f>
        <v>1813.1</v>
      </c>
      <c r="K104" s="65">
        <f>'[1]Sheet1'!L55</f>
        <v>0</v>
      </c>
      <c r="L104" s="65">
        <f>'[1]Sheet1'!M55</f>
        <v>0</v>
      </c>
      <c r="M104" s="65">
        <f>'[1]Sheet1'!N55</f>
        <v>0</v>
      </c>
      <c r="N104" s="65">
        <f>'[1]Sheet1'!O55</f>
        <v>0</v>
      </c>
      <c r="O104" s="65">
        <f>'[1]Sheet1'!P55</f>
        <v>0</v>
      </c>
      <c r="P104" s="65">
        <f>'[1]Sheet1'!Q55</f>
        <v>0</v>
      </c>
      <c r="Q104" s="65">
        <f>'[1]Sheet1'!R55</f>
        <v>400</v>
      </c>
      <c r="R104" s="65">
        <f>'[1]Sheet1'!S55</f>
        <v>400</v>
      </c>
      <c r="S104" s="65">
        <f>'[1]Sheet1'!T55</f>
        <v>40</v>
      </c>
      <c r="T104" s="65">
        <f>'[1]Sheet1'!U55</f>
        <v>25</v>
      </c>
      <c r="U104" s="85">
        <f t="shared" si="7"/>
        <v>8220</v>
      </c>
      <c r="V104" s="85">
        <f t="shared" si="7"/>
        <v>7741.116</v>
      </c>
      <c r="W104" s="87">
        <f>'[1]Sheet1'!X55</f>
        <v>1699.5</v>
      </c>
      <c r="X104" s="87">
        <f>'[1]Sheet1'!Y55</f>
        <v>350</v>
      </c>
      <c r="Y104" s="87">
        <f>'[1]Sheet1'!Z55</f>
        <v>0</v>
      </c>
      <c r="Z104" s="87">
        <f>'[1]Sheet1'!AA55</f>
        <v>0</v>
      </c>
      <c r="AA104" s="87">
        <f>'[1]Sheet1'!AB55</f>
        <v>0</v>
      </c>
      <c r="AB104" s="87">
        <f>'[1]Sheet1'!AC55</f>
        <v>0</v>
      </c>
      <c r="AC104" s="87">
        <f>'[1]Sheet1'!AD55</f>
        <v>-500</v>
      </c>
      <c r="AD104" s="87">
        <f>'[1]Sheet1'!AE55</f>
        <v>0</v>
      </c>
      <c r="AE104" s="87">
        <f>'[1]Sheet1'!AF55</f>
        <v>0</v>
      </c>
      <c r="AF104" s="87">
        <f>'[1]Sheet1'!AG55</f>
        <v>0</v>
      </c>
      <c r="AG104" s="87">
        <f>'[1]Sheet1'!AH55</f>
        <v>0</v>
      </c>
      <c r="AH104" s="87">
        <f>'[1]Sheet1'!AI55</f>
        <v>0</v>
      </c>
      <c r="AI104" s="87">
        <f t="shared" si="9"/>
        <v>840</v>
      </c>
      <c r="AJ104" s="87">
        <f>'[1]Sheet1'!AK55</f>
        <v>840</v>
      </c>
      <c r="AK104" s="85">
        <f t="shared" si="8"/>
        <v>2039.5</v>
      </c>
      <c r="AL104" s="85">
        <f t="shared" si="8"/>
        <v>1190</v>
      </c>
    </row>
    <row r="105" spans="1:38" ht="16.5" customHeight="1">
      <c r="A105" s="5">
        <v>95</v>
      </c>
      <c r="B105" s="83" t="s">
        <v>187</v>
      </c>
      <c r="C105" s="84">
        <f t="shared" si="6"/>
        <v>5731</v>
      </c>
      <c r="D105" s="84">
        <f t="shared" si="6"/>
        <v>3730.852</v>
      </c>
      <c r="E105" s="65">
        <f>'[1]Sheet1'!F58</f>
        <v>3114</v>
      </c>
      <c r="F105" s="65">
        <f>'[1]Sheet1'!G58</f>
        <v>3107.798</v>
      </c>
      <c r="G105" s="65">
        <f>'[1]Sheet1'!H58</f>
        <v>743.2</v>
      </c>
      <c r="H105" s="65">
        <f>'[1]Sheet1'!I58</f>
        <v>579.054</v>
      </c>
      <c r="I105" s="65">
        <f>'[1]Sheet1'!J58</f>
        <v>92.8</v>
      </c>
      <c r="J105" s="65">
        <f>'[1]Sheet1'!K58</f>
        <v>44</v>
      </c>
      <c r="K105" s="65">
        <f>'[1]Sheet1'!L58</f>
        <v>0</v>
      </c>
      <c r="L105" s="65">
        <f>'[1]Sheet1'!M58</f>
        <v>0</v>
      </c>
      <c r="M105" s="65">
        <f>'[1]Sheet1'!N58</f>
        <v>0</v>
      </c>
      <c r="N105" s="65">
        <f>'[1]Sheet1'!O58</f>
        <v>0</v>
      </c>
      <c r="O105" s="65">
        <f>'[1]Sheet1'!P58</f>
        <v>0</v>
      </c>
      <c r="P105" s="65">
        <f>'[1]Sheet1'!Q58</f>
        <v>0</v>
      </c>
      <c r="Q105" s="65">
        <f>'[1]Sheet1'!R58</f>
        <v>0</v>
      </c>
      <c r="R105" s="65">
        <f>'[1]Sheet1'!S58</f>
        <v>0</v>
      </c>
      <c r="S105" s="65">
        <f>'[1]Sheet1'!T58</f>
        <v>0</v>
      </c>
      <c r="T105" s="65">
        <f>'[1]Sheet1'!U58</f>
        <v>0</v>
      </c>
      <c r="U105" s="85">
        <f t="shared" si="7"/>
        <v>3950</v>
      </c>
      <c r="V105" s="85">
        <f t="shared" si="7"/>
        <v>3730.852</v>
      </c>
      <c r="W105" s="87">
        <f>'[1]Sheet1'!X58</f>
        <v>1781</v>
      </c>
      <c r="X105" s="87">
        <f>'[1]Sheet1'!Y58</f>
        <v>0</v>
      </c>
      <c r="Y105" s="87">
        <f>'[1]Sheet1'!Z58</f>
        <v>0</v>
      </c>
      <c r="Z105" s="87">
        <f>'[1]Sheet1'!AA58</f>
        <v>0</v>
      </c>
      <c r="AA105" s="87">
        <f>'[1]Sheet1'!AB58</f>
        <v>0</v>
      </c>
      <c r="AB105" s="87">
        <f>'[1]Sheet1'!AC58</f>
        <v>0</v>
      </c>
      <c r="AC105" s="87">
        <f>'[1]Sheet1'!AD58</f>
        <v>0</v>
      </c>
      <c r="AD105" s="87">
        <f>'[1]Sheet1'!AE58</f>
        <v>0</v>
      </c>
      <c r="AE105" s="87">
        <f>'[1]Sheet1'!AF58</f>
        <v>0</v>
      </c>
      <c r="AF105" s="87">
        <f>'[1]Sheet1'!AG58</f>
        <v>0</v>
      </c>
      <c r="AG105" s="87">
        <f>'[1]Sheet1'!AH58</f>
        <v>0</v>
      </c>
      <c r="AH105" s="87">
        <f>'[1]Sheet1'!AI58</f>
        <v>0</v>
      </c>
      <c r="AI105" s="87">
        <f t="shared" si="9"/>
        <v>220</v>
      </c>
      <c r="AJ105" s="87">
        <f>'[1]Sheet1'!AK58</f>
        <v>220</v>
      </c>
      <c r="AK105" s="85">
        <f t="shared" si="8"/>
        <v>2001</v>
      </c>
      <c r="AL105" s="85">
        <f t="shared" si="8"/>
        <v>220</v>
      </c>
    </row>
    <row r="106" spans="1:38" ht="16.5" customHeight="1">
      <c r="A106" s="5">
        <v>96</v>
      </c>
      <c r="B106" s="83" t="s">
        <v>188</v>
      </c>
      <c r="C106" s="84">
        <f t="shared" si="6"/>
        <v>25517.100000000002</v>
      </c>
      <c r="D106" s="84">
        <f t="shared" si="6"/>
        <v>15357.588</v>
      </c>
      <c r="E106" s="65">
        <f>'[1]Sheet1'!F60</f>
        <v>11076.1</v>
      </c>
      <c r="F106" s="65">
        <f>'[1]Sheet1'!G60</f>
        <v>10351.055</v>
      </c>
      <c r="G106" s="65">
        <f>'[1]Sheet1'!H60</f>
        <v>2629</v>
      </c>
      <c r="H106" s="65">
        <f>'[1]Sheet1'!I60</f>
        <v>2380.953</v>
      </c>
      <c r="I106" s="65">
        <f>'[1]Sheet1'!J60</f>
        <v>3737.8</v>
      </c>
      <c r="J106" s="65">
        <f>'[1]Sheet1'!K60</f>
        <v>1947.04</v>
      </c>
      <c r="K106" s="65">
        <f>'[1]Sheet1'!L60</f>
        <v>0</v>
      </c>
      <c r="L106" s="65">
        <f>'[1]Sheet1'!M60</f>
        <v>0</v>
      </c>
      <c r="M106" s="65">
        <f>'[1]Sheet1'!N60</f>
        <v>0</v>
      </c>
      <c r="N106" s="65">
        <f>'[1]Sheet1'!O60</f>
        <v>0</v>
      </c>
      <c r="O106" s="65">
        <f>'[1]Sheet1'!P60</f>
        <v>1835.5</v>
      </c>
      <c r="P106" s="65">
        <f>'[1]Sheet1'!Q60</f>
        <v>180</v>
      </c>
      <c r="Q106" s="65">
        <f>'[1]Sheet1'!R60</f>
        <v>0</v>
      </c>
      <c r="R106" s="65">
        <f>'[1]Sheet1'!S60</f>
        <v>0</v>
      </c>
      <c r="S106" s="65">
        <f>'[1]Sheet1'!T60</f>
        <v>170</v>
      </c>
      <c r="T106" s="65">
        <f>'[1]Sheet1'!U60</f>
        <v>152.3</v>
      </c>
      <c r="U106" s="85">
        <f t="shared" si="7"/>
        <v>19448.4</v>
      </c>
      <c r="V106" s="85">
        <f t="shared" si="7"/>
        <v>15011.347999999998</v>
      </c>
      <c r="W106" s="87">
        <f>'[1]Sheet1'!X60</f>
        <v>6168.7</v>
      </c>
      <c r="X106" s="87">
        <f>'[1]Sheet1'!Y60</f>
        <v>550</v>
      </c>
      <c r="Y106" s="87">
        <f>'[1]Sheet1'!Z60</f>
        <v>0</v>
      </c>
      <c r="Z106" s="87">
        <f>'[1]Sheet1'!AA60</f>
        <v>0</v>
      </c>
      <c r="AA106" s="87">
        <f>'[1]Sheet1'!AB60</f>
        <v>0</v>
      </c>
      <c r="AB106" s="87">
        <f>'[1]Sheet1'!AC60</f>
        <v>0</v>
      </c>
      <c r="AC106" s="87">
        <f>'[1]Sheet1'!AD60</f>
        <v>-100</v>
      </c>
      <c r="AD106" s="87">
        <f>'[1]Sheet1'!AE60</f>
        <v>-126</v>
      </c>
      <c r="AE106" s="87">
        <f>'[1]Sheet1'!AF60</f>
        <v>0</v>
      </c>
      <c r="AF106" s="87">
        <f>'[1]Sheet1'!AG60</f>
        <v>-77.76</v>
      </c>
      <c r="AG106" s="87">
        <f>'[1]Sheet1'!AH60</f>
        <v>0</v>
      </c>
      <c r="AH106" s="87">
        <f>'[1]Sheet1'!AI60</f>
        <v>0</v>
      </c>
      <c r="AI106" s="87">
        <f t="shared" si="9"/>
        <v>1590</v>
      </c>
      <c r="AJ106" s="87">
        <f>'[1]Sheet1'!AK60</f>
        <v>1590</v>
      </c>
      <c r="AK106" s="85">
        <f t="shared" si="8"/>
        <v>7658.7</v>
      </c>
      <c r="AL106" s="85">
        <f t="shared" si="8"/>
        <v>1936.24</v>
      </c>
    </row>
    <row r="107" spans="1:38" ht="16.5" customHeight="1">
      <c r="A107" s="5">
        <v>97</v>
      </c>
      <c r="B107" s="83" t="s">
        <v>189</v>
      </c>
      <c r="C107" s="84">
        <f aca="true" t="shared" si="10" ref="C107:D124">U107+AK107-AI107</f>
        <v>16547.620000000003</v>
      </c>
      <c r="D107" s="84">
        <f t="shared" si="10"/>
        <v>15089.421999999999</v>
      </c>
      <c r="E107" s="65">
        <f>'[1]Sheet1'!F63</f>
        <v>7620</v>
      </c>
      <c r="F107" s="65">
        <f>'[1]Sheet1'!G63</f>
        <v>7620</v>
      </c>
      <c r="G107" s="65">
        <f>'[1]Sheet1'!H63</f>
        <v>1722.6</v>
      </c>
      <c r="H107" s="65">
        <f>'[1]Sheet1'!I63</f>
        <v>1722</v>
      </c>
      <c r="I107" s="65">
        <f>'[1]Sheet1'!J63</f>
        <v>3758.92</v>
      </c>
      <c r="J107" s="65">
        <f>'[1]Sheet1'!K63</f>
        <v>3155.022</v>
      </c>
      <c r="K107" s="65">
        <f>'[1]Sheet1'!L63</f>
        <v>0</v>
      </c>
      <c r="L107" s="65">
        <f>'[1]Sheet1'!M63</f>
        <v>0</v>
      </c>
      <c r="M107" s="65">
        <f>'[1]Sheet1'!N63</f>
        <v>0</v>
      </c>
      <c r="N107" s="65">
        <f>'[1]Sheet1'!O63</f>
        <v>0</v>
      </c>
      <c r="O107" s="65">
        <f>'[1]Sheet1'!P63</f>
        <v>500</v>
      </c>
      <c r="P107" s="65">
        <f>'[1]Sheet1'!Q63</f>
        <v>0</v>
      </c>
      <c r="Q107" s="65">
        <f>'[1]Sheet1'!R63</f>
        <v>150</v>
      </c>
      <c r="R107" s="65">
        <f>'[1]Sheet1'!S63</f>
        <v>150</v>
      </c>
      <c r="S107" s="65">
        <f>'[1]Sheet1'!T63</f>
        <v>80</v>
      </c>
      <c r="T107" s="65">
        <f>'[1]Sheet1'!U63</f>
        <v>51</v>
      </c>
      <c r="U107" s="85">
        <f t="shared" si="7"/>
        <v>13831.52</v>
      </c>
      <c r="V107" s="85">
        <f t="shared" si="7"/>
        <v>12698.022</v>
      </c>
      <c r="W107" s="87">
        <f>'[1]Sheet1'!X63</f>
        <v>3916.1</v>
      </c>
      <c r="X107" s="87">
        <f>'[1]Sheet1'!Y63</f>
        <v>3605</v>
      </c>
      <c r="Y107" s="87">
        <f>'[1]Sheet1'!Z63</f>
        <v>0</v>
      </c>
      <c r="Z107" s="87">
        <f>'[1]Sheet1'!AA63</f>
        <v>0</v>
      </c>
      <c r="AA107" s="87">
        <f>'[1]Sheet1'!AB63</f>
        <v>0</v>
      </c>
      <c r="AB107" s="87">
        <f>'[1]Sheet1'!AC63</f>
        <v>0</v>
      </c>
      <c r="AC107" s="87">
        <f>'[1]Sheet1'!AD63</f>
        <v>-1200</v>
      </c>
      <c r="AD107" s="87">
        <f>'[1]Sheet1'!AE63</f>
        <v>0</v>
      </c>
      <c r="AE107" s="87">
        <f>'[1]Sheet1'!AF63</f>
        <v>0</v>
      </c>
      <c r="AF107" s="87">
        <f>'[1]Sheet1'!AG63</f>
        <v>-1213.6</v>
      </c>
      <c r="AG107" s="87">
        <f>'[1]Sheet1'!AH63</f>
        <v>0</v>
      </c>
      <c r="AH107" s="87">
        <f>'[1]Sheet1'!AI63</f>
        <v>0</v>
      </c>
      <c r="AI107" s="87">
        <f t="shared" si="9"/>
        <v>2082</v>
      </c>
      <c r="AJ107" s="87">
        <f>'[1]Sheet1'!AK63</f>
        <v>2082</v>
      </c>
      <c r="AK107" s="85">
        <f t="shared" si="8"/>
        <v>4798.1</v>
      </c>
      <c r="AL107" s="85">
        <f t="shared" si="8"/>
        <v>4473.4</v>
      </c>
    </row>
    <row r="108" spans="1:38" ht="16.5" customHeight="1">
      <c r="A108" s="5">
        <v>98</v>
      </c>
      <c r="B108" s="83" t="s">
        <v>190</v>
      </c>
      <c r="C108" s="84">
        <f t="shared" si="10"/>
        <v>8406.5</v>
      </c>
      <c r="D108" s="84">
        <f t="shared" si="10"/>
        <v>8252.7</v>
      </c>
      <c r="E108" s="65">
        <f>'[1]Sheet1'!F62</f>
        <v>4392</v>
      </c>
      <c r="F108" s="65">
        <f>'[1]Sheet1'!G62</f>
        <v>4296</v>
      </c>
      <c r="G108" s="65">
        <f>'[1]Sheet1'!H62</f>
        <v>1047.6</v>
      </c>
      <c r="H108" s="65">
        <f>'[1]Sheet1'!I62</f>
        <v>1030.8</v>
      </c>
      <c r="I108" s="65">
        <f>'[1]Sheet1'!J62</f>
        <v>1540</v>
      </c>
      <c r="J108" s="65">
        <f>'[1]Sheet1'!K62</f>
        <v>1500</v>
      </c>
      <c r="K108" s="65">
        <f>'[1]Sheet1'!L62</f>
        <v>0</v>
      </c>
      <c r="L108" s="65">
        <f>'[1]Sheet1'!M62</f>
        <v>0</v>
      </c>
      <c r="M108" s="65">
        <f>'[1]Sheet1'!N62</f>
        <v>0</v>
      </c>
      <c r="N108" s="65">
        <f>'[1]Sheet1'!O62</f>
        <v>0</v>
      </c>
      <c r="O108" s="65">
        <f>'[1]Sheet1'!P62</f>
        <v>0</v>
      </c>
      <c r="P108" s="65">
        <f>'[1]Sheet1'!Q62</f>
        <v>0</v>
      </c>
      <c r="Q108" s="65">
        <f>'[1]Sheet1'!R62</f>
        <v>839.9</v>
      </c>
      <c r="R108" s="65">
        <f>'[1]Sheet1'!S62</f>
        <v>839.9</v>
      </c>
      <c r="S108" s="65">
        <f>'[1]Sheet1'!T62</f>
        <v>162</v>
      </c>
      <c r="T108" s="65">
        <f>'[1]Sheet1'!U62</f>
        <v>162</v>
      </c>
      <c r="U108" s="85">
        <f t="shared" si="7"/>
        <v>7981.5</v>
      </c>
      <c r="V108" s="85">
        <f t="shared" si="7"/>
        <v>7828.7</v>
      </c>
      <c r="W108" s="87">
        <f>'[1]Sheet1'!X62</f>
        <v>425</v>
      </c>
      <c r="X108" s="87">
        <f>'[1]Sheet1'!Y62</f>
        <v>424</v>
      </c>
      <c r="Y108" s="87">
        <f>'[1]Sheet1'!Z62</f>
        <v>0</v>
      </c>
      <c r="Z108" s="87">
        <f>'[1]Sheet1'!AA62</f>
        <v>0</v>
      </c>
      <c r="AA108" s="87">
        <f>'[1]Sheet1'!AB62</f>
        <v>0</v>
      </c>
      <c r="AB108" s="87">
        <f>'[1]Sheet1'!AC62</f>
        <v>0</v>
      </c>
      <c r="AC108" s="87">
        <f>'[1]Sheet1'!AD62</f>
        <v>0</v>
      </c>
      <c r="AD108" s="87">
        <f>'[1]Sheet1'!AE62</f>
        <v>0</v>
      </c>
      <c r="AE108" s="87">
        <f>'[1]Sheet1'!AF62</f>
        <v>0</v>
      </c>
      <c r="AF108" s="87">
        <f>'[1]Sheet1'!AG62</f>
        <v>0</v>
      </c>
      <c r="AG108" s="87">
        <f>'[1]Sheet1'!AH62</f>
        <v>0</v>
      </c>
      <c r="AH108" s="87">
        <f>'[1]Sheet1'!AI62</f>
        <v>0</v>
      </c>
      <c r="AI108" s="87">
        <f t="shared" si="9"/>
        <v>425</v>
      </c>
      <c r="AJ108" s="87">
        <f>'[1]Sheet1'!AK62</f>
        <v>425</v>
      </c>
      <c r="AK108" s="85">
        <f t="shared" si="8"/>
        <v>850</v>
      </c>
      <c r="AL108" s="85">
        <f t="shared" si="8"/>
        <v>849</v>
      </c>
    </row>
    <row r="109" spans="1:38" ht="16.5" customHeight="1">
      <c r="A109" s="5">
        <v>99</v>
      </c>
      <c r="B109" s="83" t="s">
        <v>191</v>
      </c>
      <c r="C109" s="84">
        <f t="shared" si="10"/>
        <v>7860.299999999999</v>
      </c>
      <c r="D109" s="84">
        <f t="shared" si="10"/>
        <v>3853.9509999999996</v>
      </c>
      <c r="E109" s="65">
        <f>'[1]Sheet1'!F65</f>
        <v>2484</v>
      </c>
      <c r="F109" s="65">
        <f>'[1]Sheet1'!G65</f>
        <v>2226.234</v>
      </c>
      <c r="G109" s="65">
        <f>'[1]Sheet1'!H65</f>
        <v>564.6</v>
      </c>
      <c r="H109" s="65">
        <f>'[1]Sheet1'!I65</f>
        <v>517.753</v>
      </c>
      <c r="I109" s="65">
        <f>'[1]Sheet1'!J65</f>
        <v>1467.3</v>
      </c>
      <c r="J109" s="65">
        <f>'[1]Sheet1'!K65</f>
        <v>1099.964</v>
      </c>
      <c r="K109" s="65">
        <f>'[1]Sheet1'!L65</f>
        <v>0</v>
      </c>
      <c r="L109" s="65">
        <f>'[1]Sheet1'!M65</f>
        <v>0</v>
      </c>
      <c r="M109" s="65">
        <f>'[1]Sheet1'!N65</f>
        <v>0</v>
      </c>
      <c r="N109" s="65">
        <f>'[1]Sheet1'!O65</f>
        <v>0</v>
      </c>
      <c r="O109" s="65">
        <f>'[1]Sheet1'!P65</f>
        <v>0</v>
      </c>
      <c r="P109" s="65">
        <f>'[1]Sheet1'!Q65</f>
        <v>0</v>
      </c>
      <c r="Q109" s="65">
        <f>'[1]Sheet1'!R65</f>
        <v>50</v>
      </c>
      <c r="R109" s="65">
        <f>'[1]Sheet1'!S65</f>
        <v>0</v>
      </c>
      <c r="S109" s="65">
        <f>'[1]Sheet1'!T65</f>
        <v>10</v>
      </c>
      <c r="T109" s="65">
        <f>'[1]Sheet1'!U65</f>
        <v>10</v>
      </c>
      <c r="U109" s="85">
        <f t="shared" si="7"/>
        <v>4575.9</v>
      </c>
      <c r="V109" s="85">
        <f t="shared" si="7"/>
        <v>3853.951</v>
      </c>
      <c r="W109" s="87">
        <f>'[1]Sheet1'!X65</f>
        <v>3284.4</v>
      </c>
      <c r="X109" s="87">
        <f>'[1]Sheet1'!Y65</f>
        <v>0</v>
      </c>
      <c r="Y109" s="87">
        <f>'[1]Sheet1'!Z65</f>
        <v>0</v>
      </c>
      <c r="Z109" s="87">
        <f>'[1]Sheet1'!AA65</f>
        <v>0</v>
      </c>
      <c r="AA109" s="87">
        <f>'[1]Sheet1'!AB65</f>
        <v>0</v>
      </c>
      <c r="AB109" s="87">
        <f>'[1]Sheet1'!AC65</f>
        <v>0</v>
      </c>
      <c r="AC109" s="87">
        <f>'[1]Sheet1'!AD65</f>
        <v>0</v>
      </c>
      <c r="AD109" s="87">
        <f>'[1]Sheet1'!AE65</f>
        <v>0</v>
      </c>
      <c r="AE109" s="87">
        <f>'[1]Sheet1'!AF65</f>
        <v>0</v>
      </c>
      <c r="AF109" s="87">
        <f>'[1]Sheet1'!AG65</f>
        <v>0</v>
      </c>
      <c r="AG109" s="87">
        <f>'[1]Sheet1'!AH65</f>
        <v>0</v>
      </c>
      <c r="AH109" s="87">
        <f>'[1]Sheet1'!AI65</f>
        <v>0</v>
      </c>
      <c r="AI109" s="87">
        <f t="shared" si="9"/>
        <v>1100.1</v>
      </c>
      <c r="AJ109" s="87">
        <f>'[1]Sheet1'!AK65</f>
        <v>1100.1</v>
      </c>
      <c r="AK109" s="85">
        <f t="shared" si="8"/>
        <v>4384.5</v>
      </c>
      <c r="AL109" s="85">
        <f t="shared" si="8"/>
        <v>1100.1</v>
      </c>
    </row>
    <row r="110" spans="1:38" ht="16.5" customHeight="1">
      <c r="A110" s="5">
        <v>100</v>
      </c>
      <c r="B110" s="83" t="s">
        <v>192</v>
      </c>
      <c r="C110" s="84">
        <f t="shared" si="10"/>
        <v>6150</v>
      </c>
      <c r="D110" s="84">
        <f t="shared" si="10"/>
        <v>5226.239</v>
      </c>
      <c r="E110" s="65">
        <f>'[1]Sheet1'!F67</f>
        <v>4086</v>
      </c>
      <c r="F110" s="65">
        <f>'[1]Sheet1'!G67</f>
        <v>4083.239</v>
      </c>
      <c r="G110" s="65">
        <f>'[1]Sheet1'!H67</f>
        <v>1064</v>
      </c>
      <c r="H110" s="65">
        <f>'[1]Sheet1'!I67</f>
        <v>1064</v>
      </c>
      <c r="I110" s="65">
        <f>'[1]Sheet1'!J67</f>
        <v>650</v>
      </c>
      <c r="J110" s="65">
        <f>'[1]Sheet1'!K67</f>
        <v>79</v>
      </c>
      <c r="K110" s="65">
        <f>'[1]Sheet1'!L67</f>
        <v>0</v>
      </c>
      <c r="L110" s="65">
        <f>'[1]Sheet1'!M67</f>
        <v>0</v>
      </c>
      <c r="M110" s="65">
        <f>'[1]Sheet1'!N67</f>
        <v>0</v>
      </c>
      <c r="N110" s="65">
        <f>'[1]Sheet1'!O67</f>
        <v>0</v>
      </c>
      <c r="O110" s="65">
        <f>'[1]Sheet1'!P67</f>
        <v>0</v>
      </c>
      <c r="P110" s="65">
        <f>'[1]Sheet1'!Q67</f>
        <v>0</v>
      </c>
      <c r="Q110" s="65">
        <f>'[1]Sheet1'!R67</f>
        <v>0</v>
      </c>
      <c r="R110" s="65">
        <f>'[1]Sheet1'!S67</f>
        <v>0</v>
      </c>
      <c r="S110" s="65">
        <f>'[1]Sheet1'!T67</f>
        <v>0</v>
      </c>
      <c r="T110" s="65">
        <f>'[1]Sheet1'!U67</f>
        <v>0</v>
      </c>
      <c r="U110" s="85">
        <f t="shared" si="7"/>
        <v>5800</v>
      </c>
      <c r="V110" s="85">
        <f t="shared" si="7"/>
        <v>5226.239</v>
      </c>
      <c r="W110" s="87">
        <f>'[1]Sheet1'!X67</f>
        <v>350</v>
      </c>
      <c r="X110" s="87">
        <f>'[1]Sheet1'!Y67</f>
        <v>0</v>
      </c>
      <c r="Y110" s="87">
        <f>'[1]Sheet1'!Z67</f>
        <v>0</v>
      </c>
      <c r="Z110" s="87">
        <f>'[1]Sheet1'!AA67</f>
        <v>0</v>
      </c>
      <c r="AA110" s="87">
        <f>'[1]Sheet1'!AB67</f>
        <v>0</v>
      </c>
      <c r="AB110" s="87">
        <f>'[1]Sheet1'!AC67</f>
        <v>0</v>
      </c>
      <c r="AC110" s="87">
        <f>'[1]Sheet1'!AD67</f>
        <v>0</v>
      </c>
      <c r="AD110" s="87">
        <f>'[1]Sheet1'!AE67</f>
        <v>0</v>
      </c>
      <c r="AE110" s="87">
        <f>'[1]Sheet1'!AF67</f>
        <v>0</v>
      </c>
      <c r="AF110" s="87">
        <f>'[1]Sheet1'!AG67</f>
        <v>0</v>
      </c>
      <c r="AG110" s="87">
        <f>'[1]Sheet1'!AH67</f>
        <v>0</v>
      </c>
      <c r="AH110" s="87">
        <f>'[1]Sheet1'!AI67</f>
        <v>0</v>
      </c>
      <c r="AI110" s="87">
        <f t="shared" si="9"/>
        <v>350</v>
      </c>
      <c r="AJ110" s="87">
        <f>'[1]Sheet1'!AK67</f>
        <v>350</v>
      </c>
      <c r="AK110" s="85">
        <f t="shared" si="8"/>
        <v>700</v>
      </c>
      <c r="AL110" s="85">
        <f t="shared" si="8"/>
        <v>350</v>
      </c>
    </row>
    <row r="111" spans="1:38" ht="16.5" customHeight="1">
      <c r="A111" s="5">
        <v>101</v>
      </c>
      <c r="B111" s="83" t="s">
        <v>193</v>
      </c>
      <c r="C111" s="84">
        <f t="shared" si="10"/>
        <v>4106.05</v>
      </c>
      <c r="D111" s="84">
        <f t="shared" si="10"/>
        <v>3885.978</v>
      </c>
      <c r="E111" s="65">
        <f>'[1]Sheet1'!F70</f>
        <v>2904.9</v>
      </c>
      <c r="F111" s="65">
        <f>'[1]Sheet1'!G70</f>
        <v>2904.9</v>
      </c>
      <c r="G111" s="65">
        <f>'[1]Sheet1'!H70</f>
        <v>862.3</v>
      </c>
      <c r="H111" s="65">
        <f>'[1]Sheet1'!I70</f>
        <v>862.278</v>
      </c>
      <c r="I111" s="65">
        <f>'[1]Sheet1'!J70</f>
        <v>118.8</v>
      </c>
      <c r="J111" s="65">
        <f>'[1]Sheet1'!K70</f>
        <v>118.8</v>
      </c>
      <c r="K111" s="65">
        <f>'[1]Sheet1'!L70</f>
        <v>0</v>
      </c>
      <c r="L111" s="65">
        <f>'[1]Sheet1'!M70</f>
        <v>0</v>
      </c>
      <c r="M111" s="65">
        <f>'[1]Sheet1'!N70</f>
        <v>0</v>
      </c>
      <c r="N111" s="65">
        <f>'[1]Sheet1'!O70</f>
        <v>0</v>
      </c>
      <c r="O111" s="65">
        <f>'[1]Sheet1'!P70</f>
        <v>0</v>
      </c>
      <c r="P111" s="65">
        <f>'[1]Sheet1'!Q70</f>
        <v>0</v>
      </c>
      <c r="Q111" s="65">
        <f>'[1]Sheet1'!R70</f>
        <v>0</v>
      </c>
      <c r="R111" s="65">
        <f>'[1]Sheet1'!S70</f>
        <v>0</v>
      </c>
      <c r="S111" s="65">
        <f>'[1]Sheet1'!T70</f>
        <v>0</v>
      </c>
      <c r="T111" s="65">
        <f>'[1]Sheet1'!U70</f>
        <v>0</v>
      </c>
      <c r="U111" s="85">
        <f t="shared" si="7"/>
        <v>3886</v>
      </c>
      <c r="V111" s="85">
        <f t="shared" si="7"/>
        <v>3885.978</v>
      </c>
      <c r="W111" s="87">
        <f>'[1]Sheet1'!X70</f>
        <v>220.05</v>
      </c>
      <c r="X111" s="87">
        <f>'[1]Sheet1'!Y70</f>
        <v>0</v>
      </c>
      <c r="Y111" s="87">
        <f>'[1]Sheet1'!Z70</f>
        <v>0</v>
      </c>
      <c r="Z111" s="87">
        <f>'[1]Sheet1'!AA70</f>
        <v>0</v>
      </c>
      <c r="AA111" s="87">
        <f>'[1]Sheet1'!AB70</f>
        <v>0</v>
      </c>
      <c r="AB111" s="87">
        <f>'[1]Sheet1'!AC70</f>
        <v>0</v>
      </c>
      <c r="AC111" s="87">
        <f>'[1]Sheet1'!AD70</f>
        <v>0</v>
      </c>
      <c r="AD111" s="87">
        <f>'[1]Sheet1'!AE70</f>
        <v>0</v>
      </c>
      <c r="AE111" s="87">
        <f>'[1]Sheet1'!AF70</f>
        <v>0</v>
      </c>
      <c r="AF111" s="87">
        <f>'[1]Sheet1'!AG70</f>
        <v>0</v>
      </c>
      <c r="AG111" s="87">
        <f>'[1]Sheet1'!AH70</f>
        <v>0</v>
      </c>
      <c r="AH111" s="87">
        <f>'[1]Sheet1'!AI70</f>
        <v>0</v>
      </c>
      <c r="AI111" s="87">
        <f t="shared" si="9"/>
        <v>220</v>
      </c>
      <c r="AJ111" s="87">
        <f>'[1]Sheet1'!AK70</f>
        <v>220</v>
      </c>
      <c r="AK111" s="85">
        <f t="shared" si="8"/>
        <v>440.05</v>
      </c>
      <c r="AL111" s="85">
        <f t="shared" si="8"/>
        <v>220</v>
      </c>
    </row>
    <row r="112" spans="1:38" ht="16.5" customHeight="1">
      <c r="A112" s="5">
        <v>102</v>
      </c>
      <c r="B112" s="83" t="s">
        <v>194</v>
      </c>
      <c r="C112" s="84">
        <f t="shared" si="10"/>
        <v>75675</v>
      </c>
      <c r="D112" s="84">
        <f t="shared" si="10"/>
        <v>22146.61</v>
      </c>
      <c r="E112" s="65">
        <f>'[1]Sheet1'!F72</f>
        <v>11549.3</v>
      </c>
      <c r="F112" s="65">
        <f>'[1]Sheet1'!G72</f>
        <v>10943.089</v>
      </c>
      <c r="G112" s="65">
        <f>'[1]Sheet1'!H72</f>
        <v>2262.5</v>
      </c>
      <c r="H112" s="65">
        <f>'[1]Sheet1'!I72</f>
        <v>2202</v>
      </c>
      <c r="I112" s="65">
        <f>'[1]Sheet1'!J72</f>
        <v>9398.2</v>
      </c>
      <c r="J112" s="65">
        <f>'[1]Sheet1'!K72</f>
        <v>3303.313</v>
      </c>
      <c r="K112" s="65">
        <f>'[1]Sheet1'!L72</f>
        <v>0</v>
      </c>
      <c r="L112" s="65">
        <f>'[1]Sheet1'!M72</f>
        <v>0</v>
      </c>
      <c r="M112" s="65">
        <f>'[1]Sheet1'!N72</f>
        <v>0</v>
      </c>
      <c r="N112" s="65">
        <f>'[1]Sheet1'!O72</f>
        <v>0</v>
      </c>
      <c r="O112" s="65">
        <f>'[1]Sheet1'!P72</f>
        <v>5028</v>
      </c>
      <c r="P112" s="65">
        <f>'[1]Sheet1'!Q72</f>
        <v>5027.926</v>
      </c>
      <c r="Q112" s="65">
        <f>'[1]Sheet1'!R72</f>
        <v>0</v>
      </c>
      <c r="R112" s="65">
        <f>'[1]Sheet1'!S72</f>
        <v>0</v>
      </c>
      <c r="S112" s="65">
        <f>'[1]Sheet1'!T72</f>
        <v>950</v>
      </c>
      <c r="T112" s="65">
        <f>'[1]Sheet1'!U72</f>
        <v>199.994</v>
      </c>
      <c r="U112" s="85">
        <f t="shared" si="7"/>
        <v>29188</v>
      </c>
      <c r="V112" s="85">
        <f t="shared" si="7"/>
        <v>21676.322</v>
      </c>
      <c r="W112" s="87">
        <f>'[1]Sheet1'!X72</f>
        <v>46487</v>
      </c>
      <c r="X112" s="87">
        <f>'[1]Sheet1'!Y72</f>
        <v>1134</v>
      </c>
      <c r="Y112" s="87">
        <f>'[1]Sheet1'!Z72</f>
        <v>0</v>
      </c>
      <c r="Z112" s="87">
        <f>'[1]Sheet1'!AA72</f>
        <v>0</v>
      </c>
      <c r="AA112" s="87">
        <f>'[1]Sheet1'!AB72</f>
        <v>0</v>
      </c>
      <c r="AB112" s="87">
        <f>'[1]Sheet1'!AC72</f>
        <v>0</v>
      </c>
      <c r="AC112" s="87">
        <f>'[1]Sheet1'!AD72</f>
        <v>0</v>
      </c>
      <c r="AD112" s="87">
        <f>'[1]Sheet1'!AE72</f>
        <v>0</v>
      </c>
      <c r="AE112" s="87">
        <f>'[1]Sheet1'!AF72</f>
        <v>0</v>
      </c>
      <c r="AF112" s="87">
        <f>'[1]Sheet1'!AG72</f>
        <v>-663.712</v>
      </c>
      <c r="AG112" s="87">
        <f>'[1]Sheet1'!AH72</f>
        <v>0</v>
      </c>
      <c r="AH112" s="87">
        <f>'[1]Sheet1'!AI72</f>
        <v>0</v>
      </c>
      <c r="AI112" s="87">
        <f t="shared" si="9"/>
        <v>5500</v>
      </c>
      <c r="AJ112" s="87">
        <f>'[1]Sheet1'!AK72</f>
        <v>5500</v>
      </c>
      <c r="AK112" s="85">
        <f t="shared" si="8"/>
        <v>51987</v>
      </c>
      <c r="AL112" s="85">
        <f t="shared" si="8"/>
        <v>5970.2880000000005</v>
      </c>
    </row>
    <row r="113" spans="1:38" ht="16.5" customHeight="1">
      <c r="A113" s="5">
        <v>103</v>
      </c>
      <c r="B113" s="83" t="s">
        <v>195</v>
      </c>
      <c r="C113" s="84">
        <f t="shared" si="10"/>
        <v>11456.2</v>
      </c>
      <c r="D113" s="84">
        <f t="shared" si="10"/>
        <v>10597.3789</v>
      </c>
      <c r="E113" s="65">
        <f>'[1]Sheet1'!F82</f>
        <v>5555</v>
      </c>
      <c r="F113" s="65">
        <f>'[1]Sheet1'!G82</f>
        <v>5550.218</v>
      </c>
      <c r="G113" s="65">
        <f>'[1]Sheet1'!H82</f>
        <v>1313.5</v>
      </c>
      <c r="H113" s="65">
        <f>'[1]Sheet1'!I82</f>
        <v>1260.116</v>
      </c>
      <c r="I113" s="65">
        <f>'[1]Sheet1'!J82</f>
        <v>2030</v>
      </c>
      <c r="J113" s="65">
        <f>'[1]Sheet1'!K82</f>
        <v>1420.9</v>
      </c>
      <c r="K113" s="65">
        <f>'[1]Sheet1'!L82</f>
        <v>0</v>
      </c>
      <c r="L113" s="65">
        <f>'[1]Sheet1'!M82</f>
        <v>0</v>
      </c>
      <c r="M113" s="65">
        <f>'[1]Sheet1'!N82</f>
        <v>0</v>
      </c>
      <c r="N113" s="65">
        <f>'[1]Sheet1'!O82</f>
        <v>0</v>
      </c>
      <c r="O113" s="65">
        <f>'[1]Sheet1'!P82</f>
        <v>0</v>
      </c>
      <c r="P113" s="65">
        <f>'[1]Sheet1'!Q82</f>
        <v>0</v>
      </c>
      <c r="Q113" s="65">
        <f>'[1]Sheet1'!R82</f>
        <v>0</v>
      </c>
      <c r="R113" s="65">
        <f>'[1]Sheet1'!S82</f>
        <v>0</v>
      </c>
      <c r="S113" s="65">
        <f>'[1]Sheet1'!T82</f>
        <v>80</v>
      </c>
      <c r="T113" s="65">
        <f>'[1]Sheet1'!U82</f>
        <v>16.145</v>
      </c>
      <c r="U113" s="85">
        <f t="shared" si="7"/>
        <v>8978.5</v>
      </c>
      <c r="V113" s="85">
        <f t="shared" si="7"/>
        <v>8247.379</v>
      </c>
      <c r="W113" s="87">
        <f>'[1]Sheet1'!X82</f>
        <v>2627.7</v>
      </c>
      <c r="X113" s="87">
        <f>'[1]Sheet1'!Y82</f>
        <v>2349.9999</v>
      </c>
      <c r="Y113" s="87">
        <f>'[1]Sheet1'!Z82</f>
        <v>0</v>
      </c>
      <c r="Z113" s="87">
        <f>'[1]Sheet1'!AA82</f>
        <v>0</v>
      </c>
      <c r="AA113" s="87">
        <f>'[1]Sheet1'!AB82</f>
        <v>0</v>
      </c>
      <c r="AB113" s="87">
        <f>'[1]Sheet1'!AC82</f>
        <v>0</v>
      </c>
      <c r="AC113" s="87">
        <f>'[1]Sheet1'!AD82</f>
        <v>-150</v>
      </c>
      <c r="AD113" s="87">
        <f>'[1]Sheet1'!AE82</f>
        <v>0</v>
      </c>
      <c r="AE113" s="87">
        <f>'[1]Sheet1'!AF82</f>
        <v>0</v>
      </c>
      <c r="AF113" s="87">
        <f>'[1]Sheet1'!AG82</f>
        <v>0</v>
      </c>
      <c r="AG113" s="87">
        <f>'[1]Sheet1'!AH82</f>
        <v>0</v>
      </c>
      <c r="AH113" s="87">
        <f>'[1]Sheet1'!AI82</f>
        <v>0</v>
      </c>
      <c r="AI113" s="87">
        <f t="shared" si="9"/>
        <v>780</v>
      </c>
      <c r="AJ113" s="87">
        <f>'[1]Sheet1'!AK82</f>
        <v>780</v>
      </c>
      <c r="AK113" s="85">
        <f t="shared" si="8"/>
        <v>3257.7</v>
      </c>
      <c r="AL113" s="85">
        <f t="shared" si="8"/>
        <v>3129.9999</v>
      </c>
    </row>
    <row r="114" spans="1:38" ht="16.5" customHeight="1">
      <c r="A114" s="5">
        <v>104</v>
      </c>
      <c r="B114" s="83" t="s">
        <v>196</v>
      </c>
      <c r="C114" s="84">
        <f t="shared" si="10"/>
        <v>21342.799999999996</v>
      </c>
      <c r="D114" s="84">
        <f t="shared" si="10"/>
        <v>18975.54</v>
      </c>
      <c r="E114" s="65">
        <f>'[1]Sheet1'!F76</f>
        <v>10572</v>
      </c>
      <c r="F114" s="65">
        <f>'[1]Sheet1'!G76</f>
        <v>10571.94</v>
      </c>
      <c r="G114" s="65">
        <f>'[1]Sheet1'!H76</f>
        <v>2161.8</v>
      </c>
      <c r="H114" s="65">
        <f>'[1]Sheet1'!I76</f>
        <v>2161.8</v>
      </c>
      <c r="I114" s="65">
        <f>'[1]Sheet1'!J76</f>
        <v>2010.3</v>
      </c>
      <c r="J114" s="65">
        <f>'[1]Sheet1'!K76</f>
        <v>1273.4</v>
      </c>
      <c r="K114" s="65">
        <f>'[1]Sheet1'!L76</f>
        <v>0</v>
      </c>
      <c r="L114" s="65">
        <f>'[1]Sheet1'!M76</f>
        <v>0</v>
      </c>
      <c r="M114" s="65">
        <f>'[1]Sheet1'!N76</f>
        <v>0</v>
      </c>
      <c r="N114" s="65">
        <f>'[1]Sheet1'!O76</f>
        <v>0</v>
      </c>
      <c r="O114" s="65">
        <f>'[1]Sheet1'!P76</f>
        <v>2491.3</v>
      </c>
      <c r="P114" s="65">
        <f>'[1]Sheet1'!Q76</f>
        <v>2491</v>
      </c>
      <c r="Q114" s="65">
        <f>'[1]Sheet1'!R76</f>
        <v>0</v>
      </c>
      <c r="R114" s="65">
        <f>'[1]Sheet1'!S76</f>
        <v>0</v>
      </c>
      <c r="S114" s="65">
        <f>'[1]Sheet1'!T76</f>
        <v>310</v>
      </c>
      <c r="T114" s="65">
        <f>'[1]Sheet1'!U76</f>
        <v>180</v>
      </c>
      <c r="U114" s="85">
        <f t="shared" si="7"/>
        <v>17545.399999999998</v>
      </c>
      <c r="V114" s="85">
        <f t="shared" si="7"/>
        <v>16678.14</v>
      </c>
      <c r="W114" s="87">
        <f>'[1]Sheet1'!X76</f>
        <v>4097.4</v>
      </c>
      <c r="X114" s="87">
        <f>'[1]Sheet1'!Y76</f>
        <v>2297.4</v>
      </c>
      <c r="Y114" s="87">
        <f>'[1]Sheet1'!Z76</f>
        <v>0</v>
      </c>
      <c r="Z114" s="87">
        <f>'[1]Sheet1'!AA76</f>
        <v>0</v>
      </c>
      <c r="AA114" s="87">
        <f>'[1]Sheet1'!AB76</f>
        <v>0</v>
      </c>
      <c r="AB114" s="87">
        <f>'[1]Sheet1'!AC76</f>
        <v>0</v>
      </c>
      <c r="AC114" s="87">
        <f>'[1]Sheet1'!AD76</f>
        <v>-300</v>
      </c>
      <c r="AD114" s="87">
        <f>'[1]Sheet1'!AE76</f>
        <v>0</v>
      </c>
      <c r="AE114" s="87">
        <f>'[1]Sheet1'!AF76</f>
        <v>0</v>
      </c>
      <c r="AF114" s="87">
        <f>'[1]Sheet1'!AG76</f>
        <v>0</v>
      </c>
      <c r="AG114" s="87">
        <f>'[1]Sheet1'!AH76</f>
        <v>0</v>
      </c>
      <c r="AH114" s="87">
        <f>'[1]Sheet1'!AI76</f>
        <v>0</v>
      </c>
      <c r="AI114" s="87">
        <f t="shared" si="9"/>
        <v>2500</v>
      </c>
      <c r="AJ114" s="87">
        <f>'[1]Sheet1'!AK76</f>
        <v>2500</v>
      </c>
      <c r="AK114" s="85">
        <f t="shared" si="8"/>
        <v>6297.4</v>
      </c>
      <c r="AL114" s="85">
        <f t="shared" si="8"/>
        <v>4797.4</v>
      </c>
    </row>
    <row r="115" spans="1:38" ht="16.5" customHeight="1">
      <c r="A115" s="5">
        <v>105</v>
      </c>
      <c r="B115" s="83" t="s">
        <v>197</v>
      </c>
      <c r="C115" s="84">
        <f t="shared" si="10"/>
        <v>24076.2</v>
      </c>
      <c r="D115" s="84">
        <f t="shared" si="10"/>
        <v>11932.627</v>
      </c>
      <c r="E115" s="65">
        <f>'[1]Sheet1'!F77</f>
        <v>10398</v>
      </c>
      <c r="F115" s="65">
        <f>'[1]Sheet1'!G77</f>
        <v>8138.925</v>
      </c>
      <c r="G115" s="65">
        <f>'[1]Sheet1'!H77</f>
        <v>2460</v>
      </c>
      <c r="H115" s="65">
        <f>'[1]Sheet1'!I77</f>
        <v>1796.702</v>
      </c>
      <c r="I115" s="65">
        <f>'[1]Sheet1'!J77</f>
        <v>4245</v>
      </c>
      <c r="J115" s="65">
        <f>'[1]Sheet1'!K77</f>
        <v>1104</v>
      </c>
      <c r="K115" s="65">
        <f>'[1]Sheet1'!L77</f>
        <v>0</v>
      </c>
      <c r="L115" s="65">
        <f>'[1]Sheet1'!M77</f>
        <v>0</v>
      </c>
      <c r="M115" s="65">
        <f>'[1]Sheet1'!N77</f>
        <v>0</v>
      </c>
      <c r="N115" s="65">
        <f>'[1]Sheet1'!O77</f>
        <v>0</v>
      </c>
      <c r="O115" s="65">
        <f>'[1]Sheet1'!P77</f>
        <v>0</v>
      </c>
      <c r="P115" s="65">
        <f>'[1]Sheet1'!Q77</f>
        <v>0</v>
      </c>
      <c r="Q115" s="65">
        <f>'[1]Sheet1'!R77</f>
        <v>0</v>
      </c>
      <c r="R115" s="65">
        <f>'[1]Sheet1'!S77</f>
        <v>0</v>
      </c>
      <c r="S115" s="65">
        <f>'[1]Sheet1'!T77</f>
        <v>400</v>
      </c>
      <c r="T115" s="65">
        <f>'[1]Sheet1'!U77</f>
        <v>0</v>
      </c>
      <c r="U115" s="85">
        <f t="shared" si="7"/>
        <v>17503</v>
      </c>
      <c r="V115" s="85">
        <f t="shared" si="7"/>
        <v>11039.627</v>
      </c>
      <c r="W115" s="87">
        <f>'[1]Sheet1'!X77</f>
        <v>10994</v>
      </c>
      <c r="X115" s="87">
        <f>'[1]Sheet1'!Y77</f>
        <v>994</v>
      </c>
      <c r="Y115" s="87">
        <f>'[1]Sheet1'!Z77</f>
        <v>0</v>
      </c>
      <c r="Z115" s="87">
        <f>'[1]Sheet1'!AA77</f>
        <v>0</v>
      </c>
      <c r="AA115" s="87">
        <f>'[1]Sheet1'!AB77</f>
        <v>0</v>
      </c>
      <c r="AB115" s="87">
        <f>'[1]Sheet1'!AC77</f>
        <v>0</v>
      </c>
      <c r="AC115" s="87">
        <f>'[1]Sheet1'!AD77</f>
        <v>-4420.8</v>
      </c>
      <c r="AD115" s="87">
        <f>'[1]Sheet1'!AE77</f>
        <v>0</v>
      </c>
      <c r="AE115" s="87">
        <f>'[1]Sheet1'!AF77</f>
        <v>0</v>
      </c>
      <c r="AF115" s="87">
        <f>'[1]Sheet1'!AG77</f>
        <v>-101</v>
      </c>
      <c r="AG115" s="87">
        <f>'[1]Sheet1'!AH77</f>
        <v>0</v>
      </c>
      <c r="AH115" s="87">
        <f>'[1]Sheet1'!AI77</f>
        <v>0</v>
      </c>
      <c r="AI115" s="87">
        <f t="shared" si="9"/>
        <v>1732</v>
      </c>
      <c r="AJ115" s="87">
        <f>'[1]Sheet1'!AK77</f>
        <v>1732</v>
      </c>
      <c r="AK115" s="85">
        <f t="shared" si="8"/>
        <v>8305.2</v>
      </c>
      <c r="AL115" s="85">
        <f t="shared" si="8"/>
        <v>2625</v>
      </c>
    </row>
    <row r="116" spans="1:38" ht="16.5" customHeight="1">
      <c r="A116" s="5">
        <v>106</v>
      </c>
      <c r="B116" s="83" t="s">
        <v>198</v>
      </c>
      <c r="C116" s="84">
        <f t="shared" si="10"/>
        <v>9249.8</v>
      </c>
      <c r="D116" s="84">
        <f t="shared" si="10"/>
        <v>8673.3</v>
      </c>
      <c r="E116" s="65">
        <f>'[1]Sheet1'!F87</f>
        <v>6652.8</v>
      </c>
      <c r="F116" s="65">
        <f>'[1]Sheet1'!G87</f>
        <v>6540</v>
      </c>
      <c r="G116" s="65">
        <f>'[1]Sheet1'!H87</f>
        <v>2085.1</v>
      </c>
      <c r="H116" s="65">
        <f>'[1]Sheet1'!I87</f>
        <v>2068.3</v>
      </c>
      <c r="I116" s="65">
        <f>'[1]Sheet1'!J87</f>
        <v>69.9</v>
      </c>
      <c r="J116" s="65">
        <f>'[1]Sheet1'!K87</f>
        <v>65</v>
      </c>
      <c r="K116" s="65">
        <f>'[1]Sheet1'!L87</f>
        <v>0</v>
      </c>
      <c r="L116" s="65">
        <f>'[1]Sheet1'!M87</f>
        <v>0</v>
      </c>
      <c r="M116" s="65">
        <f>'[1]Sheet1'!N87</f>
        <v>0</v>
      </c>
      <c r="N116" s="65">
        <f>'[1]Sheet1'!O87</f>
        <v>0</v>
      </c>
      <c r="O116" s="65">
        <f>'[1]Sheet1'!P87</f>
        <v>0</v>
      </c>
      <c r="P116" s="65">
        <f>'[1]Sheet1'!Q87</f>
        <v>0</v>
      </c>
      <c r="Q116" s="65">
        <f>'[1]Sheet1'!R87</f>
        <v>0</v>
      </c>
      <c r="R116" s="65">
        <f>'[1]Sheet1'!S87</f>
        <v>0</v>
      </c>
      <c r="S116" s="65">
        <f>'[1]Sheet1'!T87</f>
        <v>0</v>
      </c>
      <c r="T116" s="65">
        <f>'[1]Sheet1'!U87</f>
        <v>0</v>
      </c>
      <c r="U116" s="85">
        <f t="shared" si="7"/>
        <v>8807.8</v>
      </c>
      <c r="V116" s="85">
        <f t="shared" si="7"/>
        <v>8673.3</v>
      </c>
      <c r="W116" s="87">
        <f>'[1]Sheet1'!X87</f>
        <v>442</v>
      </c>
      <c r="X116" s="87">
        <f>'[1]Sheet1'!Y87</f>
        <v>0</v>
      </c>
      <c r="Y116" s="87">
        <f>'[1]Sheet1'!Z87</f>
        <v>0</v>
      </c>
      <c r="Z116" s="87">
        <f>'[1]Sheet1'!AA87</f>
        <v>0</v>
      </c>
      <c r="AA116" s="87">
        <f>'[1]Sheet1'!AB87</f>
        <v>0</v>
      </c>
      <c r="AB116" s="87">
        <f>'[1]Sheet1'!AC87</f>
        <v>0</v>
      </c>
      <c r="AC116" s="87">
        <f>'[1]Sheet1'!AD87</f>
        <v>0</v>
      </c>
      <c r="AD116" s="87">
        <f>'[1]Sheet1'!AE87</f>
        <v>0</v>
      </c>
      <c r="AE116" s="87">
        <f>'[1]Sheet1'!AF87</f>
        <v>0</v>
      </c>
      <c r="AF116" s="87">
        <f>'[1]Sheet1'!AG87</f>
        <v>0</v>
      </c>
      <c r="AG116" s="87">
        <f>'[1]Sheet1'!AH87</f>
        <v>0</v>
      </c>
      <c r="AH116" s="87">
        <f>'[1]Sheet1'!AI87</f>
        <v>0</v>
      </c>
      <c r="AI116" s="87">
        <f t="shared" si="9"/>
        <v>442</v>
      </c>
      <c r="AJ116" s="87">
        <f>'[1]Sheet1'!AK87</f>
        <v>442</v>
      </c>
      <c r="AK116" s="85">
        <f t="shared" si="8"/>
        <v>884</v>
      </c>
      <c r="AL116" s="85">
        <f t="shared" si="8"/>
        <v>442</v>
      </c>
    </row>
    <row r="117" spans="1:38" ht="16.5" customHeight="1">
      <c r="A117" s="5">
        <v>107</v>
      </c>
      <c r="B117" s="83" t="s">
        <v>199</v>
      </c>
      <c r="C117" s="84">
        <f t="shared" si="10"/>
        <v>12533.2</v>
      </c>
      <c r="D117" s="84">
        <f t="shared" si="10"/>
        <v>6972.926000000001</v>
      </c>
      <c r="E117" s="65">
        <f>'[1]Sheet1'!F88</f>
        <v>4416</v>
      </c>
      <c r="F117" s="65">
        <f>'[1]Sheet1'!G88</f>
        <v>4405.086</v>
      </c>
      <c r="G117" s="65">
        <f>'[1]Sheet1'!H88</f>
        <v>1034.4</v>
      </c>
      <c r="H117" s="65">
        <f>'[1]Sheet1'!I88</f>
        <v>1034.4</v>
      </c>
      <c r="I117" s="65">
        <f>'[1]Sheet1'!J88</f>
        <v>1727.3</v>
      </c>
      <c r="J117" s="65">
        <f>'[1]Sheet1'!K88</f>
        <v>1162.64</v>
      </c>
      <c r="K117" s="65">
        <f>'[1]Sheet1'!L88</f>
        <v>0</v>
      </c>
      <c r="L117" s="65">
        <f>'[1]Sheet1'!M88</f>
        <v>0</v>
      </c>
      <c r="M117" s="65">
        <f>'[1]Sheet1'!N88</f>
        <v>0</v>
      </c>
      <c r="N117" s="65">
        <f>'[1]Sheet1'!O88</f>
        <v>0</v>
      </c>
      <c r="O117" s="65">
        <f>'[1]Sheet1'!P88</f>
        <v>0</v>
      </c>
      <c r="P117" s="65">
        <f>'[1]Sheet1'!Q88</f>
        <v>0</v>
      </c>
      <c r="Q117" s="65">
        <f>'[1]Sheet1'!R88</f>
        <v>300</v>
      </c>
      <c r="R117" s="65">
        <f>'[1]Sheet1'!S88</f>
        <v>300</v>
      </c>
      <c r="S117" s="65">
        <f>'[1]Sheet1'!T88</f>
        <v>71</v>
      </c>
      <c r="T117" s="65">
        <f>'[1]Sheet1'!U88</f>
        <v>70.8</v>
      </c>
      <c r="U117" s="85">
        <f t="shared" si="7"/>
        <v>7548.7</v>
      </c>
      <c r="V117" s="85">
        <f t="shared" si="7"/>
        <v>6972.926000000001</v>
      </c>
      <c r="W117" s="87">
        <f>'[1]Sheet1'!X88</f>
        <v>4984.5</v>
      </c>
      <c r="X117" s="87">
        <f>'[1]Sheet1'!Y88</f>
        <v>0</v>
      </c>
      <c r="Y117" s="87">
        <f>'[1]Sheet1'!Z88</f>
        <v>0</v>
      </c>
      <c r="Z117" s="87">
        <f>'[1]Sheet1'!AA88</f>
        <v>0</v>
      </c>
      <c r="AA117" s="87">
        <f>'[1]Sheet1'!AB88</f>
        <v>0</v>
      </c>
      <c r="AB117" s="87">
        <f>'[1]Sheet1'!AC88</f>
        <v>0</v>
      </c>
      <c r="AC117" s="87">
        <f>'[1]Sheet1'!AD88</f>
        <v>0</v>
      </c>
      <c r="AD117" s="87">
        <f>'[1]Sheet1'!AE88</f>
        <v>0</v>
      </c>
      <c r="AE117" s="87">
        <f>'[1]Sheet1'!AF88</f>
        <v>0</v>
      </c>
      <c r="AF117" s="87">
        <f>'[1]Sheet1'!AG88</f>
        <v>0</v>
      </c>
      <c r="AG117" s="87">
        <f>'[1]Sheet1'!AH88</f>
        <v>0</v>
      </c>
      <c r="AH117" s="87">
        <f>'[1]Sheet1'!AI88</f>
        <v>0</v>
      </c>
      <c r="AI117" s="87">
        <f t="shared" si="9"/>
        <v>400</v>
      </c>
      <c r="AJ117" s="87">
        <f>'[1]Sheet1'!AK88</f>
        <v>400</v>
      </c>
      <c r="AK117" s="85">
        <f t="shared" si="8"/>
        <v>5384.5</v>
      </c>
      <c r="AL117" s="85">
        <f t="shared" si="8"/>
        <v>400</v>
      </c>
    </row>
    <row r="118" spans="1:38" ht="16.5" customHeight="1">
      <c r="A118" s="5">
        <v>108</v>
      </c>
      <c r="B118" s="83" t="s">
        <v>200</v>
      </c>
      <c r="C118" s="84">
        <f t="shared" si="10"/>
        <v>10239.2</v>
      </c>
      <c r="D118" s="84">
        <f t="shared" si="10"/>
        <v>5410.539000000001</v>
      </c>
      <c r="E118" s="65">
        <f>'[1]Sheet1'!F92</f>
        <v>3340</v>
      </c>
      <c r="F118" s="65">
        <f>'[1]Sheet1'!G92</f>
        <v>3310.119</v>
      </c>
      <c r="G118" s="65">
        <f>'[1]Sheet1'!H92</f>
        <v>922</v>
      </c>
      <c r="H118" s="65">
        <f>'[1]Sheet1'!I92</f>
        <v>922</v>
      </c>
      <c r="I118" s="65">
        <f>'[1]Sheet1'!J92</f>
        <v>871</v>
      </c>
      <c r="J118" s="65">
        <f>'[1]Sheet1'!K92</f>
        <v>845.72</v>
      </c>
      <c r="K118" s="65">
        <f>'[1]Sheet1'!L92</f>
        <v>0</v>
      </c>
      <c r="L118" s="65">
        <f>'[1]Sheet1'!M92</f>
        <v>0</v>
      </c>
      <c r="M118" s="65">
        <f>'[1]Sheet1'!N92</f>
        <v>0</v>
      </c>
      <c r="N118" s="65">
        <f>'[1]Sheet1'!O92</f>
        <v>0</v>
      </c>
      <c r="O118" s="65">
        <f>'[1]Sheet1'!P92</f>
        <v>650</v>
      </c>
      <c r="P118" s="65">
        <f>'[1]Sheet1'!Q92</f>
        <v>650</v>
      </c>
      <c r="Q118" s="65">
        <f>'[1]Sheet1'!R92</f>
        <v>100</v>
      </c>
      <c r="R118" s="65">
        <f>'[1]Sheet1'!S92</f>
        <v>100</v>
      </c>
      <c r="S118" s="65">
        <f>'[1]Sheet1'!T92</f>
        <v>20</v>
      </c>
      <c r="T118" s="65">
        <f>'[1]Sheet1'!U92</f>
        <v>2</v>
      </c>
      <c r="U118" s="85">
        <f t="shared" si="7"/>
        <v>5903</v>
      </c>
      <c r="V118" s="85">
        <f t="shared" si="7"/>
        <v>5829.839000000001</v>
      </c>
      <c r="W118" s="87">
        <f>'[1]Sheet1'!X92</f>
        <v>4486.2</v>
      </c>
      <c r="X118" s="87">
        <f>'[1]Sheet1'!Y92</f>
        <v>963.5</v>
      </c>
      <c r="Y118" s="87">
        <f>'[1]Sheet1'!Z92</f>
        <v>0</v>
      </c>
      <c r="Z118" s="87">
        <f>'[1]Sheet1'!AA92</f>
        <v>0</v>
      </c>
      <c r="AA118" s="87">
        <f>'[1]Sheet1'!AB92</f>
        <v>0</v>
      </c>
      <c r="AB118" s="87">
        <f>'[1]Sheet1'!AC92</f>
        <v>0</v>
      </c>
      <c r="AC118" s="87">
        <f>'[1]Sheet1'!AD92</f>
        <v>-150</v>
      </c>
      <c r="AD118" s="87">
        <f>'[1]Sheet1'!AE92</f>
        <v>-466.8</v>
      </c>
      <c r="AE118" s="87">
        <f>'[1]Sheet1'!AF92</f>
        <v>0</v>
      </c>
      <c r="AF118" s="87">
        <f>'[1]Sheet1'!AG92</f>
        <v>-916</v>
      </c>
      <c r="AG118" s="87">
        <f>'[1]Sheet1'!AH92</f>
        <v>0</v>
      </c>
      <c r="AH118" s="87">
        <f>'[1]Sheet1'!AI92</f>
        <v>0</v>
      </c>
      <c r="AI118" s="87">
        <f t="shared" si="9"/>
        <v>1100</v>
      </c>
      <c r="AJ118" s="87">
        <f>'[1]Sheet1'!AK92</f>
        <v>1100</v>
      </c>
      <c r="AK118" s="85">
        <f t="shared" si="8"/>
        <v>5436.2</v>
      </c>
      <c r="AL118" s="85">
        <f t="shared" si="8"/>
        <v>680.7</v>
      </c>
    </row>
    <row r="119" spans="1:38" ht="16.5" customHeight="1">
      <c r="A119" s="5">
        <v>109</v>
      </c>
      <c r="B119" s="83" t="s">
        <v>201</v>
      </c>
      <c r="C119" s="84">
        <f t="shared" si="10"/>
        <v>5892.2</v>
      </c>
      <c r="D119" s="84">
        <f t="shared" si="10"/>
        <v>3619.5</v>
      </c>
      <c r="E119" s="65">
        <f>'[1]Sheet1'!F101</f>
        <v>2635</v>
      </c>
      <c r="F119" s="65">
        <f>'[1]Sheet1'!G101</f>
        <v>2274.919</v>
      </c>
      <c r="G119" s="65">
        <f>'[1]Sheet1'!H101</f>
        <v>1217</v>
      </c>
      <c r="H119" s="65">
        <f>'[1]Sheet1'!I101</f>
        <v>995.581</v>
      </c>
      <c r="I119" s="65">
        <f>'[1]Sheet1'!J101</f>
        <v>1190</v>
      </c>
      <c r="J119" s="65">
        <f>'[1]Sheet1'!K101</f>
        <v>149</v>
      </c>
      <c r="K119" s="65">
        <f>'[1]Sheet1'!L101</f>
        <v>0</v>
      </c>
      <c r="L119" s="65">
        <f>'[1]Sheet1'!M101</f>
        <v>0</v>
      </c>
      <c r="M119" s="65">
        <f>'[1]Sheet1'!N101</f>
        <v>0</v>
      </c>
      <c r="N119" s="65">
        <f>'[1]Sheet1'!O101</f>
        <v>0</v>
      </c>
      <c r="O119" s="65">
        <f>'[1]Sheet1'!P101</f>
        <v>0</v>
      </c>
      <c r="P119" s="65">
        <f>'[1]Sheet1'!Q101</f>
        <v>0</v>
      </c>
      <c r="Q119" s="65">
        <f>'[1]Sheet1'!R101</f>
        <v>0</v>
      </c>
      <c r="R119" s="65">
        <f>'[1]Sheet1'!S101</f>
        <v>0</v>
      </c>
      <c r="S119" s="65">
        <f>'[1]Sheet1'!T101</f>
        <v>0</v>
      </c>
      <c r="T119" s="65">
        <f>'[1]Sheet1'!U101</f>
        <v>0</v>
      </c>
      <c r="U119" s="85">
        <f t="shared" si="7"/>
        <v>5042</v>
      </c>
      <c r="V119" s="85">
        <f t="shared" si="7"/>
        <v>3419.5</v>
      </c>
      <c r="W119" s="87">
        <f>'[1]Sheet1'!X101</f>
        <v>850.2</v>
      </c>
      <c r="X119" s="87">
        <f>'[1]Sheet1'!Y101</f>
        <v>200</v>
      </c>
      <c r="Y119" s="87">
        <f>'[1]Sheet1'!Z101</f>
        <v>0</v>
      </c>
      <c r="Z119" s="87">
        <f>'[1]Sheet1'!AA101</f>
        <v>0</v>
      </c>
      <c r="AA119" s="87">
        <f>'[1]Sheet1'!AB101</f>
        <v>0</v>
      </c>
      <c r="AB119" s="87">
        <f>'[1]Sheet1'!AC101</f>
        <v>0</v>
      </c>
      <c r="AC119" s="87">
        <f>'[1]Sheet1'!AD101</f>
        <v>0</v>
      </c>
      <c r="AD119" s="87">
        <f>'[1]Sheet1'!AE101</f>
        <v>0</v>
      </c>
      <c r="AE119" s="87">
        <f>'[1]Sheet1'!AF101</f>
        <v>0</v>
      </c>
      <c r="AF119" s="87">
        <f>'[1]Sheet1'!AG101</f>
        <v>0</v>
      </c>
      <c r="AG119" s="87">
        <f>'[1]Sheet1'!AH101</f>
        <v>0</v>
      </c>
      <c r="AH119" s="87">
        <f>'[1]Sheet1'!AI101</f>
        <v>0</v>
      </c>
      <c r="AI119" s="87">
        <f t="shared" si="9"/>
        <v>850</v>
      </c>
      <c r="AJ119" s="87">
        <f>'[1]Sheet1'!AK101</f>
        <v>850</v>
      </c>
      <c r="AK119" s="85">
        <f t="shared" si="8"/>
        <v>1700.2</v>
      </c>
      <c r="AL119" s="85">
        <f t="shared" si="8"/>
        <v>1050</v>
      </c>
    </row>
    <row r="120" spans="1:38" ht="16.5" customHeight="1">
      <c r="A120" s="5">
        <v>110</v>
      </c>
      <c r="B120" s="83" t="s">
        <v>202</v>
      </c>
      <c r="C120" s="84">
        <f t="shared" si="10"/>
        <v>7364.900000000001</v>
      </c>
      <c r="D120" s="84">
        <f t="shared" si="10"/>
        <v>7039.039</v>
      </c>
      <c r="E120" s="65">
        <f>'[1]Sheet1'!F102</f>
        <v>3540.1</v>
      </c>
      <c r="F120" s="65">
        <f>'[1]Sheet1'!G102</f>
        <v>3540</v>
      </c>
      <c r="G120" s="65">
        <f>'[1]Sheet1'!H102</f>
        <v>885</v>
      </c>
      <c r="H120" s="65">
        <f>'[1]Sheet1'!I102</f>
        <v>884.5</v>
      </c>
      <c r="I120" s="65">
        <f>'[1]Sheet1'!J102</f>
        <v>1100</v>
      </c>
      <c r="J120" s="65">
        <f>'[1]Sheet1'!K102</f>
        <v>797.78</v>
      </c>
      <c r="K120" s="65">
        <f>'[1]Sheet1'!L102</f>
        <v>0</v>
      </c>
      <c r="L120" s="65">
        <f>'[1]Sheet1'!M102</f>
        <v>0</v>
      </c>
      <c r="M120" s="65">
        <f>'[1]Sheet1'!N102</f>
        <v>0</v>
      </c>
      <c r="N120" s="65">
        <f>'[1]Sheet1'!O102</f>
        <v>0</v>
      </c>
      <c r="O120" s="65">
        <f>'[1]Sheet1'!P102</f>
        <v>0</v>
      </c>
      <c r="P120" s="65">
        <f>'[1]Sheet1'!Q102</f>
        <v>0</v>
      </c>
      <c r="Q120" s="65">
        <f>'[1]Sheet1'!R102</f>
        <v>0</v>
      </c>
      <c r="R120" s="65">
        <f>'[1]Sheet1'!S102</f>
        <v>0</v>
      </c>
      <c r="S120" s="65">
        <f>'[1]Sheet1'!T102</f>
        <v>57</v>
      </c>
      <c r="T120" s="65">
        <f>'[1]Sheet1'!U102</f>
        <v>34</v>
      </c>
      <c r="U120" s="85">
        <f t="shared" si="7"/>
        <v>5582.1</v>
      </c>
      <c r="V120" s="85">
        <f t="shared" si="7"/>
        <v>5256.28</v>
      </c>
      <c r="W120" s="87">
        <f>'[1]Sheet1'!X102</f>
        <v>1782.8</v>
      </c>
      <c r="X120" s="87">
        <f>'[1]Sheet1'!Y102</f>
        <v>1782.759</v>
      </c>
      <c r="Y120" s="87">
        <f>'[1]Sheet1'!Z102</f>
        <v>0</v>
      </c>
      <c r="Z120" s="87">
        <f>'[1]Sheet1'!AA102</f>
        <v>0</v>
      </c>
      <c r="AA120" s="87">
        <f>'[1]Sheet1'!AB102</f>
        <v>0</v>
      </c>
      <c r="AB120" s="87">
        <f>'[1]Sheet1'!AC102</f>
        <v>0</v>
      </c>
      <c r="AC120" s="87">
        <f>'[1]Sheet1'!AD102</f>
        <v>0</v>
      </c>
      <c r="AD120" s="87">
        <f>'[1]Sheet1'!AE102</f>
        <v>0</v>
      </c>
      <c r="AE120" s="87">
        <f>'[1]Sheet1'!AF102</f>
        <v>0</v>
      </c>
      <c r="AF120" s="87">
        <f>'[1]Sheet1'!AG102</f>
        <v>0</v>
      </c>
      <c r="AG120" s="87">
        <f>'[1]Sheet1'!AH102</f>
        <v>0</v>
      </c>
      <c r="AH120" s="87">
        <f>'[1]Sheet1'!AI102</f>
        <v>0</v>
      </c>
      <c r="AI120" s="87">
        <f t="shared" si="9"/>
        <v>300</v>
      </c>
      <c r="AJ120" s="87">
        <f>'[1]Sheet1'!AK102</f>
        <v>300</v>
      </c>
      <c r="AK120" s="85">
        <f t="shared" si="8"/>
        <v>2082.8</v>
      </c>
      <c r="AL120" s="85">
        <f t="shared" si="8"/>
        <v>2082.759</v>
      </c>
    </row>
    <row r="121" spans="1:38" ht="16.5" customHeight="1">
      <c r="A121" s="5">
        <v>111</v>
      </c>
      <c r="B121" s="83" t="s">
        <v>203</v>
      </c>
      <c r="C121" s="84">
        <f t="shared" si="10"/>
        <v>17262.8</v>
      </c>
      <c r="D121" s="84">
        <f t="shared" si="10"/>
        <v>14434.403000000002</v>
      </c>
      <c r="E121" s="65">
        <f>'[1]Sheet1'!F9</f>
        <v>8540</v>
      </c>
      <c r="F121" s="65">
        <f>'[1]Sheet1'!G9</f>
        <v>8539.64</v>
      </c>
      <c r="G121" s="65">
        <f>'[1]Sheet1'!H9</f>
        <v>1959.8</v>
      </c>
      <c r="H121" s="65">
        <f>'[1]Sheet1'!I9</f>
        <v>1952.35</v>
      </c>
      <c r="I121" s="65">
        <f>'[1]Sheet1'!J9</f>
        <v>955.5</v>
      </c>
      <c r="J121" s="65">
        <f>'[1]Sheet1'!K9</f>
        <v>604</v>
      </c>
      <c r="K121" s="65">
        <f>'[1]Sheet1'!L9</f>
        <v>0</v>
      </c>
      <c r="L121" s="65">
        <f>'[1]Sheet1'!M9</f>
        <v>0</v>
      </c>
      <c r="M121" s="65">
        <f>'[1]Sheet1'!N9</f>
        <v>0</v>
      </c>
      <c r="N121" s="65">
        <f>'[1]Sheet1'!O9</f>
        <v>0</v>
      </c>
      <c r="O121" s="65">
        <f>'[1]Sheet1'!P9</f>
        <v>2655.6</v>
      </c>
      <c r="P121" s="65">
        <f>'[1]Sheet1'!Q9</f>
        <v>1955.6</v>
      </c>
      <c r="Q121" s="65">
        <f>'[1]Sheet1'!R9</f>
        <v>0</v>
      </c>
      <c r="R121" s="65">
        <f>'[1]Sheet1'!S9</f>
        <v>0</v>
      </c>
      <c r="S121" s="65">
        <f>'[1]Sheet1'!T9</f>
        <v>120</v>
      </c>
      <c r="T121" s="65">
        <f>'[1]Sheet1'!U9</f>
        <v>113.2</v>
      </c>
      <c r="U121" s="85">
        <f t="shared" si="7"/>
        <v>14230.9</v>
      </c>
      <c r="V121" s="85">
        <f t="shared" si="7"/>
        <v>13164.79</v>
      </c>
      <c r="W121" s="87">
        <f>'[1]Sheet1'!X9</f>
        <v>3031.9</v>
      </c>
      <c r="X121" s="87">
        <f>'[1]Sheet1'!Y9</f>
        <v>1583.2</v>
      </c>
      <c r="Y121" s="87">
        <f>'[1]Sheet1'!Z9</f>
        <v>0</v>
      </c>
      <c r="Z121" s="87">
        <f>'[1]Sheet1'!AA9</f>
        <v>0</v>
      </c>
      <c r="AA121" s="87">
        <f>'[1]Sheet1'!AB9</f>
        <v>0</v>
      </c>
      <c r="AB121" s="87">
        <f>'[1]Sheet1'!AC9</f>
        <v>0</v>
      </c>
      <c r="AC121" s="87">
        <f>'[1]Sheet1'!AD9</f>
        <v>0</v>
      </c>
      <c r="AD121" s="87">
        <f>'[1]Sheet1'!AE9</f>
        <v>-1.831</v>
      </c>
      <c r="AE121" s="87">
        <f>'[1]Sheet1'!AF9</f>
        <v>0</v>
      </c>
      <c r="AF121" s="87">
        <f>'[1]Sheet1'!AG9</f>
        <v>-311.756</v>
      </c>
      <c r="AG121" s="87">
        <f>'[1]Sheet1'!AH9</f>
        <v>0</v>
      </c>
      <c r="AH121" s="87">
        <f>'[1]Sheet1'!AI9</f>
        <v>0</v>
      </c>
      <c r="AI121" s="87">
        <f t="shared" si="9"/>
        <v>1100</v>
      </c>
      <c r="AJ121" s="87">
        <f>'[1]Sheet1'!AK9</f>
        <v>1100</v>
      </c>
      <c r="AK121" s="85">
        <f t="shared" si="8"/>
        <v>4131.9</v>
      </c>
      <c r="AL121" s="85">
        <f t="shared" si="8"/>
        <v>2369.6130000000003</v>
      </c>
    </row>
    <row r="122" spans="1:38" ht="16.5" customHeight="1">
      <c r="A122" s="5">
        <v>112</v>
      </c>
      <c r="B122" s="83" t="s">
        <v>204</v>
      </c>
      <c r="C122" s="84">
        <f t="shared" si="10"/>
        <v>9376.400000000001</v>
      </c>
      <c r="D122" s="84">
        <f t="shared" si="10"/>
        <v>8178.639000000001</v>
      </c>
      <c r="E122" s="65">
        <f>'[1]Sheet1'!F106</f>
        <v>5167.6</v>
      </c>
      <c r="F122" s="65">
        <f>'[1]Sheet1'!G106</f>
        <v>5113.601</v>
      </c>
      <c r="G122" s="65">
        <f>'[1]Sheet1'!H106</f>
        <v>1358.1</v>
      </c>
      <c r="H122" s="65">
        <f>'[1]Sheet1'!I106</f>
        <v>1122.238</v>
      </c>
      <c r="I122" s="65">
        <f>'[1]Sheet1'!J106</f>
        <v>1161.6</v>
      </c>
      <c r="J122" s="65">
        <f>'[1]Sheet1'!K106</f>
        <v>877.6</v>
      </c>
      <c r="K122" s="65">
        <f>'[1]Sheet1'!L106</f>
        <v>0</v>
      </c>
      <c r="L122" s="65">
        <f>'[1]Sheet1'!M106</f>
        <v>0</v>
      </c>
      <c r="M122" s="65">
        <f>'[1]Sheet1'!N106</f>
        <v>0</v>
      </c>
      <c r="N122" s="65">
        <f>'[1]Sheet1'!O106</f>
        <v>0</v>
      </c>
      <c r="O122" s="65">
        <f>'[1]Sheet1'!P106</f>
        <v>189</v>
      </c>
      <c r="P122" s="65">
        <f>'[1]Sheet1'!Q106</f>
        <v>189</v>
      </c>
      <c r="Q122" s="65">
        <f>'[1]Sheet1'!R106</f>
        <v>65</v>
      </c>
      <c r="R122" s="65">
        <f>'[1]Sheet1'!S106</f>
        <v>65</v>
      </c>
      <c r="S122" s="65">
        <f>'[1]Sheet1'!T106</f>
        <v>35.1</v>
      </c>
      <c r="T122" s="65">
        <f>'[1]Sheet1'!U106</f>
        <v>24.1</v>
      </c>
      <c r="U122" s="85">
        <f t="shared" si="7"/>
        <v>7976.4000000000015</v>
      </c>
      <c r="V122" s="85">
        <f t="shared" si="7"/>
        <v>7391.539000000001</v>
      </c>
      <c r="W122" s="87">
        <f>'[1]Sheet1'!X106</f>
        <v>1400</v>
      </c>
      <c r="X122" s="87">
        <f>'[1]Sheet1'!Y106</f>
        <v>900</v>
      </c>
      <c r="Y122" s="87">
        <f>'[1]Sheet1'!Z106</f>
        <v>0</v>
      </c>
      <c r="Z122" s="87">
        <f>'[1]Sheet1'!AA106</f>
        <v>0</v>
      </c>
      <c r="AA122" s="87">
        <f>'[1]Sheet1'!AB106</f>
        <v>0</v>
      </c>
      <c r="AB122" s="87">
        <f>'[1]Sheet1'!AC106</f>
        <v>0</v>
      </c>
      <c r="AC122" s="87">
        <f>'[1]Sheet1'!AD106</f>
        <v>0</v>
      </c>
      <c r="AD122" s="87">
        <f>'[1]Sheet1'!AE106</f>
        <v>0</v>
      </c>
      <c r="AE122" s="87">
        <f>'[1]Sheet1'!AF106</f>
        <v>0</v>
      </c>
      <c r="AF122" s="87">
        <f>'[1]Sheet1'!AG106</f>
        <v>-112.9</v>
      </c>
      <c r="AG122" s="87">
        <f>'[1]Sheet1'!AH106</f>
        <v>0</v>
      </c>
      <c r="AH122" s="87">
        <f>'[1]Sheet1'!AI106</f>
        <v>0</v>
      </c>
      <c r="AI122" s="87">
        <f t="shared" si="9"/>
        <v>1400</v>
      </c>
      <c r="AJ122" s="87">
        <f>'[1]Sheet1'!AK106</f>
        <v>1400</v>
      </c>
      <c r="AK122" s="85">
        <f t="shared" si="8"/>
        <v>2800</v>
      </c>
      <c r="AL122" s="85">
        <f t="shared" si="8"/>
        <v>2187.1</v>
      </c>
    </row>
    <row r="123" spans="1:38" ht="16.5" customHeight="1">
      <c r="A123" s="5">
        <v>113</v>
      </c>
      <c r="B123" s="83" t="s">
        <v>205</v>
      </c>
      <c r="C123" s="84">
        <f t="shared" si="10"/>
        <v>6848.3</v>
      </c>
      <c r="D123" s="84">
        <f t="shared" si="10"/>
        <v>6161.702</v>
      </c>
      <c r="E123" s="65">
        <f>'[1]Sheet1'!F107</f>
        <v>4995.3</v>
      </c>
      <c r="F123" s="65">
        <f>'[1]Sheet1'!G107</f>
        <v>4803.902</v>
      </c>
      <c r="G123" s="65">
        <f>'[1]Sheet1'!H107</f>
        <v>948</v>
      </c>
      <c r="H123" s="65">
        <f>'[1]Sheet1'!I107</f>
        <v>948</v>
      </c>
      <c r="I123" s="65">
        <f>'[1]Sheet1'!J107</f>
        <v>505</v>
      </c>
      <c r="J123" s="65">
        <f>'[1]Sheet1'!K107</f>
        <v>409.8</v>
      </c>
      <c r="K123" s="65">
        <f>'[1]Sheet1'!L107</f>
        <v>0</v>
      </c>
      <c r="L123" s="65">
        <f>'[1]Sheet1'!M107</f>
        <v>0</v>
      </c>
      <c r="M123" s="65">
        <f>'[1]Sheet1'!N107</f>
        <v>0</v>
      </c>
      <c r="N123" s="65">
        <f>'[1]Sheet1'!O107</f>
        <v>0</v>
      </c>
      <c r="O123" s="65">
        <f>'[1]Sheet1'!P107</f>
        <v>0</v>
      </c>
      <c r="P123" s="65">
        <f>'[1]Sheet1'!Q107</f>
        <v>0</v>
      </c>
      <c r="Q123" s="65">
        <f>'[1]Sheet1'!R107</f>
        <v>0</v>
      </c>
      <c r="R123" s="65">
        <f>'[1]Sheet1'!S107</f>
        <v>0</v>
      </c>
      <c r="S123" s="65">
        <f>'[1]Sheet1'!T107</f>
        <v>0</v>
      </c>
      <c r="T123" s="65">
        <f>'[1]Sheet1'!U107</f>
        <v>0</v>
      </c>
      <c r="U123" s="85">
        <f t="shared" si="7"/>
        <v>6448.3</v>
      </c>
      <c r="V123" s="85">
        <f t="shared" si="7"/>
        <v>6161.702</v>
      </c>
      <c r="W123" s="87">
        <f>'[1]Sheet1'!X107</f>
        <v>717.7</v>
      </c>
      <c r="X123" s="87">
        <f>'[1]Sheet1'!Y107</f>
        <v>0</v>
      </c>
      <c r="Y123" s="87">
        <f>'[1]Sheet1'!Z107</f>
        <v>0</v>
      </c>
      <c r="Z123" s="87">
        <f>'[1]Sheet1'!AA107</f>
        <v>0</v>
      </c>
      <c r="AA123" s="87">
        <f>'[1]Sheet1'!AB107</f>
        <v>0</v>
      </c>
      <c r="AB123" s="87">
        <f>'[1]Sheet1'!AC107</f>
        <v>0</v>
      </c>
      <c r="AC123" s="87">
        <f>'[1]Sheet1'!AD107</f>
        <v>-317.7</v>
      </c>
      <c r="AD123" s="87">
        <f>'[1]Sheet1'!AE107</f>
        <v>0</v>
      </c>
      <c r="AE123" s="87">
        <f>'[1]Sheet1'!AF107</f>
        <v>0</v>
      </c>
      <c r="AF123" s="87">
        <f>'[1]Sheet1'!AG107</f>
        <v>0</v>
      </c>
      <c r="AG123" s="87">
        <f>'[1]Sheet1'!AH107</f>
        <v>0</v>
      </c>
      <c r="AH123" s="87">
        <f>'[1]Sheet1'!AI107</f>
        <v>0</v>
      </c>
      <c r="AI123" s="87">
        <f t="shared" si="9"/>
        <v>400</v>
      </c>
      <c r="AJ123" s="87">
        <f>'[1]Sheet1'!AK107</f>
        <v>400</v>
      </c>
      <c r="AK123" s="85">
        <f t="shared" si="8"/>
        <v>800</v>
      </c>
      <c r="AL123" s="85">
        <f t="shared" si="8"/>
        <v>400</v>
      </c>
    </row>
    <row r="124" spans="1:38" ht="16.5" customHeight="1">
      <c r="A124" s="5">
        <v>114</v>
      </c>
      <c r="B124" s="83" t="s">
        <v>206</v>
      </c>
      <c r="C124" s="84">
        <f t="shared" si="10"/>
        <v>9112.4</v>
      </c>
      <c r="D124" s="84">
        <f t="shared" si="10"/>
        <v>7332.1</v>
      </c>
      <c r="E124" s="65">
        <f>'[1]Sheet1'!F110</f>
        <v>4705</v>
      </c>
      <c r="F124" s="65">
        <f>'[1]Sheet1'!G110</f>
        <v>4705</v>
      </c>
      <c r="G124" s="65">
        <f>'[1]Sheet1'!H110</f>
        <v>1065.8</v>
      </c>
      <c r="H124" s="65">
        <f>'[1]Sheet1'!I110</f>
        <v>1065.8</v>
      </c>
      <c r="I124" s="65">
        <f>'[1]Sheet1'!J110</f>
        <v>959.7</v>
      </c>
      <c r="J124" s="65">
        <f>'[1]Sheet1'!K110</f>
        <v>644</v>
      </c>
      <c r="K124" s="65">
        <f>'[1]Sheet1'!L110</f>
        <v>0</v>
      </c>
      <c r="L124" s="65">
        <f>'[1]Sheet1'!M110</f>
        <v>0</v>
      </c>
      <c r="M124" s="65">
        <f>'[1]Sheet1'!N110</f>
        <v>0</v>
      </c>
      <c r="N124" s="65">
        <f>'[1]Sheet1'!O110</f>
        <v>0</v>
      </c>
      <c r="O124" s="65">
        <f>'[1]Sheet1'!P110</f>
        <v>0</v>
      </c>
      <c r="P124" s="65">
        <f>'[1]Sheet1'!Q110</f>
        <v>0</v>
      </c>
      <c r="Q124" s="65">
        <f>'[1]Sheet1'!R110</f>
        <v>170</v>
      </c>
      <c r="R124" s="65">
        <f>'[1]Sheet1'!S110</f>
        <v>80</v>
      </c>
      <c r="S124" s="65">
        <f>'[1]Sheet1'!T110</f>
        <v>114.2</v>
      </c>
      <c r="T124" s="65">
        <f>'[1]Sheet1'!U110</f>
        <v>70</v>
      </c>
      <c r="U124" s="85">
        <f t="shared" si="7"/>
        <v>7014.7</v>
      </c>
      <c r="V124" s="85">
        <f t="shared" si="7"/>
        <v>6564.8</v>
      </c>
      <c r="W124" s="87">
        <f>'[1]Sheet1'!X110</f>
        <v>2097.7</v>
      </c>
      <c r="X124" s="87">
        <f>'[1]Sheet1'!Y110</f>
        <v>767.3</v>
      </c>
      <c r="Y124" s="87">
        <f>'[1]Sheet1'!Z110</f>
        <v>0</v>
      </c>
      <c r="Z124" s="87">
        <f>'[1]Sheet1'!AA110</f>
        <v>0</v>
      </c>
      <c r="AA124" s="87">
        <f>'[1]Sheet1'!AB110</f>
        <v>0</v>
      </c>
      <c r="AB124" s="87">
        <f>'[1]Sheet1'!AC110</f>
        <v>0</v>
      </c>
      <c r="AC124" s="87">
        <f>'[1]Sheet1'!AD110</f>
        <v>0</v>
      </c>
      <c r="AD124" s="87">
        <f>'[1]Sheet1'!AE110</f>
        <v>0</v>
      </c>
      <c r="AE124" s="87">
        <f>'[1]Sheet1'!AF110</f>
        <v>0</v>
      </c>
      <c r="AF124" s="87">
        <f>'[1]Sheet1'!AG110</f>
        <v>0</v>
      </c>
      <c r="AG124" s="87">
        <f>'[1]Sheet1'!AH110</f>
        <v>0</v>
      </c>
      <c r="AH124" s="87">
        <f>'[1]Sheet1'!AI110</f>
        <v>0</v>
      </c>
      <c r="AI124" s="87">
        <f t="shared" si="9"/>
        <v>550</v>
      </c>
      <c r="AJ124" s="87">
        <f>'[1]Sheet1'!AK110</f>
        <v>550</v>
      </c>
      <c r="AK124" s="85">
        <f t="shared" si="8"/>
        <v>2647.7</v>
      </c>
      <c r="AL124" s="85">
        <f t="shared" si="8"/>
        <v>1317.3</v>
      </c>
    </row>
    <row r="125" spans="1:38" ht="23.25" customHeight="1">
      <c r="A125" s="349" t="s">
        <v>207</v>
      </c>
      <c r="B125" s="349"/>
      <c r="C125" s="91">
        <f>SUM(C11:C124)</f>
        <v>2808508.3077</v>
      </c>
      <c r="D125" s="91">
        <f>SUM(D11:D124)</f>
        <v>2221055.918999999</v>
      </c>
      <c r="E125" s="91">
        <f aca="true" t="shared" si="11" ref="E125:T125">SUM(E11:E124)</f>
        <v>1111882.5570000005</v>
      </c>
      <c r="F125" s="91">
        <f t="shared" si="11"/>
        <v>1055835.7237</v>
      </c>
      <c r="G125" s="91">
        <f t="shared" si="11"/>
        <v>270228.267</v>
      </c>
      <c r="H125" s="91">
        <f t="shared" si="11"/>
        <v>246729.866</v>
      </c>
      <c r="I125" s="91">
        <f t="shared" si="11"/>
        <v>724093.8721000002</v>
      </c>
      <c r="J125" s="91">
        <f t="shared" si="11"/>
        <v>549641.4430000001</v>
      </c>
      <c r="K125" s="91">
        <f t="shared" si="11"/>
        <v>0</v>
      </c>
      <c r="L125" s="91">
        <f t="shared" si="11"/>
        <v>0</v>
      </c>
      <c r="M125" s="91">
        <f t="shared" si="11"/>
        <v>500</v>
      </c>
      <c r="N125" s="91">
        <f t="shared" si="11"/>
        <v>200</v>
      </c>
      <c r="O125" s="91">
        <f t="shared" si="11"/>
        <v>58876.4903</v>
      </c>
      <c r="P125" s="91">
        <f t="shared" si="11"/>
        <v>43608.012</v>
      </c>
      <c r="Q125" s="91">
        <f t="shared" si="11"/>
        <v>102185.15000000001</v>
      </c>
      <c r="R125" s="92">
        <f t="shared" si="11"/>
        <v>89716.69399999999</v>
      </c>
      <c r="S125" s="91">
        <f t="shared" si="11"/>
        <v>26243.760099999996</v>
      </c>
      <c r="T125" s="91">
        <f t="shared" si="11"/>
        <v>9763.587000000001</v>
      </c>
      <c r="U125" s="85">
        <f t="shared" si="7"/>
        <v>2294010.096500001</v>
      </c>
      <c r="V125" s="85">
        <f t="shared" si="7"/>
        <v>1995495.3257</v>
      </c>
      <c r="W125" s="91">
        <f>SUM(W11:W124)</f>
        <v>943905.4811999997</v>
      </c>
      <c r="X125" s="91">
        <f>SUM(X11:X124)</f>
        <v>430922.1873000001</v>
      </c>
      <c r="Y125" s="91">
        <f>SUM(Y11:Y124)</f>
        <v>1319.4</v>
      </c>
      <c r="Z125" s="91">
        <f>SUM(Z11:Z124)</f>
        <v>1319.4</v>
      </c>
      <c r="AA125" s="91">
        <f aca="true" t="shared" si="12" ref="AA125:AI125">SUM(AA11:AA124)</f>
        <v>17000.010000000002</v>
      </c>
      <c r="AB125" s="91">
        <f t="shared" si="12"/>
        <v>14000</v>
      </c>
      <c r="AC125" s="91">
        <f t="shared" si="12"/>
        <v>-103955.6</v>
      </c>
      <c r="AD125" s="91">
        <f t="shared" si="12"/>
        <v>-6415.097</v>
      </c>
      <c r="AE125" s="91">
        <f t="shared" si="12"/>
        <v>-343771.08</v>
      </c>
      <c r="AF125" s="91">
        <f t="shared" si="12"/>
        <v>-214265.89700000003</v>
      </c>
      <c r="AG125" s="91">
        <f t="shared" si="12"/>
        <v>0</v>
      </c>
      <c r="AH125" s="91">
        <f t="shared" si="12"/>
        <v>0</v>
      </c>
      <c r="AI125" s="91">
        <f t="shared" si="12"/>
        <v>211225.29609999998</v>
      </c>
      <c r="AJ125" s="91">
        <f>SUM(AJ11:AJ124)</f>
        <v>210785.33909999995</v>
      </c>
      <c r="AK125" s="85">
        <f t="shared" si="8"/>
        <v>725723.5072999997</v>
      </c>
      <c r="AL125" s="85">
        <f t="shared" si="8"/>
        <v>436345.93240000005</v>
      </c>
    </row>
    <row r="127" spans="3:4" ht="12.75">
      <c r="C127" s="41"/>
      <c r="D127" s="41"/>
    </row>
    <row r="129" spans="3:4" ht="12.75">
      <c r="C129" s="41"/>
      <c r="D129" s="41"/>
    </row>
  </sheetData>
  <sheetProtection/>
  <mergeCells count="34">
    <mergeCell ref="A125:B125"/>
    <mergeCell ref="AE6:AH7"/>
    <mergeCell ref="E7:H7"/>
    <mergeCell ref="I7:J8"/>
    <mergeCell ref="K7:L8"/>
    <mergeCell ref="Q7:R8"/>
    <mergeCell ref="S7:T8"/>
    <mergeCell ref="W7:X8"/>
    <mergeCell ref="AK4:AL4"/>
    <mergeCell ref="E5:T5"/>
    <mergeCell ref="U5:V8"/>
    <mergeCell ref="W5:AB5"/>
    <mergeCell ref="AC5:AH5"/>
    <mergeCell ref="AI5:AJ8"/>
    <mergeCell ref="AE8:AF8"/>
    <mergeCell ref="AG8:AH8"/>
    <mergeCell ref="M7:N8"/>
    <mergeCell ref="O7:P8"/>
    <mergeCell ref="A1:N1"/>
    <mergeCell ref="A2:N2"/>
    <mergeCell ref="L3:M3"/>
    <mergeCell ref="U3:V3"/>
    <mergeCell ref="A4:A9"/>
    <mergeCell ref="B4:B9"/>
    <mergeCell ref="E8:F8"/>
    <mergeCell ref="G8:H8"/>
    <mergeCell ref="C4:D8"/>
    <mergeCell ref="E4:Z4"/>
    <mergeCell ref="AK5:AL8"/>
    <mergeCell ref="E6:T6"/>
    <mergeCell ref="W6:AB6"/>
    <mergeCell ref="AC6:AD8"/>
    <mergeCell ref="Y7:Z8"/>
    <mergeCell ref="AA7:AB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63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252" customWidth="1"/>
    <col min="2" max="2" width="16" style="252" customWidth="1"/>
    <col min="3" max="3" width="10.19921875" style="252" customWidth="1"/>
    <col min="4" max="4" width="11.59765625" style="252" customWidth="1"/>
    <col min="5" max="5" width="11.09765625" style="252" customWidth="1"/>
    <col min="6" max="6" width="11.69921875" style="252" customWidth="1"/>
    <col min="7" max="7" width="11.19921875" style="252" customWidth="1"/>
    <col min="8" max="8" width="10" style="252" customWidth="1"/>
    <col min="9" max="9" width="11.3984375" style="252" customWidth="1"/>
    <col min="10" max="10" width="11.59765625" style="252" customWidth="1"/>
    <col min="11" max="11" width="14.69921875" style="252" customWidth="1"/>
    <col min="12" max="12" width="11.59765625" style="252" customWidth="1"/>
    <col min="13" max="13" width="10" style="252" customWidth="1"/>
    <col min="14" max="14" width="13.69921875" style="252" customWidth="1"/>
    <col min="15" max="15" width="9.5" style="252" customWidth="1"/>
    <col min="16" max="16" width="11.19921875" style="252" customWidth="1"/>
    <col min="17" max="17" width="12.09765625" style="252" customWidth="1"/>
    <col min="18" max="18" width="9.5" style="252" customWidth="1"/>
    <col min="19" max="19" width="12.09765625" style="252" customWidth="1"/>
    <col min="20" max="20" width="9.09765625" style="252" customWidth="1"/>
    <col min="21" max="21" width="9.69921875" style="252" customWidth="1"/>
    <col min="22" max="22" width="11.09765625" style="252" customWidth="1"/>
    <col min="23" max="23" width="10.59765625" style="252" customWidth="1"/>
    <col min="24" max="27" width="11.59765625" style="252" customWidth="1"/>
    <col min="28" max="28" width="10.69921875" style="252" customWidth="1"/>
    <col min="29" max="31" width="12.19921875" style="252" customWidth="1"/>
    <col min="32" max="32" width="11.09765625" style="252" customWidth="1"/>
    <col min="33" max="33" width="10.8984375" style="252" customWidth="1"/>
    <col min="34" max="34" width="11.19921875" style="252" customWidth="1"/>
    <col min="35" max="35" width="10.19921875" style="252" customWidth="1"/>
    <col min="36" max="36" width="9.3984375" style="252" customWidth="1"/>
    <col min="37" max="37" width="14.8984375" style="252" customWidth="1"/>
    <col min="38" max="39" width="11" style="252" customWidth="1"/>
    <col min="40" max="40" width="11.3984375" style="252" customWidth="1"/>
    <col min="41" max="41" width="12" style="252" customWidth="1"/>
    <col min="42" max="42" width="11.09765625" style="252" customWidth="1"/>
    <col min="43" max="43" width="11" style="252" customWidth="1"/>
    <col min="44" max="103" width="9" style="252" customWidth="1"/>
    <col min="104" max="104" width="17.19921875" style="252" customWidth="1"/>
    <col min="105" max="16384" width="9" style="252" customWidth="1"/>
  </cols>
  <sheetData>
    <row r="1" spans="1:41" ht="20.25" customHeight="1">
      <c r="A1" s="447" t="s">
        <v>208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250"/>
      <c r="Q1" s="250"/>
      <c r="R1" s="250"/>
      <c r="S1" s="250"/>
      <c r="T1" s="250"/>
      <c r="U1" s="250"/>
      <c r="V1" s="250"/>
      <c r="W1" s="250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</row>
    <row r="2" spans="1:41" ht="42.75" customHeight="1">
      <c r="A2" s="448" t="s">
        <v>209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253"/>
      <c r="Q2" s="253"/>
      <c r="R2" s="253"/>
      <c r="S2" s="253"/>
      <c r="T2" s="253"/>
      <c r="U2" s="253"/>
      <c r="V2" s="253"/>
      <c r="W2" s="253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</row>
    <row r="3" spans="2:23" ht="13.5" customHeight="1">
      <c r="B3" s="255"/>
      <c r="N3" s="449"/>
      <c r="O3" s="449"/>
      <c r="V3" s="450"/>
      <c r="W3" s="450"/>
    </row>
    <row r="4" spans="1:43" s="95" customFormat="1" ht="15" customHeight="1">
      <c r="A4" s="451" t="s">
        <v>210</v>
      </c>
      <c r="B4" s="452" t="s">
        <v>211</v>
      </c>
      <c r="C4" s="453" t="s">
        <v>212</v>
      </c>
      <c r="D4" s="454"/>
      <c r="E4" s="459" t="s">
        <v>213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463"/>
      <c r="AQ4" s="463"/>
    </row>
    <row r="5" spans="1:43" s="95" customFormat="1" ht="16.5" customHeight="1">
      <c r="A5" s="451"/>
      <c r="B5" s="452"/>
      <c r="C5" s="455"/>
      <c r="D5" s="456"/>
      <c r="E5" s="443" t="s">
        <v>214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5"/>
      <c r="V5" s="464" t="s">
        <v>215</v>
      </c>
      <c r="W5" s="464"/>
      <c r="X5" s="465" t="s">
        <v>216</v>
      </c>
      <c r="Y5" s="466"/>
      <c r="Z5" s="466"/>
      <c r="AA5" s="466"/>
      <c r="AB5" s="466"/>
      <c r="AC5" s="466"/>
      <c r="AD5" s="466"/>
      <c r="AE5" s="466"/>
      <c r="AF5" s="446" t="s">
        <v>217</v>
      </c>
      <c r="AG5" s="446"/>
      <c r="AH5" s="446"/>
      <c r="AI5" s="446"/>
      <c r="AJ5" s="446"/>
      <c r="AK5" s="446"/>
      <c r="AL5" s="96"/>
      <c r="AM5" s="96"/>
      <c r="AN5" s="439" t="s">
        <v>218</v>
      </c>
      <c r="AO5" s="440"/>
      <c r="AP5" s="464" t="s">
        <v>219</v>
      </c>
      <c r="AQ5" s="464"/>
    </row>
    <row r="6" spans="1:43" s="95" customFormat="1" ht="15" customHeight="1">
      <c r="A6" s="451"/>
      <c r="B6" s="452"/>
      <c r="C6" s="455"/>
      <c r="D6" s="456"/>
      <c r="E6" s="469" t="s">
        <v>220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4"/>
      <c r="W6" s="464"/>
      <c r="X6" s="443" t="s">
        <v>221</v>
      </c>
      <c r="Y6" s="444"/>
      <c r="Z6" s="444"/>
      <c r="AA6" s="444"/>
      <c r="AB6" s="444"/>
      <c r="AC6" s="444"/>
      <c r="AD6" s="444"/>
      <c r="AE6" s="445"/>
      <c r="AF6" s="446" t="s">
        <v>222</v>
      </c>
      <c r="AG6" s="446"/>
      <c r="AH6" s="446" t="s">
        <v>223</v>
      </c>
      <c r="AI6" s="446"/>
      <c r="AJ6" s="446"/>
      <c r="AK6" s="446"/>
      <c r="AL6" s="97"/>
      <c r="AM6" s="97"/>
      <c r="AN6" s="467"/>
      <c r="AO6" s="468"/>
      <c r="AP6" s="464"/>
      <c r="AQ6" s="464"/>
    </row>
    <row r="7" spans="1:43" s="99" customFormat="1" ht="22.5" customHeight="1">
      <c r="A7" s="451"/>
      <c r="B7" s="452"/>
      <c r="C7" s="455"/>
      <c r="D7" s="456"/>
      <c r="E7" s="471" t="s">
        <v>224</v>
      </c>
      <c r="F7" s="471"/>
      <c r="G7" s="471"/>
      <c r="H7" s="471"/>
      <c r="I7" s="470" t="s">
        <v>225</v>
      </c>
      <c r="J7" s="470"/>
      <c r="K7" s="98" t="s">
        <v>226</v>
      </c>
      <c r="L7" s="470" t="s">
        <v>227</v>
      </c>
      <c r="M7" s="470"/>
      <c r="N7" s="470" t="s">
        <v>228</v>
      </c>
      <c r="O7" s="470"/>
      <c r="P7" s="470" t="s">
        <v>229</v>
      </c>
      <c r="Q7" s="470"/>
      <c r="R7" s="470" t="s">
        <v>230</v>
      </c>
      <c r="S7" s="470"/>
      <c r="T7" s="470" t="s">
        <v>231</v>
      </c>
      <c r="U7" s="470"/>
      <c r="V7" s="464"/>
      <c r="W7" s="464"/>
      <c r="X7" s="439" t="s">
        <v>232</v>
      </c>
      <c r="Y7" s="440"/>
      <c r="Z7" s="461" t="s">
        <v>226</v>
      </c>
      <c r="AA7" s="462"/>
      <c r="AB7" s="439" t="s">
        <v>233</v>
      </c>
      <c r="AC7" s="440"/>
      <c r="AD7" s="473" t="s">
        <v>234</v>
      </c>
      <c r="AE7" s="474"/>
      <c r="AF7" s="446"/>
      <c r="AG7" s="446"/>
      <c r="AH7" s="446"/>
      <c r="AI7" s="446"/>
      <c r="AJ7" s="446"/>
      <c r="AK7" s="446"/>
      <c r="AL7" s="97"/>
      <c r="AM7" s="97"/>
      <c r="AN7" s="467"/>
      <c r="AO7" s="468"/>
      <c r="AP7" s="464"/>
      <c r="AQ7" s="464"/>
    </row>
    <row r="8" spans="1:43" s="99" customFormat="1" ht="81" customHeight="1">
      <c r="A8" s="451"/>
      <c r="B8" s="452"/>
      <c r="C8" s="457"/>
      <c r="D8" s="458"/>
      <c r="E8" s="470" t="s">
        <v>235</v>
      </c>
      <c r="F8" s="470"/>
      <c r="G8" s="470" t="s">
        <v>236</v>
      </c>
      <c r="H8" s="470"/>
      <c r="I8" s="470"/>
      <c r="J8" s="470"/>
      <c r="K8" s="98" t="s">
        <v>237</v>
      </c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64"/>
      <c r="W8" s="464"/>
      <c r="X8" s="441"/>
      <c r="Y8" s="442"/>
      <c r="Z8" s="477" t="s">
        <v>238</v>
      </c>
      <c r="AA8" s="100" t="s">
        <v>239</v>
      </c>
      <c r="AB8" s="441"/>
      <c r="AC8" s="442"/>
      <c r="AD8" s="475"/>
      <c r="AE8" s="476"/>
      <c r="AF8" s="446"/>
      <c r="AG8" s="446"/>
      <c r="AH8" s="471" t="s">
        <v>240</v>
      </c>
      <c r="AI8" s="471"/>
      <c r="AJ8" s="471" t="s">
        <v>241</v>
      </c>
      <c r="AK8" s="471"/>
      <c r="AL8" s="471" t="s">
        <v>242</v>
      </c>
      <c r="AM8" s="471"/>
      <c r="AN8" s="441"/>
      <c r="AO8" s="442"/>
      <c r="AP8" s="464"/>
      <c r="AQ8" s="464"/>
    </row>
    <row r="9" spans="1:43" s="99" customFormat="1" ht="23.25" customHeight="1">
      <c r="A9" s="451"/>
      <c r="B9" s="452"/>
      <c r="C9" s="101" t="s">
        <v>243</v>
      </c>
      <c r="D9" s="101" t="s">
        <v>244</v>
      </c>
      <c r="E9" s="102" t="s">
        <v>243</v>
      </c>
      <c r="F9" s="101" t="s">
        <v>244</v>
      </c>
      <c r="G9" s="102" t="s">
        <v>243</v>
      </c>
      <c r="H9" s="101" t="s">
        <v>244</v>
      </c>
      <c r="I9" s="102" t="s">
        <v>243</v>
      </c>
      <c r="J9" s="101" t="s">
        <v>244</v>
      </c>
      <c r="K9" s="103"/>
      <c r="L9" s="102" t="s">
        <v>243</v>
      </c>
      <c r="M9" s="101" t="s">
        <v>244</v>
      </c>
      <c r="N9" s="102" t="s">
        <v>243</v>
      </c>
      <c r="O9" s="101" t="s">
        <v>244</v>
      </c>
      <c r="P9" s="102" t="s">
        <v>243</v>
      </c>
      <c r="Q9" s="101" t="s">
        <v>244</v>
      </c>
      <c r="R9" s="102" t="s">
        <v>243</v>
      </c>
      <c r="S9" s="101" t="s">
        <v>244</v>
      </c>
      <c r="T9" s="102" t="s">
        <v>243</v>
      </c>
      <c r="U9" s="101" t="s">
        <v>244</v>
      </c>
      <c r="V9" s="102" t="s">
        <v>243</v>
      </c>
      <c r="W9" s="101" t="s">
        <v>244</v>
      </c>
      <c r="X9" s="102" t="s">
        <v>243</v>
      </c>
      <c r="Y9" s="101" t="s">
        <v>244</v>
      </c>
      <c r="Z9" s="478"/>
      <c r="AA9" s="103"/>
      <c r="AB9" s="102" t="s">
        <v>243</v>
      </c>
      <c r="AC9" s="101" t="s">
        <v>244</v>
      </c>
      <c r="AD9" s="102" t="s">
        <v>243</v>
      </c>
      <c r="AE9" s="101" t="s">
        <v>244</v>
      </c>
      <c r="AF9" s="102" t="s">
        <v>243</v>
      </c>
      <c r="AG9" s="101" t="s">
        <v>244</v>
      </c>
      <c r="AH9" s="102" t="s">
        <v>243</v>
      </c>
      <c r="AI9" s="101" t="s">
        <v>244</v>
      </c>
      <c r="AJ9" s="102" t="s">
        <v>243</v>
      </c>
      <c r="AK9" s="101" t="s">
        <v>244</v>
      </c>
      <c r="AL9" s="102" t="s">
        <v>243</v>
      </c>
      <c r="AM9" s="101" t="s">
        <v>244</v>
      </c>
      <c r="AN9" s="102" t="s">
        <v>243</v>
      </c>
      <c r="AO9" s="101" t="s">
        <v>244</v>
      </c>
      <c r="AP9" s="102" t="s">
        <v>243</v>
      </c>
      <c r="AQ9" s="101" t="s">
        <v>244</v>
      </c>
    </row>
    <row r="10" spans="1:43" ht="12.75" customHeight="1">
      <c r="A10" s="223"/>
      <c r="B10" s="224">
        <v>1</v>
      </c>
      <c r="C10" s="224">
        <v>2</v>
      </c>
      <c r="D10" s="224">
        <v>3</v>
      </c>
      <c r="E10" s="224">
        <v>4</v>
      </c>
      <c r="F10" s="224">
        <v>5</v>
      </c>
      <c r="G10" s="224">
        <v>6</v>
      </c>
      <c r="H10" s="224">
        <v>7</v>
      </c>
      <c r="I10" s="224">
        <v>8</v>
      </c>
      <c r="J10" s="224">
        <v>9</v>
      </c>
      <c r="K10" s="224">
        <v>10</v>
      </c>
      <c r="L10" s="224">
        <v>11</v>
      </c>
      <c r="M10" s="224">
        <v>12</v>
      </c>
      <c r="N10" s="224">
        <v>13</v>
      </c>
      <c r="O10" s="224">
        <v>14</v>
      </c>
      <c r="P10" s="224">
        <v>16</v>
      </c>
      <c r="Q10" s="224">
        <v>17</v>
      </c>
      <c r="R10" s="224">
        <v>18</v>
      </c>
      <c r="S10" s="224">
        <v>19</v>
      </c>
      <c r="T10" s="224">
        <v>20</v>
      </c>
      <c r="U10" s="224">
        <v>21</v>
      </c>
      <c r="V10" s="224">
        <v>22</v>
      </c>
      <c r="W10" s="224">
        <v>23</v>
      </c>
      <c r="X10" s="224">
        <v>24</v>
      </c>
      <c r="Y10" s="224">
        <v>25</v>
      </c>
      <c r="Z10" s="224">
        <v>26</v>
      </c>
      <c r="AA10" s="224">
        <v>27</v>
      </c>
      <c r="AB10" s="224">
        <v>28</v>
      </c>
      <c r="AC10" s="224">
        <v>29</v>
      </c>
      <c r="AD10" s="224">
        <v>30</v>
      </c>
      <c r="AE10" s="224">
        <v>31</v>
      </c>
      <c r="AF10" s="224">
        <v>33</v>
      </c>
      <c r="AG10" s="224">
        <v>34</v>
      </c>
      <c r="AH10" s="224">
        <v>35</v>
      </c>
      <c r="AI10" s="224">
        <v>36</v>
      </c>
      <c r="AJ10" s="224">
        <v>37</v>
      </c>
      <c r="AK10" s="224">
        <v>38</v>
      </c>
      <c r="AL10" s="224">
        <v>39</v>
      </c>
      <c r="AM10" s="224">
        <v>40</v>
      </c>
      <c r="AN10" s="224">
        <v>41</v>
      </c>
      <c r="AO10" s="224">
        <v>42</v>
      </c>
      <c r="AP10" s="224">
        <v>43</v>
      </c>
      <c r="AQ10" s="224">
        <v>44</v>
      </c>
    </row>
    <row r="11" spans="1:43" ht="18" customHeight="1">
      <c r="A11" s="256">
        <v>1</v>
      </c>
      <c r="B11" s="105" t="s">
        <v>245</v>
      </c>
      <c r="C11" s="257">
        <f aca="true" t="shared" si="0" ref="C11:D42">SUM(V11+AP11-AN11)</f>
        <v>434456.55</v>
      </c>
      <c r="D11" s="257">
        <f t="shared" si="0"/>
        <v>412108.02600000007</v>
      </c>
      <c r="E11" s="258">
        <v>56865</v>
      </c>
      <c r="F11" s="258">
        <v>55585.605</v>
      </c>
      <c r="G11" s="258">
        <v>11377</v>
      </c>
      <c r="H11" s="258">
        <v>10855.845</v>
      </c>
      <c r="I11" s="258">
        <v>285624.6</v>
      </c>
      <c r="J11" s="258">
        <v>269447.661</v>
      </c>
      <c r="K11" s="258"/>
      <c r="L11" s="257"/>
      <c r="M11" s="257"/>
      <c r="N11" s="258">
        <v>0</v>
      </c>
      <c r="O11" s="258">
        <v>0</v>
      </c>
      <c r="P11" s="258">
        <v>6138</v>
      </c>
      <c r="Q11" s="258">
        <v>5425</v>
      </c>
      <c r="R11" s="258">
        <v>1500</v>
      </c>
      <c r="S11" s="258">
        <v>1500</v>
      </c>
      <c r="T11" s="258">
        <v>4950</v>
      </c>
      <c r="U11" s="258">
        <v>3256.5</v>
      </c>
      <c r="V11" s="258">
        <f>SUM(E11+G11+I11+L11+N11+P11+R11+T11)</f>
        <v>366454.6</v>
      </c>
      <c r="W11" s="258">
        <f>SUM(F11+H11+J11+M11+O11+Q11+S11+U11)</f>
        <v>346070.61100000003</v>
      </c>
      <c r="X11" s="259">
        <v>138702</v>
      </c>
      <c r="Y11" s="259">
        <v>108845.868</v>
      </c>
      <c r="Z11" s="259"/>
      <c r="AA11" s="259"/>
      <c r="AB11" s="260"/>
      <c r="AC11" s="260"/>
      <c r="AD11" s="259">
        <v>0</v>
      </c>
      <c r="AE11" s="259">
        <v>0</v>
      </c>
      <c r="AF11" s="259">
        <v>-6000</v>
      </c>
      <c r="AG11" s="259">
        <v>-5564.36</v>
      </c>
      <c r="AH11" s="259">
        <v>-64700.05</v>
      </c>
      <c r="AI11" s="259">
        <v>-37244.093</v>
      </c>
      <c r="AJ11" s="257"/>
      <c r="AK11" s="260"/>
      <c r="AL11" s="260">
        <v>0</v>
      </c>
      <c r="AM11" s="260"/>
      <c r="AN11" s="259">
        <v>20000</v>
      </c>
      <c r="AO11" s="259">
        <v>19868.7507</v>
      </c>
      <c r="AP11" s="257">
        <f aca="true" t="shared" si="1" ref="AP11:AQ42">SUM(X11+AB11+AD11+AF11+AH11+AJ11+AL11+AN11)</f>
        <v>88001.95</v>
      </c>
      <c r="AQ11" s="257">
        <f t="shared" si="1"/>
        <v>85906.16570000001</v>
      </c>
    </row>
    <row r="12" spans="1:43" ht="18" customHeight="1">
      <c r="A12" s="256">
        <v>2</v>
      </c>
      <c r="B12" s="106" t="s">
        <v>246</v>
      </c>
      <c r="C12" s="257">
        <f t="shared" si="0"/>
        <v>374646.5</v>
      </c>
      <c r="D12" s="257">
        <f t="shared" si="0"/>
        <v>367693.7552</v>
      </c>
      <c r="E12" s="258">
        <v>72623.6</v>
      </c>
      <c r="F12" s="258">
        <v>72161.58</v>
      </c>
      <c r="G12" s="258">
        <v>16483</v>
      </c>
      <c r="H12" s="258">
        <v>16276.202</v>
      </c>
      <c r="I12" s="258">
        <v>77822.06</v>
      </c>
      <c r="J12" s="258">
        <v>71864.444</v>
      </c>
      <c r="K12" s="258"/>
      <c r="L12" s="257"/>
      <c r="M12" s="257"/>
      <c r="N12" s="258">
        <v>0</v>
      </c>
      <c r="O12" s="258">
        <v>0</v>
      </c>
      <c r="P12" s="258">
        <v>81268</v>
      </c>
      <c r="Q12" s="258">
        <v>81267.2</v>
      </c>
      <c r="R12" s="258">
        <v>4885</v>
      </c>
      <c r="S12" s="258">
        <v>4885</v>
      </c>
      <c r="T12" s="258">
        <v>4433.54</v>
      </c>
      <c r="U12" s="258">
        <v>4421.539</v>
      </c>
      <c r="V12" s="258">
        <f aca="true" t="shared" si="2" ref="V12:W75">SUM(E12+G12+I12+L12+N12+P12+R12+T12)</f>
        <v>257515.2</v>
      </c>
      <c r="W12" s="258">
        <f t="shared" si="2"/>
        <v>250875.96500000003</v>
      </c>
      <c r="X12" s="259">
        <v>131131.3</v>
      </c>
      <c r="Y12" s="259">
        <v>130581.173</v>
      </c>
      <c r="Z12" s="259">
        <v>15000</v>
      </c>
      <c r="AA12" s="259">
        <v>115581.2</v>
      </c>
      <c r="AB12" s="260"/>
      <c r="AC12" s="260"/>
      <c r="AD12" s="259">
        <v>0</v>
      </c>
      <c r="AE12" s="259">
        <v>0</v>
      </c>
      <c r="AF12" s="259">
        <v>0</v>
      </c>
      <c r="AG12" s="259">
        <v>0</v>
      </c>
      <c r="AH12" s="259">
        <v>-14000</v>
      </c>
      <c r="AI12" s="259">
        <v>-13763.3828</v>
      </c>
      <c r="AJ12" s="257"/>
      <c r="AK12" s="260"/>
      <c r="AL12" s="260">
        <v>0</v>
      </c>
      <c r="AM12" s="260"/>
      <c r="AN12" s="259">
        <v>79650</v>
      </c>
      <c r="AO12" s="259">
        <v>79650</v>
      </c>
      <c r="AP12" s="257">
        <f t="shared" si="1"/>
        <v>196781.3</v>
      </c>
      <c r="AQ12" s="257">
        <f t="shared" si="1"/>
        <v>196467.7902</v>
      </c>
    </row>
    <row r="13" spans="1:43" ht="18" customHeight="1">
      <c r="A13" s="256">
        <v>3</v>
      </c>
      <c r="B13" s="106" t="s">
        <v>247</v>
      </c>
      <c r="C13" s="257">
        <f t="shared" si="0"/>
        <v>374321.63</v>
      </c>
      <c r="D13" s="257">
        <f t="shared" si="0"/>
        <v>359810.058</v>
      </c>
      <c r="E13" s="258">
        <v>59308.93</v>
      </c>
      <c r="F13" s="258">
        <v>59301.19</v>
      </c>
      <c r="G13" s="258">
        <v>10936</v>
      </c>
      <c r="H13" s="258">
        <v>10265.658</v>
      </c>
      <c r="I13" s="258">
        <v>76771.1</v>
      </c>
      <c r="J13" s="258">
        <v>72109.85</v>
      </c>
      <c r="K13" s="258"/>
      <c r="L13" s="257"/>
      <c r="M13" s="257"/>
      <c r="N13" s="258">
        <v>157343.5</v>
      </c>
      <c r="O13" s="258">
        <v>157343.3</v>
      </c>
      <c r="P13" s="258">
        <v>9750</v>
      </c>
      <c r="Q13" s="258">
        <v>9749.04</v>
      </c>
      <c r="R13" s="258">
        <v>7250</v>
      </c>
      <c r="S13" s="258">
        <v>6768</v>
      </c>
      <c r="T13" s="258">
        <v>3945</v>
      </c>
      <c r="U13" s="258">
        <v>3373.465</v>
      </c>
      <c r="V13" s="258">
        <f t="shared" si="2"/>
        <v>325304.53</v>
      </c>
      <c r="W13" s="258">
        <f t="shared" si="2"/>
        <v>318910.503</v>
      </c>
      <c r="X13" s="259">
        <v>83417.1</v>
      </c>
      <c r="Y13" s="259">
        <v>79803.3</v>
      </c>
      <c r="Z13" s="259"/>
      <c r="AA13" s="259"/>
      <c r="AB13" s="260"/>
      <c r="AC13" s="260"/>
      <c r="AD13" s="259">
        <v>0</v>
      </c>
      <c r="AE13" s="259">
        <v>0</v>
      </c>
      <c r="AF13" s="259">
        <v>0</v>
      </c>
      <c r="AG13" s="259">
        <v>-1040.524</v>
      </c>
      <c r="AH13" s="259">
        <v>-34400</v>
      </c>
      <c r="AI13" s="259">
        <v>-37863.221</v>
      </c>
      <c r="AJ13" s="257"/>
      <c r="AK13" s="260"/>
      <c r="AL13" s="260"/>
      <c r="AM13" s="260"/>
      <c r="AN13" s="259">
        <v>11892</v>
      </c>
      <c r="AO13" s="259">
        <v>4056.708</v>
      </c>
      <c r="AP13" s="257">
        <f t="shared" si="1"/>
        <v>60909.100000000006</v>
      </c>
      <c r="AQ13" s="257">
        <f t="shared" si="1"/>
        <v>44956.263</v>
      </c>
    </row>
    <row r="14" spans="1:43" ht="18" customHeight="1">
      <c r="A14" s="256">
        <v>4</v>
      </c>
      <c r="B14" s="106" t="s">
        <v>248</v>
      </c>
      <c r="C14" s="257">
        <f t="shared" si="0"/>
        <v>234898.1</v>
      </c>
      <c r="D14" s="257">
        <f t="shared" si="0"/>
        <v>233031.1884</v>
      </c>
      <c r="E14" s="258">
        <v>45713</v>
      </c>
      <c r="F14" s="258">
        <v>45668.202</v>
      </c>
      <c r="G14" s="258">
        <v>10137</v>
      </c>
      <c r="H14" s="258">
        <v>9930.5</v>
      </c>
      <c r="I14" s="258">
        <v>52464.1</v>
      </c>
      <c r="J14" s="258">
        <v>51110.521</v>
      </c>
      <c r="K14" s="258"/>
      <c r="L14" s="257"/>
      <c r="M14" s="257"/>
      <c r="N14" s="258">
        <v>0</v>
      </c>
      <c r="O14" s="258">
        <v>0</v>
      </c>
      <c r="P14" s="258">
        <v>87597</v>
      </c>
      <c r="Q14" s="258">
        <v>87597</v>
      </c>
      <c r="R14" s="258">
        <v>8320</v>
      </c>
      <c r="S14" s="258">
        <v>8319.23</v>
      </c>
      <c r="T14" s="258">
        <v>1310</v>
      </c>
      <c r="U14" s="258">
        <v>1260.1</v>
      </c>
      <c r="V14" s="258">
        <f t="shared" si="2"/>
        <v>205541.1</v>
      </c>
      <c r="W14" s="258">
        <f t="shared" si="2"/>
        <v>203885.553</v>
      </c>
      <c r="X14" s="259">
        <v>67357</v>
      </c>
      <c r="Y14" s="259">
        <v>41468.06</v>
      </c>
      <c r="Z14" s="259"/>
      <c r="AA14" s="259"/>
      <c r="AB14" s="260"/>
      <c r="AC14" s="260"/>
      <c r="AD14" s="259">
        <v>0</v>
      </c>
      <c r="AE14" s="259">
        <v>0</v>
      </c>
      <c r="AF14" s="259">
        <v>-28000</v>
      </c>
      <c r="AG14" s="259">
        <v>0</v>
      </c>
      <c r="AH14" s="259">
        <v>-10000</v>
      </c>
      <c r="AI14" s="259">
        <v>-12322.4246</v>
      </c>
      <c r="AJ14" s="257"/>
      <c r="AK14" s="260"/>
      <c r="AL14" s="260">
        <v>0</v>
      </c>
      <c r="AM14" s="260"/>
      <c r="AN14" s="259">
        <v>16000</v>
      </c>
      <c r="AO14" s="259">
        <v>16000</v>
      </c>
      <c r="AP14" s="257">
        <f t="shared" si="1"/>
        <v>45357</v>
      </c>
      <c r="AQ14" s="257">
        <f t="shared" si="1"/>
        <v>45145.6354</v>
      </c>
    </row>
    <row r="15" spans="1:43" ht="18" customHeight="1">
      <c r="A15" s="256">
        <v>5</v>
      </c>
      <c r="B15" s="106" t="s">
        <v>249</v>
      </c>
      <c r="C15" s="257">
        <f t="shared" si="0"/>
        <v>24694.9</v>
      </c>
      <c r="D15" s="257">
        <f t="shared" si="0"/>
        <v>20066.848</v>
      </c>
      <c r="E15" s="258">
        <v>7039</v>
      </c>
      <c r="F15" s="258">
        <v>7038.999</v>
      </c>
      <c r="G15" s="258">
        <v>1500</v>
      </c>
      <c r="H15" s="258">
        <v>1425.289</v>
      </c>
      <c r="I15" s="258">
        <v>7159</v>
      </c>
      <c r="J15" s="258">
        <v>4893.38</v>
      </c>
      <c r="K15" s="258"/>
      <c r="L15" s="257"/>
      <c r="M15" s="257"/>
      <c r="N15" s="258">
        <v>0</v>
      </c>
      <c r="O15" s="258">
        <v>0</v>
      </c>
      <c r="P15" s="258">
        <v>500</v>
      </c>
      <c r="Q15" s="258">
        <v>350</v>
      </c>
      <c r="R15" s="258">
        <v>2000</v>
      </c>
      <c r="S15" s="258">
        <v>1940</v>
      </c>
      <c r="T15" s="258">
        <v>2040</v>
      </c>
      <c r="U15" s="258">
        <v>263.76</v>
      </c>
      <c r="V15" s="258">
        <f t="shared" si="2"/>
        <v>20238</v>
      </c>
      <c r="W15" s="258">
        <f t="shared" si="2"/>
        <v>15911.428000000002</v>
      </c>
      <c r="X15" s="259">
        <v>4948.9</v>
      </c>
      <c r="Y15" s="259">
        <v>4647.42</v>
      </c>
      <c r="Z15" s="259"/>
      <c r="AA15" s="259"/>
      <c r="AB15" s="260"/>
      <c r="AC15" s="260"/>
      <c r="AD15" s="259">
        <v>0</v>
      </c>
      <c r="AE15" s="259">
        <v>0</v>
      </c>
      <c r="AF15" s="259">
        <v>0</v>
      </c>
      <c r="AG15" s="259">
        <v>0</v>
      </c>
      <c r="AH15" s="259">
        <v>-492</v>
      </c>
      <c r="AI15" s="259">
        <v>-492</v>
      </c>
      <c r="AJ15" s="257"/>
      <c r="AK15" s="260"/>
      <c r="AL15" s="260">
        <v>0</v>
      </c>
      <c r="AM15" s="260"/>
      <c r="AN15" s="259">
        <v>0</v>
      </c>
      <c r="AO15" s="259">
        <v>0</v>
      </c>
      <c r="AP15" s="257">
        <f t="shared" si="1"/>
        <v>4456.9</v>
      </c>
      <c r="AQ15" s="257">
        <f t="shared" si="1"/>
        <v>4155.42</v>
      </c>
    </row>
    <row r="16" spans="1:43" ht="18" customHeight="1">
      <c r="A16" s="256">
        <v>6</v>
      </c>
      <c r="B16" s="106" t="s">
        <v>250</v>
      </c>
      <c r="C16" s="257">
        <f t="shared" si="0"/>
        <v>11475.2</v>
      </c>
      <c r="D16" s="257">
        <f t="shared" si="0"/>
        <v>9107.1</v>
      </c>
      <c r="E16" s="258">
        <v>5750.7</v>
      </c>
      <c r="F16" s="258">
        <v>5148.3</v>
      </c>
      <c r="G16" s="258">
        <v>1150</v>
      </c>
      <c r="H16" s="258">
        <v>1150</v>
      </c>
      <c r="I16" s="258">
        <v>1553.8</v>
      </c>
      <c r="J16" s="258">
        <v>1192.8</v>
      </c>
      <c r="K16" s="258"/>
      <c r="L16" s="257"/>
      <c r="M16" s="257"/>
      <c r="N16" s="258">
        <v>0</v>
      </c>
      <c r="O16" s="258">
        <v>0</v>
      </c>
      <c r="P16" s="258">
        <v>0</v>
      </c>
      <c r="Q16" s="258">
        <v>0</v>
      </c>
      <c r="R16" s="258">
        <v>600</v>
      </c>
      <c r="S16" s="258">
        <v>600</v>
      </c>
      <c r="T16" s="258">
        <v>300</v>
      </c>
      <c r="U16" s="258">
        <v>275</v>
      </c>
      <c r="V16" s="258">
        <f t="shared" si="2"/>
        <v>9354.5</v>
      </c>
      <c r="W16" s="258">
        <f t="shared" si="2"/>
        <v>8366.1</v>
      </c>
      <c r="X16" s="259">
        <v>2120.7</v>
      </c>
      <c r="Y16" s="259">
        <v>741</v>
      </c>
      <c r="Z16" s="259"/>
      <c r="AA16" s="259"/>
      <c r="AB16" s="260"/>
      <c r="AC16" s="260"/>
      <c r="AD16" s="259">
        <v>0</v>
      </c>
      <c r="AE16" s="259">
        <v>0</v>
      </c>
      <c r="AF16" s="259">
        <v>0</v>
      </c>
      <c r="AG16" s="259">
        <v>0</v>
      </c>
      <c r="AH16" s="259">
        <v>0</v>
      </c>
      <c r="AI16" s="259">
        <v>0</v>
      </c>
      <c r="AJ16" s="257"/>
      <c r="AK16" s="260"/>
      <c r="AL16" s="260">
        <v>0</v>
      </c>
      <c r="AM16" s="260"/>
      <c r="AN16" s="259">
        <v>0</v>
      </c>
      <c r="AO16" s="259">
        <v>0</v>
      </c>
      <c r="AP16" s="257">
        <f t="shared" si="1"/>
        <v>2120.7</v>
      </c>
      <c r="AQ16" s="257">
        <f t="shared" si="1"/>
        <v>741</v>
      </c>
    </row>
    <row r="17" spans="1:43" ht="18" customHeight="1">
      <c r="A17" s="256">
        <v>7</v>
      </c>
      <c r="B17" s="106" t="s">
        <v>251</v>
      </c>
      <c r="C17" s="257">
        <f t="shared" si="0"/>
        <v>79883.1</v>
      </c>
      <c r="D17" s="257">
        <f t="shared" si="0"/>
        <v>28816.871</v>
      </c>
      <c r="E17" s="258">
        <v>10842</v>
      </c>
      <c r="F17" s="258">
        <v>10420.237</v>
      </c>
      <c r="G17" s="258">
        <v>2300</v>
      </c>
      <c r="H17" s="258">
        <v>2005.157</v>
      </c>
      <c r="I17" s="258">
        <v>16070</v>
      </c>
      <c r="J17" s="258">
        <v>5409.495</v>
      </c>
      <c r="K17" s="258"/>
      <c r="L17" s="257"/>
      <c r="M17" s="261"/>
      <c r="N17" s="258">
        <v>0</v>
      </c>
      <c r="O17" s="258">
        <v>0</v>
      </c>
      <c r="P17" s="258">
        <v>1400</v>
      </c>
      <c r="Q17" s="258">
        <v>1000</v>
      </c>
      <c r="R17" s="258">
        <v>5000</v>
      </c>
      <c r="S17" s="258">
        <v>4255</v>
      </c>
      <c r="T17" s="258">
        <v>6812.2</v>
      </c>
      <c r="U17" s="258">
        <v>412.5</v>
      </c>
      <c r="V17" s="258">
        <f t="shared" si="2"/>
        <v>42424.2</v>
      </c>
      <c r="W17" s="258">
        <f t="shared" si="2"/>
        <v>23502.389</v>
      </c>
      <c r="X17" s="259">
        <v>35000</v>
      </c>
      <c r="Y17" s="259">
        <v>6200</v>
      </c>
      <c r="Z17" s="259"/>
      <c r="AA17" s="259"/>
      <c r="AB17" s="260"/>
      <c r="AC17" s="260"/>
      <c r="AD17" s="259">
        <v>0</v>
      </c>
      <c r="AE17" s="259">
        <v>0</v>
      </c>
      <c r="AF17" s="259">
        <v>0</v>
      </c>
      <c r="AG17" s="259">
        <v>0</v>
      </c>
      <c r="AH17" s="259">
        <v>0</v>
      </c>
      <c r="AI17" s="259">
        <v>-885.518</v>
      </c>
      <c r="AJ17" s="257"/>
      <c r="AK17" s="260"/>
      <c r="AL17" s="260">
        <v>2458.9</v>
      </c>
      <c r="AM17" s="260"/>
      <c r="AN17" s="259">
        <v>2458.9</v>
      </c>
      <c r="AO17" s="259">
        <v>0</v>
      </c>
      <c r="AP17" s="257">
        <f t="shared" si="1"/>
        <v>39917.8</v>
      </c>
      <c r="AQ17" s="257">
        <f t="shared" si="1"/>
        <v>5314.482</v>
      </c>
    </row>
    <row r="18" spans="1:43" ht="18" customHeight="1">
      <c r="A18" s="256">
        <v>8</v>
      </c>
      <c r="B18" s="107" t="s">
        <v>252</v>
      </c>
      <c r="C18" s="257">
        <f t="shared" si="0"/>
        <v>71340.6</v>
      </c>
      <c r="D18" s="257">
        <f t="shared" si="0"/>
        <v>59837.565</v>
      </c>
      <c r="E18" s="258">
        <v>23087</v>
      </c>
      <c r="F18" s="258">
        <v>22797.765</v>
      </c>
      <c r="G18" s="258">
        <v>5834</v>
      </c>
      <c r="H18" s="258">
        <v>4897.73</v>
      </c>
      <c r="I18" s="258">
        <v>20178</v>
      </c>
      <c r="J18" s="258">
        <v>18029.6</v>
      </c>
      <c r="K18" s="258"/>
      <c r="L18" s="257"/>
      <c r="M18" s="261"/>
      <c r="N18" s="258">
        <v>0</v>
      </c>
      <c r="O18" s="258">
        <v>0</v>
      </c>
      <c r="P18" s="258">
        <v>1330</v>
      </c>
      <c r="Q18" s="258">
        <v>0</v>
      </c>
      <c r="R18" s="258">
        <v>6835</v>
      </c>
      <c r="S18" s="258">
        <v>5708</v>
      </c>
      <c r="T18" s="258">
        <v>1708.9</v>
      </c>
      <c r="U18" s="258">
        <v>400</v>
      </c>
      <c r="V18" s="258">
        <f t="shared" si="2"/>
        <v>58972.9</v>
      </c>
      <c r="W18" s="258">
        <f t="shared" si="2"/>
        <v>51833.095</v>
      </c>
      <c r="X18" s="259">
        <v>12367.7</v>
      </c>
      <c r="Y18" s="259">
        <v>9927.47</v>
      </c>
      <c r="Z18" s="259"/>
      <c r="AA18" s="259"/>
      <c r="AB18" s="260"/>
      <c r="AC18" s="260"/>
      <c r="AD18" s="259">
        <v>0</v>
      </c>
      <c r="AE18" s="259">
        <v>0</v>
      </c>
      <c r="AF18" s="259">
        <v>0</v>
      </c>
      <c r="AG18" s="259">
        <v>0</v>
      </c>
      <c r="AH18" s="259">
        <v>0</v>
      </c>
      <c r="AI18" s="259">
        <v>-1923</v>
      </c>
      <c r="AJ18" s="257"/>
      <c r="AK18" s="260"/>
      <c r="AL18" s="260">
        <v>0</v>
      </c>
      <c r="AM18" s="260"/>
      <c r="AN18" s="259">
        <v>5500</v>
      </c>
      <c r="AO18" s="259">
        <v>1150</v>
      </c>
      <c r="AP18" s="257">
        <f t="shared" si="1"/>
        <v>17867.7</v>
      </c>
      <c r="AQ18" s="257">
        <f t="shared" si="1"/>
        <v>9154.47</v>
      </c>
    </row>
    <row r="19" spans="1:43" ht="18" customHeight="1">
      <c r="A19" s="256">
        <v>9</v>
      </c>
      <c r="B19" s="106" t="s">
        <v>253</v>
      </c>
      <c r="C19" s="257">
        <f t="shared" si="0"/>
        <v>80943.8001</v>
      </c>
      <c r="D19" s="257">
        <f t="shared" si="0"/>
        <v>58219.415</v>
      </c>
      <c r="E19" s="258">
        <v>18148.93</v>
      </c>
      <c r="F19" s="258">
        <v>17959.946</v>
      </c>
      <c r="G19" s="258">
        <v>4353.15</v>
      </c>
      <c r="H19" s="258">
        <v>4211.608</v>
      </c>
      <c r="I19" s="258">
        <v>16977.9201</v>
      </c>
      <c r="J19" s="258">
        <v>9998.442</v>
      </c>
      <c r="K19" s="258"/>
      <c r="L19" s="257"/>
      <c r="M19" s="261"/>
      <c r="N19" s="258">
        <v>0</v>
      </c>
      <c r="O19" s="258">
        <v>0</v>
      </c>
      <c r="P19" s="258">
        <v>1000</v>
      </c>
      <c r="Q19" s="258">
        <v>850</v>
      </c>
      <c r="R19" s="258">
        <v>6000</v>
      </c>
      <c r="S19" s="258">
        <v>5721</v>
      </c>
      <c r="T19" s="258">
        <v>947.6</v>
      </c>
      <c r="U19" s="258">
        <v>562</v>
      </c>
      <c r="V19" s="258">
        <f t="shared" si="2"/>
        <v>47427.6001</v>
      </c>
      <c r="W19" s="258">
        <f t="shared" si="2"/>
        <v>39302.996</v>
      </c>
      <c r="X19" s="259">
        <v>33516.2</v>
      </c>
      <c r="Y19" s="259">
        <v>18916.419</v>
      </c>
      <c r="Z19" s="259"/>
      <c r="AA19" s="259"/>
      <c r="AB19" s="260"/>
      <c r="AC19" s="260"/>
      <c r="AD19" s="259">
        <v>0</v>
      </c>
      <c r="AE19" s="259">
        <v>0</v>
      </c>
      <c r="AF19" s="259">
        <v>0</v>
      </c>
      <c r="AG19" s="259">
        <v>0</v>
      </c>
      <c r="AH19" s="259">
        <v>0</v>
      </c>
      <c r="AI19" s="259">
        <v>0</v>
      </c>
      <c r="AJ19" s="257"/>
      <c r="AK19" s="260"/>
      <c r="AL19" s="260">
        <v>0</v>
      </c>
      <c r="AM19" s="260"/>
      <c r="AN19" s="259">
        <v>0</v>
      </c>
      <c r="AO19" s="259">
        <v>0</v>
      </c>
      <c r="AP19" s="257">
        <f t="shared" si="1"/>
        <v>33516.2</v>
      </c>
      <c r="AQ19" s="257">
        <f t="shared" si="1"/>
        <v>18916.419</v>
      </c>
    </row>
    <row r="20" spans="1:43" ht="18" customHeight="1">
      <c r="A20" s="256">
        <v>10</v>
      </c>
      <c r="B20" s="106" t="s">
        <v>254</v>
      </c>
      <c r="C20" s="257">
        <f t="shared" si="0"/>
        <v>29531.300000000003</v>
      </c>
      <c r="D20" s="257">
        <f t="shared" si="0"/>
        <v>26167.421000000002</v>
      </c>
      <c r="E20" s="258">
        <v>8445</v>
      </c>
      <c r="F20" s="258">
        <v>8316</v>
      </c>
      <c r="G20" s="258">
        <v>2025</v>
      </c>
      <c r="H20" s="258">
        <v>1768.991</v>
      </c>
      <c r="I20" s="258">
        <v>8027</v>
      </c>
      <c r="J20" s="258">
        <v>7396.3</v>
      </c>
      <c r="K20" s="258"/>
      <c r="L20" s="257"/>
      <c r="M20" s="261"/>
      <c r="N20" s="258">
        <v>0</v>
      </c>
      <c r="O20" s="258">
        <v>0</v>
      </c>
      <c r="P20" s="258">
        <v>0</v>
      </c>
      <c r="Q20" s="258">
        <v>0</v>
      </c>
      <c r="R20" s="258">
        <v>4660</v>
      </c>
      <c r="S20" s="258">
        <v>4540</v>
      </c>
      <c r="T20" s="258">
        <v>415.7</v>
      </c>
      <c r="U20" s="258">
        <v>160</v>
      </c>
      <c r="V20" s="258">
        <f t="shared" si="2"/>
        <v>23572.7</v>
      </c>
      <c r="W20" s="258">
        <f t="shared" si="2"/>
        <v>22181.291</v>
      </c>
      <c r="X20" s="259">
        <v>5958.6</v>
      </c>
      <c r="Y20" s="259">
        <v>4378.2</v>
      </c>
      <c r="Z20" s="259"/>
      <c r="AA20" s="259"/>
      <c r="AB20" s="260"/>
      <c r="AC20" s="260"/>
      <c r="AD20" s="259">
        <v>0</v>
      </c>
      <c r="AE20" s="259">
        <v>0</v>
      </c>
      <c r="AF20" s="259">
        <v>0</v>
      </c>
      <c r="AG20" s="259">
        <v>0</v>
      </c>
      <c r="AH20" s="259">
        <v>0</v>
      </c>
      <c r="AI20" s="259">
        <v>-392.07</v>
      </c>
      <c r="AJ20" s="257"/>
      <c r="AK20" s="260"/>
      <c r="AL20" s="260">
        <v>0</v>
      </c>
      <c r="AM20" s="260"/>
      <c r="AN20" s="259">
        <v>0</v>
      </c>
      <c r="AO20" s="259">
        <v>0</v>
      </c>
      <c r="AP20" s="257">
        <f t="shared" si="1"/>
        <v>5958.6</v>
      </c>
      <c r="AQ20" s="257">
        <f t="shared" si="1"/>
        <v>3986.1299999999997</v>
      </c>
    </row>
    <row r="21" spans="1:43" ht="18" customHeight="1">
      <c r="A21" s="256">
        <v>11</v>
      </c>
      <c r="B21" s="106" t="s">
        <v>255</v>
      </c>
      <c r="C21" s="257">
        <f t="shared" si="0"/>
        <v>44099.8</v>
      </c>
      <c r="D21" s="257">
        <f t="shared" si="0"/>
        <v>35729.353</v>
      </c>
      <c r="E21" s="258">
        <v>14840</v>
      </c>
      <c r="F21" s="258">
        <v>10423.887</v>
      </c>
      <c r="G21" s="258">
        <v>3533</v>
      </c>
      <c r="H21" s="258">
        <v>2505.99</v>
      </c>
      <c r="I21" s="258">
        <v>7785</v>
      </c>
      <c r="J21" s="258">
        <v>5369.131</v>
      </c>
      <c r="K21" s="258"/>
      <c r="L21" s="257"/>
      <c r="M21" s="261"/>
      <c r="N21" s="258">
        <v>0</v>
      </c>
      <c r="O21" s="258">
        <v>0</v>
      </c>
      <c r="P21" s="258">
        <v>3429.6</v>
      </c>
      <c r="Q21" s="258">
        <v>3269.97</v>
      </c>
      <c r="R21" s="258">
        <v>3760</v>
      </c>
      <c r="S21" s="258">
        <v>3665</v>
      </c>
      <c r="T21" s="258">
        <v>475</v>
      </c>
      <c r="U21" s="258">
        <v>240.85</v>
      </c>
      <c r="V21" s="258">
        <f t="shared" si="2"/>
        <v>33822.6</v>
      </c>
      <c r="W21" s="258">
        <f t="shared" si="2"/>
        <v>25474.828</v>
      </c>
      <c r="X21" s="259">
        <v>15277.2</v>
      </c>
      <c r="Y21" s="259">
        <v>10404.525</v>
      </c>
      <c r="Z21" s="259"/>
      <c r="AA21" s="259"/>
      <c r="AB21" s="260"/>
      <c r="AC21" s="260"/>
      <c r="AD21" s="259">
        <v>0</v>
      </c>
      <c r="AE21" s="259">
        <v>0</v>
      </c>
      <c r="AF21" s="259">
        <v>0</v>
      </c>
      <c r="AG21" s="259">
        <v>0</v>
      </c>
      <c r="AH21" s="259">
        <v>-5000</v>
      </c>
      <c r="AI21" s="259">
        <v>-150</v>
      </c>
      <c r="AJ21" s="257"/>
      <c r="AK21" s="260"/>
      <c r="AL21" s="260">
        <v>0</v>
      </c>
      <c r="AM21" s="260"/>
      <c r="AN21" s="259">
        <v>1352</v>
      </c>
      <c r="AO21" s="259">
        <v>1329.333</v>
      </c>
      <c r="AP21" s="257">
        <f t="shared" si="1"/>
        <v>11629.2</v>
      </c>
      <c r="AQ21" s="257">
        <f t="shared" si="1"/>
        <v>11583.858</v>
      </c>
    </row>
    <row r="22" spans="1:43" ht="18" customHeight="1">
      <c r="A22" s="256">
        <v>12</v>
      </c>
      <c r="B22" s="106" t="s">
        <v>256</v>
      </c>
      <c r="C22" s="257">
        <f t="shared" si="0"/>
        <v>109960.5</v>
      </c>
      <c r="D22" s="257">
        <f t="shared" si="0"/>
        <v>89038.50600000001</v>
      </c>
      <c r="E22" s="258">
        <v>34410</v>
      </c>
      <c r="F22" s="258">
        <v>31152.933</v>
      </c>
      <c r="G22" s="258">
        <v>6080</v>
      </c>
      <c r="H22" s="258">
        <v>5653.543</v>
      </c>
      <c r="I22" s="258">
        <v>26522</v>
      </c>
      <c r="J22" s="258">
        <v>21256.717</v>
      </c>
      <c r="K22" s="258"/>
      <c r="L22" s="257"/>
      <c r="M22" s="261"/>
      <c r="N22" s="258">
        <v>0</v>
      </c>
      <c r="O22" s="258">
        <v>0</v>
      </c>
      <c r="P22" s="258">
        <v>0</v>
      </c>
      <c r="Q22" s="258">
        <v>0</v>
      </c>
      <c r="R22" s="258">
        <v>18480</v>
      </c>
      <c r="S22" s="258">
        <v>18180</v>
      </c>
      <c r="T22" s="258">
        <v>1662</v>
      </c>
      <c r="U22" s="258">
        <v>1610</v>
      </c>
      <c r="V22" s="258">
        <f t="shared" si="2"/>
        <v>87154</v>
      </c>
      <c r="W22" s="258">
        <f t="shared" si="2"/>
        <v>77853.193</v>
      </c>
      <c r="X22" s="259">
        <v>22806.5</v>
      </c>
      <c r="Y22" s="259">
        <v>21092.92</v>
      </c>
      <c r="Z22" s="259"/>
      <c r="AA22" s="259"/>
      <c r="AB22" s="260"/>
      <c r="AC22" s="260"/>
      <c r="AD22" s="259">
        <v>0</v>
      </c>
      <c r="AE22" s="259">
        <v>0</v>
      </c>
      <c r="AF22" s="259">
        <v>0</v>
      </c>
      <c r="AG22" s="259">
        <v>0</v>
      </c>
      <c r="AH22" s="259">
        <v>0</v>
      </c>
      <c r="AI22" s="259">
        <v>-9907.607</v>
      </c>
      <c r="AJ22" s="257"/>
      <c r="AK22" s="260"/>
      <c r="AL22" s="260">
        <v>0</v>
      </c>
      <c r="AM22" s="260"/>
      <c r="AN22" s="259">
        <v>21600</v>
      </c>
      <c r="AO22" s="259">
        <v>9991.257</v>
      </c>
      <c r="AP22" s="257">
        <f t="shared" si="1"/>
        <v>44406.5</v>
      </c>
      <c r="AQ22" s="257">
        <f t="shared" si="1"/>
        <v>21176.57</v>
      </c>
    </row>
    <row r="23" spans="1:43" ht="18" customHeight="1">
      <c r="A23" s="256">
        <v>13</v>
      </c>
      <c r="B23" s="106" t="s">
        <v>257</v>
      </c>
      <c r="C23" s="257">
        <f t="shared" si="0"/>
        <v>104515.7</v>
      </c>
      <c r="D23" s="257">
        <f t="shared" si="0"/>
        <v>101626.637</v>
      </c>
      <c r="E23" s="258">
        <v>37934</v>
      </c>
      <c r="F23" s="258">
        <v>37852.748</v>
      </c>
      <c r="G23" s="258">
        <v>6608</v>
      </c>
      <c r="H23" s="258">
        <v>6488.473</v>
      </c>
      <c r="I23" s="258">
        <v>37808</v>
      </c>
      <c r="J23" s="258">
        <v>37701.999</v>
      </c>
      <c r="K23" s="258"/>
      <c r="L23" s="257"/>
      <c r="M23" s="261"/>
      <c r="N23" s="258">
        <v>0</v>
      </c>
      <c r="O23" s="258">
        <v>0</v>
      </c>
      <c r="P23" s="258">
        <v>10101</v>
      </c>
      <c r="Q23" s="258">
        <v>10100</v>
      </c>
      <c r="R23" s="258">
        <v>690</v>
      </c>
      <c r="S23" s="258">
        <v>685</v>
      </c>
      <c r="T23" s="258">
        <v>110</v>
      </c>
      <c r="U23" s="258">
        <v>108.85</v>
      </c>
      <c r="V23" s="258">
        <f t="shared" si="2"/>
        <v>93251</v>
      </c>
      <c r="W23" s="258">
        <f t="shared" si="2"/>
        <v>92937.07</v>
      </c>
      <c r="X23" s="259">
        <v>11264.7</v>
      </c>
      <c r="Y23" s="259">
        <v>9490.592</v>
      </c>
      <c r="Z23" s="259"/>
      <c r="AA23" s="259"/>
      <c r="AB23" s="260"/>
      <c r="AC23" s="260"/>
      <c r="AD23" s="259">
        <v>0</v>
      </c>
      <c r="AE23" s="259">
        <v>0</v>
      </c>
      <c r="AF23" s="259">
        <v>0</v>
      </c>
      <c r="AG23" s="259">
        <v>0</v>
      </c>
      <c r="AH23" s="259">
        <v>0</v>
      </c>
      <c r="AI23" s="259">
        <v>-801.025</v>
      </c>
      <c r="AJ23" s="257"/>
      <c r="AK23" s="260"/>
      <c r="AL23" s="260">
        <v>0</v>
      </c>
      <c r="AM23" s="260"/>
      <c r="AN23" s="259">
        <v>0</v>
      </c>
      <c r="AO23" s="259">
        <v>0</v>
      </c>
      <c r="AP23" s="257">
        <f t="shared" si="1"/>
        <v>11264.7</v>
      </c>
      <c r="AQ23" s="257">
        <f t="shared" si="1"/>
        <v>8689.567000000001</v>
      </c>
    </row>
    <row r="24" spans="1:43" ht="18" customHeight="1">
      <c r="A24" s="256">
        <v>14</v>
      </c>
      <c r="B24" s="106" t="s">
        <v>258</v>
      </c>
      <c r="C24" s="257">
        <f t="shared" si="0"/>
        <v>41417.49999999999</v>
      </c>
      <c r="D24" s="257">
        <f t="shared" si="0"/>
        <v>40914.244</v>
      </c>
      <c r="E24" s="258">
        <v>14357</v>
      </c>
      <c r="F24" s="258">
        <v>14355.206</v>
      </c>
      <c r="G24" s="258">
        <v>2855</v>
      </c>
      <c r="H24" s="258">
        <v>2786.516</v>
      </c>
      <c r="I24" s="258">
        <v>11196.5</v>
      </c>
      <c r="J24" s="258">
        <v>10813.662</v>
      </c>
      <c r="K24" s="258"/>
      <c r="L24" s="257"/>
      <c r="M24" s="261"/>
      <c r="N24" s="258">
        <v>0</v>
      </c>
      <c r="O24" s="258">
        <v>0</v>
      </c>
      <c r="P24" s="258">
        <v>1782.7</v>
      </c>
      <c r="Q24" s="258">
        <v>1782.7</v>
      </c>
      <c r="R24" s="258">
        <v>3600</v>
      </c>
      <c r="S24" s="258">
        <v>3600</v>
      </c>
      <c r="T24" s="258">
        <v>320</v>
      </c>
      <c r="U24" s="258">
        <v>270</v>
      </c>
      <c r="V24" s="258">
        <f t="shared" si="2"/>
        <v>34111.2</v>
      </c>
      <c r="W24" s="258">
        <f t="shared" si="2"/>
        <v>33608.084</v>
      </c>
      <c r="X24" s="259">
        <v>9076.3</v>
      </c>
      <c r="Y24" s="259">
        <v>9076.3</v>
      </c>
      <c r="Z24" s="259"/>
      <c r="AA24" s="259"/>
      <c r="AB24" s="260"/>
      <c r="AC24" s="260"/>
      <c r="AD24" s="259">
        <v>0</v>
      </c>
      <c r="AE24" s="259">
        <v>0</v>
      </c>
      <c r="AF24" s="259">
        <v>0</v>
      </c>
      <c r="AG24" s="259">
        <v>0</v>
      </c>
      <c r="AH24" s="259">
        <v>-1770</v>
      </c>
      <c r="AI24" s="259">
        <v>-1770.14</v>
      </c>
      <c r="AJ24" s="257"/>
      <c r="AK24" s="260"/>
      <c r="AL24" s="260">
        <v>0</v>
      </c>
      <c r="AM24" s="260"/>
      <c r="AN24" s="259">
        <v>6101.8</v>
      </c>
      <c r="AO24" s="259">
        <v>6101.8</v>
      </c>
      <c r="AP24" s="257">
        <f t="shared" si="1"/>
        <v>13408.099999999999</v>
      </c>
      <c r="AQ24" s="257">
        <f t="shared" si="1"/>
        <v>13407.96</v>
      </c>
    </row>
    <row r="25" spans="1:43" ht="18" customHeight="1">
      <c r="A25" s="256">
        <v>15</v>
      </c>
      <c r="B25" s="106" t="s">
        <v>246</v>
      </c>
      <c r="C25" s="257">
        <f t="shared" si="0"/>
        <v>139886.1001</v>
      </c>
      <c r="D25" s="257">
        <f t="shared" si="0"/>
        <v>118440.93400000001</v>
      </c>
      <c r="E25" s="258">
        <v>31227</v>
      </c>
      <c r="F25" s="258">
        <v>30025.265</v>
      </c>
      <c r="G25" s="258">
        <v>7200.5</v>
      </c>
      <c r="H25" s="258">
        <v>6656.453</v>
      </c>
      <c r="I25" s="258">
        <v>31480</v>
      </c>
      <c r="J25" s="258">
        <v>26923.806</v>
      </c>
      <c r="K25" s="258"/>
      <c r="L25" s="257"/>
      <c r="M25" s="261"/>
      <c r="N25" s="258">
        <v>0</v>
      </c>
      <c r="O25" s="258">
        <v>0</v>
      </c>
      <c r="P25" s="258">
        <v>1336.6</v>
      </c>
      <c r="Q25" s="258">
        <v>700</v>
      </c>
      <c r="R25" s="258">
        <v>11000</v>
      </c>
      <c r="S25" s="258">
        <v>10791</v>
      </c>
      <c r="T25" s="258">
        <v>1200</v>
      </c>
      <c r="U25" s="258">
        <v>1037.1</v>
      </c>
      <c r="V25" s="258">
        <f t="shared" si="2"/>
        <v>83444.1</v>
      </c>
      <c r="W25" s="258">
        <f t="shared" si="2"/>
        <v>76133.62400000001</v>
      </c>
      <c r="X25" s="259">
        <v>56500.0001</v>
      </c>
      <c r="Y25" s="259">
        <v>44289.642</v>
      </c>
      <c r="Z25" s="259"/>
      <c r="AA25" s="259"/>
      <c r="AB25" s="260"/>
      <c r="AC25" s="260"/>
      <c r="AD25" s="259">
        <v>0</v>
      </c>
      <c r="AE25" s="259">
        <v>0</v>
      </c>
      <c r="AF25" s="259">
        <v>0</v>
      </c>
      <c r="AG25" s="259">
        <v>0</v>
      </c>
      <c r="AH25" s="259">
        <v>-3000</v>
      </c>
      <c r="AI25" s="259">
        <v>-1982.332</v>
      </c>
      <c r="AJ25" s="257"/>
      <c r="AK25" s="260"/>
      <c r="AL25" s="260">
        <v>2942</v>
      </c>
      <c r="AM25" s="260"/>
      <c r="AN25" s="259">
        <v>27142</v>
      </c>
      <c r="AO25" s="259">
        <v>10600</v>
      </c>
      <c r="AP25" s="257">
        <f t="shared" si="1"/>
        <v>83584.0001</v>
      </c>
      <c r="AQ25" s="257">
        <f t="shared" si="1"/>
        <v>52907.31</v>
      </c>
    </row>
    <row r="26" spans="1:43" ht="18" customHeight="1">
      <c r="A26" s="256">
        <v>16</v>
      </c>
      <c r="B26" s="106" t="s">
        <v>259</v>
      </c>
      <c r="C26" s="257">
        <f t="shared" si="0"/>
        <v>14832.8</v>
      </c>
      <c r="D26" s="257">
        <f t="shared" si="0"/>
        <v>12956.100000000002</v>
      </c>
      <c r="E26" s="258">
        <v>6123</v>
      </c>
      <c r="F26" s="258">
        <v>6123</v>
      </c>
      <c r="G26" s="258">
        <v>1336</v>
      </c>
      <c r="H26" s="258">
        <v>1335.1</v>
      </c>
      <c r="I26" s="258">
        <v>3210</v>
      </c>
      <c r="J26" s="258">
        <v>2841.8</v>
      </c>
      <c r="K26" s="258"/>
      <c r="L26" s="257"/>
      <c r="M26" s="261"/>
      <c r="N26" s="258">
        <v>0</v>
      </c>
      <c r="O26" s="258">
        <v>0</v>
      </c>
      <c r="P26" s="258">
        <v>100</v>
      </c>
      <c r="Q26" s="258">
        <v>100</v>
      </c>
      <c r="R26" s="258">
        <v>1150</v>
      </c>
      <c r="S26" s="258">
        <v>1117</v>
      </c>
      <c r="T26" s="258">
        <v>916.5</v>
      </c>
      <c r="U26" s="258">
        <v>160</v>
      </c>
      <c r="V26" s="258">
        <f t="shared" si="2"/>
        <v>12835.5</v>
      </c>
      <c r="W26" s="258">
        <f t="shared" si="2"/>
        <v>11676.900000000001</v>
      </c>
      <c r="X26" s="259">
        <v>2929.7</v>
      </c>
      <c r="Y26" s="259">
        <v>2211.6</v>
      </c>
      <c r="Z26" s="259"/>
      <c r="AA26" s="259"/>
      <c r="AB26" s="260"/>
      <c r="AC26" s="260"/>
      <c r="AD26" s="259">
        <v>0</v>
      </c>
      <c r="AE26" s="259">
        <v>0</v>
      </c>
      <c r="AF26" s="259">
        <v>0</v>
      </c>
      <c r="AG26" s="259">
        <v>0</v>
      </c>
      <c r="AH26" s="259">
        <v>-932.4</v>
      </c>
      <c r="AI26" s="259">
        <v>-932.4</v>
      </c>
      <c r="AJ26" s="257"/>
      <c r="AK26" s="260"/>
      <c r="AL26" s="260">
        <v>0</v>
      </c>
      <c r="AM26" s="260"/>
      <c r="AN26" s="259">
        <v>320</v>
      </c>
      <c r="AO26" s="259">
        <v>0</v>
      </c>
      <c r="AP26" s="257">
        <f t="shared" si="1"/>
        <v>2317.2999999999997</v>
      </c>
      <c r="AQ26" s="257">
        <f t="shared" si="1"/>
        <v>1279.1999999999998</v>
      </c>
    </row>
    <row r="27" spans="1:43" ht="18" customHeight="1">
      <c r="A27" s="256">
        <v>17</v>
      </c>
      <c r="B27" s="106" t="s">
        <v>260</v>
      </c>
      <c r="C27" s="257">
        <f t="shared" si="0"/>
        <v>32650.199999999997</v>
      </c>
      <c r="D27" s="257">
        <f t="shared" si="0"/>
        <v>30543.71</v>
      </c>
      <c r="E27" s="258">
        <v>10968.6</v>
      </c>
      <c r="F27" s="258">
        <v>10739.862</v>
      </c>
      <c r="G27" s="258">
        <v>2320</v>
      </c>
      <c r="H27" s="258">
        <v>2072.758</v>
      </c>
      <c r="I27" s="258">
        <v>4871</v>
      </c>
      <c r="J27" s="258">
        <v>3548.45</v>
      </c>
      <c r="K27" s="258"/>
      <c r="L27" s="257"/>
      <c r="M27" s="261"/>
      <c r="N27" s="258">
        <v>4800</v>
      </c>
      <c r="O27" s="258">
        <v>4800</v>
      </c>
      <c r="P27" s="258">
        <v>1200</v>
      </c>
      <c r="Q27" s="258">
        <v>1200</v>
      </c>
      <c r="R27" s="258">
        <v>2500</v>
      </c>
      <c r="S27" s="258">
        <v>2500</v>
      </c>
      <c r="T27" s="258">
        <v>1250</v>
      </c>
      <c r="U27" s="258">
        <v>984.8</v>
      </c>
      <c r="V27" s="258">
        <f t="shared" si="2"/>
        <v>27909.6</v>
      </c>
      <c r="W27" s="258">
        <f t="shared" si="2"/>
        <v>25845.87</v>
      </c>
      <c r="X27" s="259">
        <v>15690.1</v>
      </c>
      <c r="Y27" s="259">
        <v>15647.42</v>
      </c>
      <c r="Z27" s="259"/>
      <c r="AA27" s="259"/>
      <c r="AB27" s="260"/>
      <c r="AC27" s="260"/>
      <c r="AD27" s="259">
        <v>0</v>
      </c>
      <c r="AE27" s="259">
        <v>0</v>
      </c>
      <c r="AF27" s="259">
        <v>0</v>
      </c>
      <c r="AG27" s="259">
        <v>0</v>
      </c>
      <c r="AH27" s="259">
        <v>-10949.5</v>
      </c>
      <c r="AI27" s="259">
        <v>-10949.58</v>
      </c>
      <c r="AJ27" s="257"/>
      <c r="AK27" s="260"/>
      <c r="AL27" s="260">
        <v>0</v>
      </c>
      <c r="AM27" s="260"/>
      <c r="AN27" s="259">
        <v>0</v>
      </c>
      <c r="AO27" s="259">
        <v>0</v>
      </c>
      <c r="AP27" s="257">
        <f t="shared" si="1"/>
        <v>4740.6</v>
      </c>
      <c r="AQ27" s="257">
        <f t="shared" si="1"/>
        <v>4697.84</v>
      </c>
    </row>
    <row r="28" spans="1:43" ht="18" customHeight="1">
      <c r="A28" s="256">
        <v>18</v>
      </c>
      <c r="B28" s="106" t="s">
        <v>261</v>
      </c>
      <c r="C28" s="257">
        <f t="shared" si="0"/>
        <v>47719</v>
      </c>
      <c r="D28" s="257">
        <f t="shared" si="0"/>
        <v>29841.847</v>
      </c>
      <c r="E28" s="258">
        <v>12492.8</v>
      </c>
      <c r="F28" s="258">
        <v>11696.347</v>
      </c>
      <c r="G28" s="258">
        <v>2650</v>
      </c>
      <c r="H28" s="258">
        <v>2182.832</v>
      </c>
      <c r="I28" s="258">
        <v>6056</v>
      </c>
      <c r="J28" s="258">
        <v>4763.2</v>
      </c>
      <c r="K28" s="258"/>
      <c r="L28" s="257"/>
      <c r="M28" s="261"/>
      <c r="N28" s="258">
        <v>0</v>
      </c>
      <c r="O28" s="258">
        <v>0</v>
      </c>
      <c r="P28" s="258">
        <v>8237</v>
      </c>
      <c r="Q28" s="258">
        <v>7240</v>
      </c>
      <c r="R28" s="258">
        <v>2700</v>
      </c>
      <c r="S28" s="258">
        <v>1890</v>
      </c>
      <c r="T28" s="258">
        <v>1709</v>
      </c>
      <c r="U28" s="258">
        <v>1588.4</v>
      </c>
      <c r="V28" s="258">
        <f t="shared" si="2"/>
        <v>33844.8</v>
      </c>
      <c r="W28" s="258">
        <f t="shared" si="2"/>
        <v>29360.779000000002</v>
      </c>
      <c r="X28" s="259">
        <v>13874.2</v>
      </c>
      <c r="Y28" s="259">
        <v>2126.5</v>
      </c>
      <c r="Z28" s="259"/>
      <c r="AA28" s="259"/>
      <c r="AB28" s="260"/>
      <c r="AC28" s="260"/>
      <c r="AD28" s="259">
        <v>0</v>
      </c>
      <c r="AE28" s="259">
        <v>0</v>
      </c>
      <c r="AF28" s="259">
        <v>0</v>
      </c>
      <c r="AG28" s="259">
        <v>0</v>
      </c>
      <c r="AH28" s="259">
        <v>0</v>
      </c>
      <c r="AI28" s="259">
        <v>-1645.432</v>
      </c>
      <c r="AJ28" s="257"/>
      <c r="AK28" s="260"/>
      <c r="AL28" s="260">
        <v>0</v>
      </c>
      <c r="AM28" s="260"/>
      <c r="AN28" s="259">
        <v>0</v>
      </c>
      <c r="AO28" s="259">
        <v>0</v>
      </c>
      <c r="AP28" s="257">
        <f t="shared" si="1"/>
        <v>13874.2</v>
      </c>
      <c r="AQ28" s="257">
        <f t="shared" si="1"/>
        <v>481.068</v>
      </c>
    </row>
    <row r="29" spans="1:43" ht="18" customHeight="1">
      <c r="A29" s="256">
        <v>19</v>
      </c>
      <c r="B29" s="106" t="s">
        <v>262</v>
      </c>
      <c r="C29" s="257">
        <f t="shared" si="0"/>
        <v>49503.500100000005</v>
      </c>
      <c r="D29" s="257">
        <f t="shared" si="0"/>
        <v>46673.138</v>
      </c>
      <c r="E29" s="258">
        <v>12915.4</v>
      </c>
      <c r="F29" s="258">
        <v>12913.44</v>
      </c>
      <c r="G29" s="258">
        <v>2617.8</v>
      </c>
      <c r="H29" s="258">
        <v>2616.264</v>
      </c>
      <c r="I29" s="258">
        <v>11232.1001</v>
      </c>
      <c r="J29" s="258">
        <v>11224.005</v>
      </c>
      <c r="K29" s="258"/>
      <c r="L29" s="257"/>
      <c r="M29" s="261"/>
      <c r="N29" s="258">
        <v>0</v>
      </c>
      <c r="O29" s="258">
        <v>0</v>
      </c>
      <c r="P29" s="258">
        <v>7402</v>
      </c>
      <c r="Q29" s="258">
        <v>7402</v>
      </c>
      <c r="R29" s="258">
        <v>4228</v>
      </c>
      <c r="S29" s="258">
        <v>4228</v>
      </c>
      <c r="T29" s="258">
        <v>277</v>
      </c>
      <c r="U29" s="258">
        <v>276.53</v>
      </c>
      <c r="V29" s="258">
        <f t="shared" si="2"/>
        <v>38672.3001</v>
      </c>
      <c r="W29" s="258">
        <f t="shared" si="2"/>
        <v>38660.239</v>
      </c>
      <c r="X29" s="259">
        <v>12831.2</v>
      </c>
      <c r="Y29" s="259">
        <v>8800</v>
      </c>
      <c r="Z29" s="259"/>
      <c r="AA29" s="259"/>
      <c r="AB29" s="260"/>
      <c r="AC29" s="260"/>
      <c r="AD29" s="259">
        <v>0</v>
      </c>
      <c r="AE29" s="259">
        <v>0</v>
      </c>
      <c r="AF29" s="259">
        <v>0</v>
      </c>
      <c r="AG29" s="259">
        <v>0</v>
      </c>
      <c r="AH29" s="259">
        <v>-2000</v>
      </c>
      <c r="AI29" s="259">
        <v>-787.101</v>
      </c>
      <c r="AJ29" s="257"/>
      <c r="AK29" s="260"/>
      <c r="AL29" s="260">
        <v>0</v>
      </c>
      <c r="AM29" s="260"/>
      <c r="AN29" s="259">
        <v>2400.6</v>
      </c>
      <c r="AO29" s="259">
        <v>0</v>
      </c>
      <c r="AP29" s="257">
        <f t="shared" si="1"/>
        <v>13231.800000000001</v>
      </c>
      <c r="AQ29" s="257">
        <f t="shared" si="1"/>
        <v>8012.899</v>
      </c>
    </row>
    <row r="30" spans="1:43" ht="18" customHeight="1">
      <c r="A30" s="256">
        <v>20</v>
      </c>
      <c r="B30" s="106" t="s">
        <v>263</v>
      </c>
      <c r="C30" s="257">
        <f t="shared" si="0"/>
        <v>19937.2</v>
      </c>
      <c r="D30" s="257">
        <f t="shared" si="0"/>
        <v>17981.828999999998</v>
      </c>
      <c r="E30" s="258">
        <v>7056</v>
      </c>
      <c r="F30" s="258">
        <v>6930.758</v>
      </c>
      <c r="G30" s="258">
        <v>1604.2</v>
      </c>
      <c r="H30" s="258">
        <v>1545.4</v>
      </c>
      <c r="I30" s="258">
        <v>4170</v>
      </c>
      <c r="J30" s="258">
        <v>3737.9</v>
      </c>
      <c r="K30" s="258"/>
      <c r="L30" s="257"/>
      <c r="M30" s="261"/>
      <c r="N30" s="258">
        <v>0</v>
      </c>
      <c r="O30" s="258">
        <v>0</v>
      </c>
      <c r="P30" s="258">
        <v>0</v>
      </c>
      <c r="Q30" s="258">
        <v>0</v>
      </c>
      <c r="R30" s="258">
        <v>3601</v>
      </c>
      <c r="S30" s="258">
        <v>3549.6</v>
      </c>
      <c r="T30" s="258">
        <v>190</v>
      </c>
      <c r="U30" s="258">
        <v>0</v>
      </c>
      <c r="V30" s="258">
        <f t="shared" si="2"/>
        <v>16621.2</v>
      </c>
      <c r="W30" s="258">
        <f t="shared" si="2"/>
        <v>15763.658</v>
      </c>
      <c r="X30" s="259">
        <v>3316</v>
      </c>
      <c r="Y30" s="259">
        <v>2291.906</v>
      </c>
      <c r="Z30" s="259"/>
      <c r="AA30" s="259"/>
      <c r="AB30" s="260"/>
      <c r="AC30" s="260"/>
      <c r="AD30" s="259">
        <v>0</v>
      </c>
      <c r="AE30" s="259">
        <v>0</v>
      </c>
      <c r="AF30" s="259">
        <v>0</v>
      </c>
      <c r="AG30" s="259">
        <v>0</v>
      </c>
      <c r="AH30" s="259">
        <v>0</v>
      </c>
      <c r="AI30" s="259">
        <v>-73.735</v>
      </c>
      <c r="AJ30" s="257"/>
      <c r="AK30" s="260"/>
      <c r="AL30" s="260">
        <v>0</v>
      </c>
      <c r="AM30" s="260"/>
      <c r="AN30" s="259">
        <v>0</v>
      </c>
      <c r="AO30" s="259">
        <v>0</v>
      </c>
      <c r="AP30" s="257">
        <f t="shared" si="1"/>
        <v>3316</v>
      </c>
      <c r="AQ30" s="257">
        <f t="shared" si="1"/>
        <v>2218.171</v>
      </c>
    </row>
    <row r="31" spans="1:43" ht="18" customHeight="1">
      <c r="A31" s="256">
        <v>21</v>
      </c>
      <c r="B31" s="106" t="s">
        <v>264</v>
      </c>
      <c r="C31" s="257">
        <f t="shared" si="0"/>
        <v>38066.4</v>
      </c>
      <c r="D31" s="257">
        <f t="shared" si="0"/>
        <v>34731.222</v>
      </c>
      <c r="E31" s="258">
        <v>9355</v>
      </c>
      <c r="F31" s="258">
        <v>9350.188</v>
      </c>
      <c r="G31" s="258">
        <v>1941</v>
      </c>
      <c r="H31" s="258">
        <v>1934.357</v>
      </c>
      <c r="I31" s="258">
        <v>16749</v>
      </c>
      <c r="J31" s="258">
        <v>15483.937</v>
      </c>
      <c r="K31" s="258"/>
      <c r="L31" s="257"/>
      <c r="M31" s="261"/>
      <c r="N31" s="258">
        <v>0</v>
      </c>
      <c r="O31" s="258">
        <v>0</v>
      </c>
      <c r="P31" s="258">
        <v>0</v>
      </c>
      <c r="Q31" s="258">
        <v>0</v>
      </c>
      <c r="R31" s="258">
        <v>4600</v>
      </c>
      <c r="S31" s="258">
        <v>4600</v>
      </c>
      <c r="T31" s="258">
        <v>373</v>
      </c>
      <c r="U31" s="258">
        <v>313</v>
      </c>
      <c r="V31" s="258">
        <f t="shared" si="2"/>
        <v>33018</v>
      </c>
      <c r="W31" s="258">
        <f t="shared" si="2"/>
        <v>31681.482</v>
      </c>
      <c r="X31" s="259">
        <v>5576.4</v>
      </c>
      <c r="Y31" s="259">
        <v>3577.64</v>
      </c>
      <c r="Z31" s="259"/>
      <c r="AA31" s="259"/>
      <c r="AB31" s="260"/>
      <c r="AC31" s="260"/>
      <c r="AD31" s="259">
        <v>0</v>
      </c>
      <c r="AE31" s="259">
        <v>0</v>
      </c>
      <c r="AF31" s="259">
        <v>0</v>
      </c>
      <c r="AG31" s="259">
        <v>0</v>
      </c>
      <c r="AH31" s="259">
        <v>-528</v>
      </c>
      <c r="AI31" s="259">
        <v>-527.9</v>
      </c>
      <c r="AJ31" s="257"/>
      <c r="AK31" s="260"/>
      <c r="AL31" s="260">
        <v>0</v>
      </c>
      <c r="AM31" s="260"/>
      <c r="AN31" s="259">
        <v>2726.7</v>
      </c>
      <c r="AO31" s="259">
        <v>728.021</v>
      </c>
      <c r="AP31" s="257">
        <f t="shared" si="1"/>
        <v>7775.099999999999</v>
      </c>
      <c r="AQ31" s="257">
        <f t="shared" si="1"/>
        <v>3777.7609999999995</v>
      </c>
    </row>
    <row r="32" spans="1:43" ht="18" customHeight="1">
      <c r="A32" s="256">
        <v>22</v>
      </c>
      <c r="B32" s="106" t="s">
        <v>265</v>
      </c>
      <c r="C32" s="257">
        <f t="shared" si="0"/>
        <v>32207.4</v>
      </c>
      <c r="D32" s="257">
        <f t="shared" si="0"/>
        <v>27802.31</v>
      </c>
      <c r="E32" s="258">
        <v>13920</v>
      </c>
      <c r="F32" s="258">
        <v>13716.9</v>
      </c>
      <c r="G32" s="258">
        <v>3300</v>
      </c>
      <c r="H32" s="258">
        <v>3016.8</v>
      </c>
      <c r="I32" s="258">
        <v>7400</v>
      </c>
      <c r="J32" s="258">
        <v>5513.47</v>
      </c>
      <c r="K32" s="258"/>
      <c r="L32" s="257"/>
      <c r="M32" s="261"/>
      <c r="N32" s="258">
        <v>0</v>
      </c>
      <c r="O32" s="258">
        <v>0</v>
      </c>
      <c r="P32" s="258">
        <v>375</v>
      </c>
      <c r="Q32" s="258">
        <v>250</v>
      </c>
      <c r="R32" s="258">
        <v>4000</v>
      </c>
      <c r="S32" s="258">
        <v>3800</v>
      </c>
      <c r="T32" s="258">
        <v>380.9</v>
      </c>
      <c r="U32" s="258">
        <v>300</v>
      </c>
      <c r="V32" s="258">
        <f t="shared" si="2"/>
        <v>29375.9</v>
      </c>
      <c r="W32" s="258">
        <f t="shared" si="2"/>
        <v>26597.170000000002</v>
      </c>
      <c r="X32" s="259">
        <v>9531.5</v>
      </c>
      <c r="Y32" s="259">
        <v>4060</v>
      </c>
      <c r="Z32" s="259"/>
      <c r="AA32" s="259"/>
      <c r="AB32" s="260"/>
      <c r="AC32" s="260"/>
      <c r="AD32" s="259">
        <v>0</v>
      </c>
      <c r="AE32" s="259">
        <v>0</v>
      </c>
      <c r="AF32" s="259">
        <v>0</v>
      </c>
      <c r="AG32" s="259">
        <v>-1057.1</v>
      </c>
      <c r="AH32" s="259">
        <v>-6700</v>
      </c>
      <c r="AI32" s="259">
        <v>-1797.76</v>
      </c>
      <c r="AJ32" s="257"/>
      <c r="AK32" s="260"/>
      <c r="AL32" s="260">
        <v>0</v>
      </c>
      <c r="AM32" s="260"/>
      <c r="AN32" s="259">
        <v>0</v>
      </c>
      <c r="AO32" s="259">
        <v>0</v>
      </c>
      <c r="AP32" s="257">
        <f t="shared" si="1"/>
        <v>2831.5</v>
      </c>
      <c r="AQ32" s="257">
        <f t="shared" si="1"/>
        <v>1205.14</v>
      </c>
    </row>
    <row r="33" spans="1:43" ht="18" customHeight="1">
      <c r="A33" s="256">
        <v>23</v>
      </c>
      <c r="B33" s="106" t="s">
        <v>266</v>
      </c>
      <c r="C33" s="257">
        <f t="shared" si="0"/>
        <v>24103.25</v>
      </c>
      <c r="D33" s="257">
        <f t="shared" si="0"/>
        <v>19643.706000000002</v>
      </c>
      <c r="E33" s="258">
        <v>8550</v>
      </c>
      <c r="F33" s="258">
        <v>8459.798</v>
      </c>
      <c r="G33" s="258">
        <v>1853</v>
      </c>
      <c r="H33" s="258">
        <v>1818.847</v>
      </c>
      <c r="I33" s="258">
        <v>7070</v>
      </c>
      <c r="J33" s="258">
        <v>6705.411</v>
      </c>
      <c r="K33" s="258"/>
      <c r="L33" s="257"/>
      <c r="M33" s="261"/>
      <c r="N33" s="258">
        <v>0</v>
      </c>
      <c r="O33" s="258">
        <v>0</v>
      </c>
      <c r="P33" s="258">
        <v>280</v>
      </c>
      <c r="Q33" s="258">
        <v>280</v>
      </c>
      <c r="R33" s="258">
        <v>2948</v>
      </c>
      <c r="S33" s="258">
        <v>2948</v>
      </c>
      <c r="T33" s="258">
        <v>286.5</v>
      </c>
      <c r="U33" s="258">
        <v>240</v>
      </c>
      <c r="V33" s="258">
        <f t="shared" si="2"/>
        <v>20987.5</v>
      </c>
      <c r="W33" s="258">
        <f t="shared" si="2"/>
        <v>20452.056</v>
      </c>
      <c r="X33" s="259">
        <v>7115.7</v>
      </c>
      <c r="Y33" s="259">
        <v>940</v>
      </c>
      <c r="Z33" s="259"/>
      <c r="AA33" s="259"/>
      <c r="AB33" s="260"/>
      <c r="AC33" s="260"/>
      <c r="AD33" s="259">
        <v>0</v>
      </c>
      <c r="AE33" s="259">
        <v>0</v>
      </c>
      <c r="AF33" s="259">
        <v>0</v>
      </c>
      <c r="AG33" s="259">
        <v>-332</v>
      </c>
      <c r="AH33" s="259">
        <v>-3999.95</v>
      </c>
      <c r="AI33" s="259">
        <v>-1416.35</v>
      </c>
      <c r="AJ33" s="257"/>
      <c r="AK33" s="260"/>
      <c r="AL33" s="260">
        <v>0</v>
      </c>
      <c r="AM33" s="260"/>
      <c r="AN33" s="259">
        <v>0</v>
      </c>
      <c r="AO33" s="259">
        <v>0</v>
      </c>
      <c r="AP33" s="257">
        <f t="shared" si="1"/>
        <v>3115.75</v>
      </c>
      <c r="AQ33" s="257">
        <f t="shared" si="1"/>
        <v>-808.3499999999999</v>
      </c>
    </row>
    <row r="34" spans="1:43" ht="18" customHeight="1">
      <c r="A34" s="256">
        <v>24</v>
      </c>
      <c r="B34" s="106" t="s">
        <v>267</v>
      </c>
      <c r="C34" s="257">
        <f t="shared" si="0"/>
        <v>17178.9</v>
      </c>
      <c r="D34" s="257">
        <f t="shared" si="0"/>
        <v>15074.64</v>
      </c>
      <c r="E34" s="258">
        <v>4680</v>
      </c>
      <c r="F34" s="258">
        <v>4680</v>
      </c>
      <c r="G34" s="258">
        <v>1066</v>
      </c>
      <c r="H34" s="258">
        <v>1023</v>
      </c>
      <c r="I34" s="258">
        <v>4998.1</v>
      </c>
      <c r="J34" s="258">
        <v>4824.64</v>
      </c>
      <c r="K34" s="258"/>
      <c r="L34" s="257"/>
      <c r="M34" s="261"/>
      <c r="N34" s="258">
        <v>0</v>
      </c>
      <c r="O34" s="258">
        <v>0</v>
      </c>
      <c r="P34" s="258">
        <v>2500</v>
      </c>
      <c r="Q34" s="258">
        <v>1000</v>
      </c>
      <c r="R34" s="258">
        <v>1550</v>
      </c>
      <c r="S34" s="258">
        <v>1470</v>
      </c>
      <c r="T34" s="258">
        <v>110</v>
      </c>
      <c r="U34" s="258">
        <v>95</v>
      </c>
      <c r="V34" s="258">
        <f t="shared" si="2"/>
        <v>14904.1</v>
      </c>
      <c r="W34" s="258">
        <f t="shared" si="2"/>
        <v>13092.64</v>
      </c>
      <c r="X34" s="259">
        <v>2274.8</v>
      </c>
      <c r="Y34" s="259">
        <v>1982</v>
      </c>
      <c r="Z34" s="259"/>
      <c r="AA34" s="259"/>
      <c r="AB34" s="260"/>
      <c r="AC34" s="260"/>
      <c r="AD34" s="259">
        <v>0</v>
      </c>
      <c r="AE34" s="259">
        <v>0</v>
      </c>
      <c r="AF34" s="259">
        <v>0</v>
      </c>
      <c r="AG34" s="259">
        <v>0</v>
      </c>
      <c r="AH34" s="259">
        <v>0</v>
      </c>
      <c r="AI34" s="259">
        <v>0</v>
      </c>
      <c r="AJ34" s="257"/>
      <c r="AK34" s="260"/>
      <c r="AL34" s="260">
        <v>0</v>
      </c>
      <c r="AM34" s="260"/>
      <c r="AN34" s="259">
        <v>0</v>
      </c>
      <c r="AO34" s="259">
        <v>0</v>
      </c>
      <c r="AP34" s="257">
        <f t="shared" si="1"/>
        <v>2274.8</v>
      </c>
      <c r="AQ34" s="257">
        <f t="shared" si="1"/>
        <v>1982</v>
      </c>
    </row>
    <row r="35" spans="1:43" ht="18" customHeight="1">
      <c r="A35" s="256">
        <v>25</v>
      </c>
      <c r="B35" s="106" t="s">
        <v>268</v>
      </c>
      <c r="C35" s="257">
        <f t="shared" si="0"/>
        <v>45092.1</v>
      </c>
      <c r="D35" s="257">
        <f t="shared" si="0"/>
        <v>31964.042</v>
      </c>
      <c r="E35" s="258">
        <v>10626</v>
      </c>
      <c r="F35" s="258">
        <v>9837.373</v>
      </c>
      <c r="G35" s="258">
        <v>2600</v>
      </c>
      <c r="H35" s="258">
        <v>2596.239</v>
      </c>
      <c r="I35" s="258">
        <v>4596</v>
      </c>
      <c r="J35" s="258">
        <v>3167.6</v>
      </c>
      <c r="K35" s="258"/>
      <c r="L35" s="257"/>
      <c r="M35" s="261"/>
      <c r="N35" s="258">
        <v>0</v>
      </c>
      <c r="O35" s="258">
        <v>0</v>
      </c>
      <c r="P35" s="258">
        <v>4400</v>
      </c>
      <c r="Q35" s="258">
        <v>1000</v>
      </c>
      <c r="R35" s="258">
        <v>3100</v>
      </c>
      <c r="S35" s="258">
        <v>3040</v>
      </c>
      <c r="T35" s="258">
        <v>3550</v>
      </c>
      <c r="U35" s="258">
        <v>275</v>
      </c>
      <c r="V35" s="258">
        <f t="shared" si="2"/>
        <v>28872</v>
      </c>
      <c r="W35" s="258">
        <f t="shared" si="2"/>
        <v>19916.212</v>
      </c>
      <c r="X35" s="259">
        <v>16220.1</v>
      </c>
      <c r="Y35" s="259">
        <v>12047.83</v>
      </c>
      <c r="Z35" s="259"/>
      <c r="AA35" s="259"/>
      <c r="AB35" s="260"/>
      <c r="AC35" s="260"/>
      <c r="AD35" s="259">
        <v>0</v>
      </c>
      <c r="AE35" s="259">
        <v>0</v>
      </c>
      <c r="AF35" s="259">
        <v>0</v>
      </c>
      <c r="AG35" s="259">
        <v>0</v>
      </c>
      <c r="AH35" s="259">
        <v>0</v>
      </c>
      <c r="AI35" s="259">
        <v>0</v>
      </c>
      <c r="AJ35" s="257"/>
      <c r="AK35" s="260"/>
      <c r="AL35" s="260">
        <v>0</v>
      </c>
      <c r="AM35" s="260"/>
      <c r="AN35" s="259">
        <v>0</v>
      </c>
      <c r="AO35" s="259">
        <v>0</v>
      </c>
      <c r="AP35" s="257">
        <f t="shared" si="1"/>
        <v>16220.1</v>
      </c>
      <c r="AQ35" s="257">
        <f t="shared" si="1"/>
        <v>12047.83</v>
      </c>
    </row>
    <row r="36" spans="1:43" ht="18" customHeight="1">
      <c r="A36" s="256">
        <v>26</v>
      </c>
      <c r="B36" s="106" t="s">
        <v>269</v>
      </c>
      <c r="C36" s="257">
        <f t="shared" si="0"/>
        <v>23365.2</v>
      </c>
      <c r="D36" s="257">
        <f t="shared" si="0"/>
        <v>22633.440000000002</v>
      </c>
      <c r="E36" s="258">
        <v>9556</v>
      </c>
      <c r="F36" s="258">
        <v>9446.221</v>
      </c>
      <c r="G36" s="258">
        <v>1966.9</v>
      </c>
      <c r="H36" s="258">
        <v>1942.175</v>
      </c>
      <c r="I36" s="258">
        <v>5242</v>
      </c>
      <c r="J36" s="258">
        <v>5011.444</v>
      </c>
      <c r="K36" s="258"/>
      <c r="L36" s="257"/>
      <c r="M36" s="261"/>
      <c r="N36" s="258">
        <v>0</v>
      </c>
      <c r="O36" s="258">
        <v>0</v>
      </c>
      <c r="P36" s="258">
        <v>0</v>
      </c>
      <c r="Q36" s="258">
        <v>0</v>
      </c>
      <c r="R36" s="258">
        <v>5762.6</v>
      </c>
      <c r="S36" s="258">
        <v>5662.6</v>
      </c>
      <c r="T36" s="258">
        <v>335</v>
      </c>
      <c r="U36" s="258">
        <v>160</v>
      </c>
      <c r="V36" s="258">
        <f t="shared" si="2"/>
        <v>22862.5</v>
      </c>
      <c r="W36" s="258">
        <f t="shared" si="2"/>
        <v>22222.440000000002</v>
      </c>
      <c r="X36" s="259">
        <v>4500.6</v>
      </c>
      <c r="Y36" s="259">
        <v>2540</v>
      </c>
      <c r="Z36" s="259"/>
      <c r="AA36" s="259"/>
      <c r="AB36" s="260"/>
      <c r="AC36" s="260"/>
      <c r="AD36" s="259">
        <v>0</v>
      </c>
      <c r="AE36" s="259">
        <v>0</v>
      </c>
      <c r="AF36" s="259">
        <v>0</v>
      </c>
      <c r="AG36" s="259">
        <v>0</v>
      </c>
      <c r="AH36" s="259">
        <v>-3997.9</v>
      </c>
      <c r="AI36" s="259">
        <v>-2129</v>
      </c>
      <c r="AJ36" s="257"/>
      <c r="AK36" s="260"/>
      <c r="AL36" s="260">
        <v>0</v>
      </c>
      <c r="AM36" s="260"/>
      <c r="AN36" s="259">
        <v>0</v>
      </c>
      <c r="AO36" s="259">
        <v>0</v>
      </c>
      <c r="AP36" s="257">
        <f t="shared" si="1"/>
        <v>502.7000000000003</v>
      </c>
      <c r="AQ36" s="257">
        <f t="shared" si="1"/>
        <v>411</v>
      </c>
    </row>
    <row r="37" spans="1:43" ht="18" customHeight="1">
      <c r="A37" s="256">
        <v>27</v>
      </c>
      <c r="B37" s="106" t="s">
        <v>270</v>
      </c>
      <c r="C37" s="257">
        <f t="shared" si="0"/>
        <v>40553.85</v>
      </c>
      <c r="D37" s="257">
        <f t="shared" si="0"/>
        <v>32677.830999999995</v>
      </c>
      <c r="E37" s="258">
        <v>9470</v>
      </c>
      <c r="F37" s="258">
        <v>9082.938</v>
      </c>
      <c r="G37" s="258">
        <v>2150</v>
      </c>
      <c r="H37" s="258">
        <v>2121.986</v>
      </c>
      <c r="I37" s="258">
        <v>11110</v>
      </c>
      <c r="J37" s="258">
        <v>5020.329</v>
      </c>
      <c r="K37" s="258"/>
      <c r="L37" s="257"/>
      <c r="M37" s="261"/>
      <c r="N37" s="258">
        <v>0</v>
      </c>
      <c r="O37" s="258">
        <v>0</v>
      </c>
      <c r="P37" s="258">
        <v>200</v>
      </c>
      <c r="Q37" s="258">
        <v>0</v>
      </c>
      <c r="R37" s="258">
        <v>2800</v>
      </c>
      <c r="S37" s="258">
        <v>2380</v>
      </c>
      <c r="T37" s="258">
        <v>629.8</v>
      </c>
      <c r="U37" s="258">
        <v>330</v>
      </c>
      <c r="V37" s="258">
        <f t="shared" si="2"/>
        <v>26359.8</v>
      </c>
      <c r="W37" s="258">
        <f t="shared" si="2"/>
        <v>18935.252999999997</v>
      </c>
      <c r="X37" s="259">
        <v>19194</v>
      </c>
      <c r="Y37" s="259">
        <v>14128.62</v>
      </c>
      <c r="Z37" s="259"/>
      <c r="AA37" s="259"/>
      <c r="AB37" s="260"/>
      <c r="AC37" s="260"/>
      <c r="AD37" s="259">
        <v>0</v>
      </c>
      <c r="AE37" s="259">
        <v>0</v>
      </c>
      <c r="AF37" s="259">
        <v>0</v>
      </c>
      <c r="AG37" s="259">
        <v>0</v>
      </c>
      <c r="AH37" s="259">
        <v>-4999.95</v>
      </c>
      <c r="AI37" s="259">
        <v>-386.042</v>
      </c>
      <c r="AJ37" s="257"/>
      <c r="AK37" s="260"/>
      <c r="AL37" s="260">
        <v>0</v>
      </c>
      <c r="AM37" s="260"/>
      <c r="AN37" s="259">
        <v>900</v>
      </c>
      <c r="AO37" s="259">
        <v>448.526</v>
      </c>
      <c r="AP37" s="257">
        <f t="shared" si="1"/>
        <v>15094.05</v>
      </c>
      <c r="AQ37" s="257">
        <f t="shared" si="1"/>
        <v>14191.104000000001</v>
      </c>
    </row>
    <row r="38" spans="1:43" ht="18" customHeight="1">
      <c r="A38" s="256">
        <v>28</v>
      </c>
      <c r="B38" s="106" t="s">
        <v>271</v>
      </c>
      <c r="C38" s="257">
        <f t="shared" si="0"/>
        <v>43571.90000000001</v>
      </c>
      <c r="D38" s="257">
        <f t="shared" si="0"/>
        <v>24120.818</v>
      </c>
      <c r="E38" s="258">
        <v>17177.2</v>
      </c>
      <c r="F38" s="258">
        <v>11611.882</v>
      </c>
      <c r="G38" s="258">
        <v>2246.5</v>
      </c>
      <c r="H38" s="258">
        <v>2026.308</v>
      </c>
      <c r="I38" s="258">
        <v>4015.9</v>
      </c>
      <c r="J38" s="258">
        <v>1547.001</v>
      </c>
      <c r="K38" s="258"/>
      <c r="L38" s="257"/>
      <c r="M38" s="261"/>
      <c r="N38" s="258">
        <v>0</v>
      </c>
      <c r="O38" s="258">
        <v>0</v>
      </c>
      <c r="P38" s="258">
        <v>8276.6</v>
      </c>
      <c r="Q38" s="258">
        <v>7190.627</v>
      </c>
      <c r="R38" s="258">
        <v>1200</v>
      </c>
      <c r="S38" s="258">
        <v>1009.52</v>
      </c>
      <c r="T38" s="258">
        <v>970</v>
      </c>
      <c r="U38" s="258">
        <v>970</v>
      </c>
      <c r="V38" s="258">
        <f t="shared" si="2"/>
        <v>33886.200000000004</v>
      </c>
      <c r="W38" s="258">
        <f t="shared" si="2"/>
        <v>24355.338</v>
      </c>
      <c r="X38" s="259">
        <v>9685.7</v>
      </c>
      <c r="Y38" s="259">
        <v>370</v>
      </c>
      <c r="Z38" s="259"/>
      <c r="AA38" s="259"/>
      <c r="AB38" s="260"/>
      <c r="AC38" s="260"/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-604.52</v>
      </c>
      <c r="AJ38" s="257"/>
      <c r="AK38" s="260"/>
      <c r="AL38" s="260">
        <v>0</v>
      </c>
      <c r="AM38" s="260"/>
      <c r="AN38" s="259">
        <v>0</v>
      </c>
      <c r="AO38" s="259">
        <v>0</v>
      </c>
      <c r="AP38" s="257">
        <f t="shared" si="1"/>
        <v>9685.7</v>
      </c>
      <c r="AQ38" s="257">
        <f t="shared" si="1"/>
        <v>-234.51999999999998</v>
      </c>
    </row>
    <row r="39" spans="1:43" ht="18" customHeight="1">
      <c r="A39" s="256">
        <v>29</v>
      </c>
      <c r="B39" s="106" t="s">
        <v>272</v>
      </c>
      <c r="C39" s="257">
        <f t="shared" si="0"/>
        <v>41425.4</v>
      </c>
      <c r="D39" s="257">
        <f t="shared" si="0"/>
        <v>27135.896</v>
      </c>
      <c r="E39" s="258">
        <v>12180</v>
      </c>
      <c r="F39" s="258">
        <v>8209.293</v>
      </c>
      <c r="G39" s="258">
        <v>3120</v>
      </c>
      <c r="H39" s="258">
        <v>1935.395</v>
      </c>
      <c r="I39" s="258">
        <v>8701</v>
      </c>
      <c r="J39" s="258">
        <v>3654.52</v>
      </c>
      <c r="K39" s="258"/>
      <c r="L39" s="257"/>
      <c r="M39" s="261"/>
      <c r="N39" s="258">
        <v>0</v>
      </c>
      <c r="O39" s="258">
        <v>0</v>
      </c>
      <c r="P39" s="258">
        <v>350</v>
      </c>
      <c r="Q39" s="258">
        <v>250</v>
      </c>
      <c r="R39" s="258">
        <v>3800</v>
      </c>
      <c r="S39" s="258">
        <v>3475</v>
      </c>
      <c r="T39" s="258">
        <v>1084.4</v>
      </c>
      <c r="U39" s="258">
        <v>395</v>
      </c>
      <c r="V39" s="258">
        <f t="shared" si="2"/>
        <v>29235.4</v>
      </c>
      <c r="W39" s="258">
        <f t="shared" si="2"/>
        <v>17919.208</v>
      </c>
      <c r="X39" s="259">
        <v>12125</v>
      </c>
      <c r="Y39" s="259">
        <v>10342</v>
      </c>
      <c r="Z39" s="259"/>
      <c r="AA39" s="259"/>
      <c r="AB39" s="260"/>
      <c r="AC39" s="260"/>
      <c r="AD39" s="259">
        <v>0</v>
      </c>
      <c r="AE39" s="259">
        <v>0</v>
      </c>
      <c r="AF39" s="259">
        <v>0</v>
      </c>
      <c r="AG39" s="259">
        <v>0</v>
      </c>
      <c r="AH39" s="259">
        <v>0</v>
      </c>
      <c r="AI39" s="259">
        <v>-1125.312</v>
      </c>
      <c r="AJ39" s="257"/>
      <c r="AK39" s="260"/>
      <c r="AL39" s="260">
        <v>65</v>
      </c>
      <c r="AM39" s="260"/>
      <c r="AN39" s="259">
        <v>65</v>
      </c>
      <c r="AO39" s="259">
        <v>0</v>
      </c>
      <c r="AP39" s="257">
        <f t="shared" si="1"/>
        <v>12255</v>
      </c>
      <c r="AQ39" s="257">
        <f t="shared" si="1"/>
        <v>9216.688</v>
      </c>
    </row>
    <row r="40" spans="1:43" ht="18" customHeight="1">
      <c r="A40" s="256">
        <v>30</v>
      </c>
      <c r="B40" s="106" t="s">
        <v>273</v>
      </c>
      <c r="C40" s="257">
        <f t="shared" si="0"/>
        <v>21430.4</v>
      </c>
      <c r="D40" s="257">
        <f t="shared" si="0"/>
        <v>15694.356000000002</v>
      </c>
      <c r="E40" s="258">
        <v>7073</v>
      </c>
      <c r="F40" s="258">
        <v>6868.516</v>
      </c>
      <c r="G40" s="258">
        <v>1447</v>
      </c>
      <c r="H40" s="258">
        <v>1321.515</v>
      </c>
      <c r="I40" s="258">
        <v>3298</v>
      </c>
      <c r="J40" s="258">
        <v>1848.015</v>
      </c>
      <c r="K40" s="258"/>
      <c r="L40" s="257"/>
      <c r="M40" s="261"/>
      <c r="N40" s="258">
        <v>0</v>
      </c>
      <c r="O40" s="258">
        <v>0</v>
      </c>
      <c r="P40" s="258">
        <v>0</v>
      </c>
      <c r="Q40" s="258">
        <v>0</v>
      </c>
      <c r="R40" s="258">
        <v>1450</v>
      </c>
      <c r="S40" s="258">
        <v>905</v>
      </c>
      <c r="T40" s="258">
        <v>1285.1</v>
      </c>
      <c r="U40" s="258">
        <v>626.71</v>
      </c>
      <c r="V40" s="258">
        <f t="shared" si="2"/>
        <v>14553.1</v>
      </c>
      <c r="W40" s="258">
        <f t="shared" si="2"/>
        <v>11569.756000000001</v>
      </c>
      <c r="X40" s="259">
        <v>11408.5</v>
      </c>
      <c r="Y40" s="259">
        <v>8790</v>
      </c>
      <c r="Z40" s="259"/>
      <c r="AA40" s="259"/>
      <c r="AB40" s="260"/>
      <c r="AC40" s="260"/>
      <c r="AD40" s="259">
        <v>0</v>
      </c>
      <c r="AE40" s="259">
        <v>0</v>
      </c>
      <c r="AF40" s="259">
        <v>0</v>
      </c>
      <c r="AG40" s="259">
        <v>0</v>
      </c>
      <c r="AH40" s="259">
        <v>-4531.2</v>
      </c>
      <c r="AI40" s="259">
        <v>-4665.4</v>
      </c>
      <c r="AJ40" s="257"/>
      <c r="AK40" s="260"/>
      <c r="AL40" s="260">
        <v>0</v>
      </c>
      <c r="AM40" s="260"/>
      <c r="AN40" s="259">
        <v>1700</v>
      </c>
      <c r="AO40" s="259">
        <v>0</v>
      </c>
      <c r="AP40" s="257">
        <f t="shared" si="1"/>
        <v>8577.3</v>
      </c>
      <c r="AQ40" s="257">
        <f t="shared" si="1"/>
        <v>4124.6</v>
      </c>
    </row>
    <row r="41" spans="1:43" ht="18" customHeight="1">
      <c r="A41" s="256">
        <v>31</v>
      </c>
      <c r="B41" s="106" t="s">
        <v>274</v>
      </c>
      <c r="C41" s="257">
        <f t="shared" si="0"/>
        <v>50967.9</v>
      </c>
      <c r="D41" s="257">
        <f t="shared" si="0"/>
        <v>43115.019</v>
      </c>
      <c r="E41" s="258">
        <v>11870</v>
      </c>
      <c r="F41" s="258">
        <v>11380.831</v>
      </c>
      <c r="G41" s="258">
        <v>1930</v>
      </c>
      <c r="H41" s="258">
        <v>1856.34</v>
      </c>
      <c r="I41" s="258">
        <v>15116</v>
      </c>
      <c r="J41" s="258">
        <v>13804.1</v>
      </c>
      <c r="K41" s="258"/>
      <c r="L41" s="257"/>
      <c r="M41" s="261"/>
      <c r="N41" s="258">
        <v>0</v>
      </c>
      <c r="O41" s="258">
        <v>0</v>
      </c>
      <c r="P41" s="258">
        <v>6250</v>
      </c>
      <c r="Q41" s="258">
        <v>6250</v>
      </c>
      <c r="R41" s="258">
        <v>5330</v>
      </c>
      <c r="S41" s="258">
        <v>5330</v>
      </c>
      <c r="T41" s="258">
        <v>440</v>
      </c>
      <c r="U41" s="258">
        <v>387.548</v>
      </c>
      <c r="V41" s="258">
        <f t="shared" si="2"/>
        <v>40936</v>
      </c>
      <c r="W41" s="258">
        <f t="shared" si="2"/>
        <v>39008.819</v>
      </c>
      <c r="X41" s="259">
        <v>31134.9</v>
      </c>
      <c r="Y41" s="259">
        <v>26429</v>
      </c>
      <c r="Z41" s="259"/>
      <c r="AA41" s="259"/>
      <c r="AB41" s="260"/>
      <c r="AC41" s="260"/>
      <c r="AD41" s="259">
        <v>0</v>
      </c>
      <c r="AE41" s="259">
        <v>0</v>
      </c>
      <c r="AF41" s="259">
        <v>0</v>
      </c>
      <c r="AG41" s="259">
        <v>0</v>
      </c>
      <c r="AH41" s="259">
        <v>-21103</v>
      </c>
      <c r="AI41" s="259">
        <v>-22322.8</v>
      </c>
      <c r="AJ41" s="257"/>
      <c r="AK41" s="260"/>
      <c r="AL41" s="260">
        <v>0</v>
      </c>
      <c r="AM41" s="260"/>
      <c r="AN41" s="259">
        <v>6760</v>
      </c>
      <c r="AO41" s="259">
        <v>4483.126</v>
      </c>
      <c r="AP41" s="257">
        <f t="shared" si="1"/>
        <v>16791.9</v>
      </c>
      <c r="AQ41" s="257">
        <f t="shared" si="1"/>
        <v>8589.326000000001</v>
      </c>
    </row>
    <row r="42" spans="1:43" ht="18" customHeight="1">
      <c r="A42" s="256">
        <v>32</v>
      </c>
      <c r="B42" s="106" t="s">
        <v>275</v>
      </c>
      <c r="C42" s="257">
        <f t="shared" si="0"/>
        <v>51005.4</v>
      </c>
      <c r="D42" s="257">
        <f t="shared" si="0"/>
        <v>34527.47200000001</v>
      </c>
      <c r="E42" s="258">
        <v>11980</v>
      </c>
      <c r="F42" s="258">
        <v>11847.539</v>
      </c>
      <c r="G42" s="258">
        <v>2450</v>
      </c>
      <c r="H42" s="258">
        <v>2423.442</v>
      </c>
      <c r="I42" s="258">
        <v>17502</v>
      </c>
      <c r="J42" s="258">
        <v>15995.881</v>
      </c>
      <c r="K42" s="258"/>
      <c r="L42" s="257"/>
      <c r="M42" s="261"/>
      <c r="N42" s="258">
        <v>0</v>
      </c>
      <c r="O42" s="258">
        <v>0</v>
      </c>
      <c r="P42" s="258">
        <v>550</v>
      </c>
      <c r="Q42" s="258">
        <v>450.56</v>
      </c>
      <c r="R42" s="258">
        <v>4900</v>
      </c>
      <c r="S42" s="258">
        <v>4270</v>
      </c>
      <c r="T42" s="258">
        <v>1840</v>
      </c>
      <c r="U42" s="258">
        <v>260</v>
      </c>
      <c r="V42" s="258">
        <f t="shared" si="2"/>
        <v>39222</v>
      </c>
      <c r="W42" s="258">
        <f t="shared" si="2"/>
        <v>35247.422000000006</v>
      </c>
      <c r="X42" s="259">
        <v>12800</v>
      </c>
      <c r="Y42" s="259">
        <v>6803.64</v>
      </c>
      <c r="Z42" s="259"/>
      <c r="AA42" s="259"/>
      <c r="AB42" s="260"/>
      <c r="AC42" s="260"/>
      <c r="AD42" s="259">
        <v>0</v>
      </c>
      <c r="AE42" s="259">
        <v>0</v>
      </c>
      <c r="AF42" s="259">
        <v>0</v>
      </c>
      <c r="AG42" s="259">
        <v>-173.4</v>
      </c>
      <c r="AH42" s="259">
        <v>-1016.6</v>
      </c>
      <c r="AI42" s="259">
        <v>-7350.19</v>
      </c>
      <c r="AJ42" s="257"/>
      <c r="AK42" s="260"/>
      <c r="AL42" s="260">
        <v>0</v>
      </c>
      <c r="AM42" s="260"/>
      <c r="AN42" s="259">
        <v>0</v>
      </c>
      <c r="AO42" s="259">
        <v>0</v>
      </c>
      <c r="AP42" s="257">
        <f t="shared" si="1"/>
        <v>11783.4</v>
      </c>
      <c r="AQ42" s="257">
        <f t="shared" si="1"/>
        <v>-719.9499999999989</v>
      </c>
    </row>
    <row r="43" spans="1:43" ht="18" customHeight="1">
      <c r="A43" s="256">
        <v>33</v>
      </c>
      <c r="B43" s="106" t="s">
        <v>276</v>
      </c>
      <c r="C43" s="257">
        <f aca="true" t="shared" si="3" ref="C43:D74">SUM(V43+AP43-AN43)</f>
        <v>38368.2</v>
      </c>
      <c r="D43" s="257">
        <f t="shared" si="3"/>
        <v>32346.586000000003</v>
      </c>
      <c r="E43" s="258">
        <v>11186.3</v>
      </c>
      <c r="F43" s="258">
        <v>9130.36</v>
      </c>
      <c r="G43" s="258">
        <v>2120</v>
      </c>
      <c r="H43" s="258">
        <v>2070.84</v>
      </c>
      <c r="I43" s="258">
        <v>10910</v>
      </c>
      <c r="J43" s="258">
        <v>8211.51</v>
      </c>
      <c r="K43" s="258"/>
      <c r="L43" s="257"/>
      <c r="M43" s="261"/>
      <c r="N43" s="258">
        <v>0</v>
      </c>
      <c r="O43" s="258">
        <v>0</v>
      </c>
      <c r="P43" s="258">
        <v>0</v>
      </c>
      <c r="Q43" s="258">
        <v>0</v>
      </c>
      <c r="R43" s="258">
        <v>3200</v>
      </c>
      <c r="S43" s="258">
        <v>2810</v>
      </c>
      <c r="T43" s="258">
        <v>900</v>
      </c>
      <c r="U43" s="258">
        <v>243.42</v>
      </c>
      <c r="V43" s="258">
        <f t="shared" si="2"/>
        <v>28316.3</v>
      </c>
      <c r="W43" s="258">
        <f t="shared" si="2"/>
        <v>22466.129999999997</v>
      </c>
      <c r="X43" s="259">
        <v>10051.9</v>
      </c>
      <c r="Y43" s="259">
        <v>9880.456</v>
      </c>
      <c r="Z43" s="259"/>
      <c r="AA43" s="259"/>
      <c r="AB43" s="260"/>
      <c r="AC43" s="260"/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0</v>
      </c>
      <c r="AJ43" s="257"/>
      <c r="AK43" s="260"/>
      <c r="AL43" s="260">
        <v>0</v>
      </c>
      <c r="AM43" s="260"/>
      <c r="AN43" s="259">
        <v>1040</v>
      </c>
      <c r="AO43" s="259">
        <v>868.528</v>
      </c>
      <c r="AP43" s="257">
        <f aca="true" t="shared" si="4" ref="AP43:AQ74">SUM(X43+AB43+AD43+AF43+AH43+AJ43+AL43+AN43)</f>
        <v>11091.9</v>
      </c>
      <c r="AQ43" s="257">
        <f t="shared" si="4"/>
        <v>10748.984</v>
      </c>
    </row>
    <row r="44" spans="1:43" ht="18" customHeight="1">
      <c r="A44" s="256">
        <v>34</v>
      </c>
      <c r="B44" s="106" t="s">
        <v>277</v>
      </c>
      <c r="C44" s="257">
        <f t="shared" si="3"/>
        <v>11585.7</v>
      </c>
      <c r="D44" s="257">
        <f t="shared" si="3"/>
        <v>10566.15</v>
      </c>
      <c r="E44" s="258">
        <v>3354</v>
      </c>
      <c r="F44" s="258">
        <v>3351.64</v>
      </c>
      <c r="G44" s="258">
        <v>800</v>
      </c>
      <c r="H44" s="258">
        <v>777.7</v>
      </c>
      <c r="I44" s="258">
        <v>2945.6</v>
      </c>
      <c r="J44" s="258">
        <v>2630</v>
      </c>
      <c r="K44" s="258"/>
      <c r="L44" s="257"/>
      <c r="M44" s="261"/>
      <c r="N44" s="258">
        <v>0</v>
      </c>
      <c r="O44" s="258">
        <v>0</v>
      </c>
      <c r="P44" s="258">
        <v>2640</v>
      </c>
      <c r="Q44" s="258">
        <v>2640</v>
      </c>
      <c r="R44" s="258">
        <v>800</v>
      </c>
      <c r="S44" s="258">
        <v>760</v>
      </c>
      <c r="T44" s="258">
        <v>785.5</v>
      </c>
      <c r="U44" s="258">
        <v>146.81</v>
      </c>
      <c r="V44" s="258">
        <f t="shared" si="2"/>
        <v>11325.1</v>
      </c>
      <c r="W44" s="258">
        <f t="shared" si="2"/>
        <v>10306.15</v>
      </c>
      <c r="X44" s="259">
        <v>260.6</v>
      </c>
      <c r="Y44" s="259">
        <v>260</v>
      </c>
      <c r="Z44" s="259"/>
      <c r="AA44" s="259"/>
      <c r="AB44" s="260"/>
      <c r="AC44" s="260"/>
      <c r="AD44" s="259">
        <v>0</v>
      </c>
      <c r="AE44" s="259">
        <v>0</v>
      </c>
      <c r="AF44" s="259">
        <v>0</v>
      </c>
      <c r="AG44" s="259">
        <v>0</v>
      </c>
      <c r="AH44" s="259">
        <v>0</v>
      </c>
      <c r="AI44" s="259">
        <v>0</v>
      </c>
      <c r="AJ44" s="257"/>
      <c r="AK44" s="260"/>
      <c r="AL44" s="260">
        <v>0</v>
      </c>
      <c r="AM44" s="260"/>
      <c r="AN44" s="259">
        <v>260</v>
      </c>
      <c r="AO44" s="259">
        <v>260</v>
      </c>
      <c r="AP44" s="257">
        <f t="shared" si="4"/>
        <v>520.6</v>
      </c>
      <c r="AQ44" s="257">
        <f t="shared" si="4"/>
        <v>520</v>
      </c>
    </row>
    <row r="45" spans="1:43" ht="18" customHeight="1">
      <c r="A45" s="256">
        <v>35</v>
      </c>
      <c r="B45" s="106" t="s">
        <v>278</v>
      </c>
      <c r="C45" s="257">
        <f t="shared" si="3"/>
        <v>70483.518</v>
      </c>
      <c r="D45" s="257">
        <f t="shared" si="3"/>
        <v>54849.97</v>
      </c>
      <c r="E45" s="258">
        <v>12331.3</v>
      </c>
      <c r="F45" s="258">
        <v>11537.482</v>
      </c>
      <c r="G45" s="258">
        <v>2316.2</v>
      </c>
      <c r="H45" s="258">
        <v>2074.22</v>
      </c>
      <c r="I45" s="258">
        <v>6492</v>
      </c>
      <c r="J45" s="258">
        <v>4716.41</v>
      </c>
      <c r="K45" s="258"/>
      <c r="L45" s="257"/>
      <c r="M45" s="261"/>
      <c r="N45" s="258">
        <v>11000</v>
      </c>
      <c r="O45" s="258">
        <v>9686</v>
      </c>
      <c r="P45" s="258">
        <v>0</v>
      </c>
      <c r="Q45" s="258">
        <v>0</v>
      </c>
      <c r="R45" s="258">
        <v>2055</v>
      </c>
      <c r="S45" s="258">
        <v>1768</v>
      </c>
      <c r="T45" s="258">
        <v>570</v>
      </c>
      <c r="U45" s="258">
        <v>415</v>
      </c>
      <c r="V45" s="258">
        <f t="shared" si="2"/>
        <v>34764.5</v>
      </c>
      <c r="W45" s="258">
        <f t="shared" si="2"/>
        <v>30197.112</v>
      </c>
      <c r="X45" s="259">
        <v>35719.018</v>
      </c>
      <c r="Y45" s="259">
        <v>26405.51</v>
      </c>
      <c r="Z45" s="259"/>
      <c r="AA45" s="259"/>
      <c r="AB45" s="260"/>
      <c r="AC45" s="260"/>
      <c r="AD45" s="259">
        <v>0</v>
      </c>
      <c r="AE45" s="259">
        <v>0</v>
      </c>
      <c r="AF45" s="259">
        <v>0</v>
      </c>
      <c r="AG45" s="259">
        <v>0</v>
      </c>
      <c r="AH45" s="259">
        <v>0</v>
      </c>
      <c r="AI45" s="259">
        <v>-1752.652</v>
      </c>
      <c r="AJ45" s="257"/>
      <c r="AK45" s="260"/>
      <c r="AL45" s="260">
        <v>0</v>
      </c>
      <c r="AM45" s="260"/>
      <c r="AN45" s="259">
        <v>0</v>
      </c>
      <c r="AO45" s="259">
        <v>0</v>
      </c>
      <c r="AP45" s="257">
        <f t="shared" si="4"/>
        <v>35719.018</v>
      </c>
      <c r="AQ45" s="257">
        <f t="shared" si="4"/>
        <v>24652.858</v>
      </c>
    </row>
    <row r="46" spans="1:43" ht="18" customHeight="1">
      <c r="A46" s="256">
        <v>0</v>
      </c>
      <c r="B46" s="106" t="s">
        <v>279</v>
      </c>
      <c r="C46" s="257">
        <f t="shared" si="3"/>
        <v>31225.200000000004</v>
      </c>
      <c r="D46" s="257">
        <f t="shared" si="3"/>
        <v>19914.614</v>
      </c>
      <c r="E46" s="258">
        <v>7444.4</v>
      </c>
      <c r="F46" s="258">
        <v>7079.719</v>
      </c>
      <c r="G46" s="258">
        <v>1652</v>
      </c>
      <c r="H46" s="258">
        <v>1475.88</v>
      </c>
      <c r="I46" s="258">
        <v>3000</v>
      </c>
      <c r="J46" s="258">
        <v>2097.875</v>
      </c>
      <c r="K46" s="258"/>
      <c r="L46" s="257"/>
      <c r="M46" s="261"/>
      <c r="N46" s="258">
        <v>0</v>
      </c>
      <c r="O46" s="258">
        <v>0</v>
      </c>
      <c r="P46" s="258">
        <v>3100</v>
      </c>
      <c r="Q46" s="258">
        <v>3100</v>
      </c>
      <c r="R46" s="258">
        <v>1550</v>
      </c>
      <c r="S46" s="258">
        <v>1550</v>
      </c>
      <c r="T46" s="258">
        <v>220</v>
      </c>
      <c r="U46" s="258">
        <v>155</v>
      </c>
      <c r="V46" s="258">
        <f t="shared" si="2"/>
        <v>16966.4</v>
      </c>
      <c r="W46" s="258">
        <f t="shared" si="2"/>
        <v>15458.474</v>
      </c>
      <c r="X46" s="259">
        <v>15408.1</v>
      </c>
      <c r="Y46" s="259">
        <v>5605.5</v>
      </c>
      <c r="Z46" s="259"/>
      <c r="AA46" s="259"/>
      <c r="AB46" s="260"/>
      <c r="AC46" s="260"/>
      <c r="AD46" s="259">
        <v>0</v>
      </c>
      <c r="AE46" s="259">
        <v>0</v>
      </c>
      <c r="AF46" s="259">
        <v>0</v>
      </c>
      <c r="AG46" s="259">
        <v>0</v>
      </c>
      <c r="AH46" s="259">
        <v>-1149.3</v>
      </c>
      <c r="AI46" s="259">
        <v>-1149.36</v>
      </c>
      <c r="AJ46" s="257"/>
      <c r="AK46" s="260"/>
      <c r="AL46" s="260">
        <v>0</v>
      </c>
      <c r="AM46" s="260"/>
      <c r="AN46" s="259">
        <v>0</v>
      </c>
      <c r="AO46" s="259">
        <v>0</v>
      </c>
      <c r="AP46" s="257">
        <f t="shared" si="4"/>
        <v>14258.800000000001</v>
      </c>
      <c r="AQ46" s="257">
        <f t="shared" si="4"/>
        <v>4456.14</v>
      </c>
    </row>
    <row r="47" spans="1:43" ht="18" customHeight="1">
      <c r="A47" s="256">
        <v>37</v>
      </c>
      <c r="B47" s="106" t="s">
        <v>280</v>
      </c>
      <c r="C47" s="257">
        <f t="shared" si="3"/>
        <v>30343.950000000004</v>
      </c>
      <c r="D47" s="257">
        <f t="shared" si="3"/>
        <v>26587.241</v>
      </c>
      <c r="E47" s="258">
        <v>4986</v>
      </c>
      <c r="F47" s="258">
        <v>4931.528</v>
      </c>
      <c r="G47" s="258">
        <v>1197.1</v>
      </c>
      <c r="H47" s="258">
        <v>1147.728</v>
      </c>
      <c r="I47" s="258">
        <v>4120</v>
      </c>
      <c r="J47" s="258">
        <v>3873.041</v>
      </c>
      <c r="K47" s="258"/>
      <c r="L47" s="257"/>
      <c r="M47" s="261"/>
      <c r="N47" s="258">
        <v>0</v>
      </c>
      <c r="O47" s="258">
        <v>0</v>
      </c>
      <c r="P47" s="258">
        <v>200</v>
      </c>
      <c r="Q47" s="258">
        <v>200</v>
      </c>
      <c r="R47" s="258">
        <v>2905.8</v>
      </c>
      <c r="S47" s="258">
        <v>2905.8</v>
      </c>
      <c r="T47" s="258">
        <v>321.4</v>
      </c>
      <c r="U47" s="258">
        <v>231.4</v>
      </c>
      <c r="V47" s="258">
        <f t="shared" si="2"/>
        <v>13730.300000000001</v>
      </c>
      <c r="W47" s="258">
        <f t="shared" si="2"/>
        <v>13289.497000000001</v>
      </c>
      <c r="X47" s="259">
        <v>16613.65</v>
      </c>
      <c r="Y47" s="259">
        <v>13297.744</v>
      </c>
      <c r="Z47" s="259"/>
      <c r="AA47" s="259"/>
      <c r="AB47" s="260"/>
      <c r="AC47" s="260"/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57"/>
      <c r="AK47" s="260"/>
      <c r="AL47" s="260">
        <v>0</v>
      </c>
      <c r="AM47" s="260"/>
      <c r="AN47" s="259">
        <v>0</v>
      </c>
      <c r="AO47" s="259">
        <v>0</v>
      </c>
      <c r="AP47" s="257">
        <f t="shared" si="4"/>
        <v>16613.65</v>
      </c>
      <c r="AQ47" s="257">
        <f t="shared" si="4"/>
        <v>13297.744</v>
      </c>
    </row>
    <row r="48" spans="1:43" ht="18" customHeight="1">
      <c r="A48" s="256">
        <v>38</v>
      </c>
      <c r="B48" s="106" t="s">
        <v>281</v>
      </c>
      <c r="C48" s="257">
        <f t="shared" si="3"/>
        <v>20112.199999999997</v>
      </c>
      <c r="D48" s="257">
        <f t="shared" si="3"/>
        <v>19832.76</v>
      </c>
      <c r="E48" s="258">
        <v>7920</v>
      </c>
      <c r="F48" s="258">
        <v>7882.957</v>
      </c>
      <c r="G48" s="258">
        <v>1900</v>
      </c>
      <c r="H48" s="258">
        <v>1786.101</v>
      </c>
      <c r="I48" s="258">
        <v>2781.1</v>
      </c>
      <c r="J48" s="258">
        <v>2748.402</v>
      </c>
      <c r="K48" s="258"/>
      <c r="L48" s="257"/>
      <c r="M48" s="261"/>
      <c r="N48" s="258">
        <v>0</v>
      </c>
      <c r="O48" s="258">
        <v>0</v>
      </c>
      <c r="P48" s="258">
        <v>938</v>
      </c>
      <c r="Q48" s="258">
        <v>938</v>
      </c>
      <c r="R48" s="258">
        <v>1025</v>
      </c>
      <c r="S48" s="258">
        <v>1020</v>
      </c>
      <c r="T48" s="258">
        <v>250</v>
      </c>
      <c r="U48" s="258">
        <v>210</v>
      </c>
      <c r="V48" s="258">
        <f t="shared" si="2"/>
        <v>14814.1</v>
      </c>
      <c r="W48" s="258">
        <f t="shared" si="2"/>
        <v>14585.460000000001</v>
      </c>
      <c r="X48" s="259">
        <v>9230.9</v>
      </c>
      <c r="Y48" s="259">
        <v>9198.6</v>
      </c>
      <c r="Z48" s="259"/>
      <c r="AA48" s="259"/>
      <c r="AB48" s="260"/>
      <c r="AC48" s="260"/>
      <c r="AD48" s="259">
        <v>0</v>
      </c>
      <c r="AE48" s="259">
        <v>0</v>
      </c>
      <c r="AF48" s="259">
        <v>-391.5</v>
      </c>
      <c r="AG48" s="259">
        <v>-410</v>
      </c>
      <c r="AH48" s="259">
        <v>-3541.3</v>
      </c>
      <c r="AI48" s="259">
        <v>-3541.3</v>
      </c>
      <c r="AJ48" s="257"/>
      <c r="AK48" s="260"/>
      <c r="AL48" s="260">
        <v>0</v>
      </c>
      <c r="AM48" s="260"/>
      <c r="AN48" s="259">
        <v>3642</v>
      </c>
      <c r="AO48" s="259">
        <v>3591.236</v>
      </c>
      <c r="AP48" s="257">
        <f t="shared" si="4"/>
        <v>8940.099999999999</v>
      </c>
      <c r="AQ48" s="257">
        <f t="shared" si="4"/>
        <v>8838.536</v>
      </c>
    </row>
    <row r="49" spans="1:43" ht="18" customHeight="1">
      <c r="A49" s="256">
        <v>39</v>
      </c>
      <c r="B49" s="106" t="s">
        <v>282</v>
      </c>
      <c r="C49" s="257">
        <f t="shared" si="3"/>
        <v>13889.449999999999</v>
      </c>
      <c r="D49" s="257">
        <f t="shared" si="3"/>
        <v>13772.368999999999</v>
      </c>
      <c r="E49" s="258">
        <v>4940</v>
      </c>
      <c r="F49" s="258">
        <v>4940</v>
      </c>
      <c r="G49" s="258">
        <v>1105</v>
      </c>
      <c r="H49" s="258">
        <v>1087.369</v>
      </c>
      <c r="I49" s="258">
        <v>2790</v>
      </c>
      <c r="J49" s="258">
        <v>2745</v>
      </c>
      <c r="K49" s="258"/>
      <c r="L49" s="257"/>
      <c r="M49" s="261"/>
      <c r="N49" s="258">
        <v>0</v>
      </c>
      <c r="O49" s="258">
        <v>0</v>
      </c>
      <c r="P49" s="258">
        <v>0</v>
      </c>
      <c r="Q49" s="258">
        <v>0</v>
      </c>
      <c r="R49" s="258">
        <v>3290</v>
      </c>
      <c r="S49" s="258">
        <v>3290</v>
      </c>
      <c r="T49" s="258">
        <v>102.4</v>
      </c>
      <c r="U49" s="258">
        <v>50</v>
      </c>
      <c r="V49" s="258">
        <f t="shared" si="2"/>
        <v>12227.4</v>
      </c>
      <c r="W49" s="258">
        <f t="shared" si="2"/>
        <v>12112.368999999999</v>
      </c>
      <c r="X49" s="259">
        <v>1662.05</v>
      </c>
      <c r="Y49" s="259">
        <v>1660</v>
      </c>
      <c r="Z49" s="259"/>
      <c r="AA49" s="259"/>
      <c r="AB49" s="260"/>
      <c r="AC49" s="260"/>
      <c r="AD49" s="259">
        <v>0</v>
      </c>
      <c r="AE49" s="259">
        <v>0</v>
      </c>
      <c r="AF49" s="259">
        <v>0</v>
      </c>
      <c r="AG49" s="259">
        <v>0</v>
      </c>
      <c r="AH49" s="259">
        <v>0</v>
      </c>
      <c r="AI49" s="259">
        <v>0</v>
      </c>
      <c r="AJ49" s="257"/>
      <c r="AK49" s="260"/>
      <c r="AL49" s="260">
        <v>0</v>
      </c>
      <c r="AM49" s="260"/>
      <c r="AN49" s="259">
        <v>0</v>
      </c>
      <c r="AO49" s="259">
        <v>0</v>
      </c>
      <c r="AP49" s="257">
        <f t="shared" si="4"/>
        <v>1662.05</v>
      </c>
      <c r="AQ49" s="257">
        <f t="shared" si="4"/>
        <v>1660</v>
      </c>
    </row>
    <row r="50" spans="1:43" ht="18" customHeight="1">
      <c r="A50" s="256">
        <v>40</v>
      </c>
      <c r="B50" s="106" t="s">
        <v>283</v>
      </c>
      <c r="C50" s="257">
        <f t="shared" si="3"/>
        <v>48301.1</v>
      </c>
      <c r="D50" s="257">
        <f t="shared" si="3"/>
        <v>35923.112</v>
      </c>
      <c r="E50" s="258">
        <v>16380</v>
      </c>
      <c r="F50" s="258">
        <v>15016.528</v>
      </c>
      <c r="G50" s="258">
        <v>3750</v>
      </c>
      <c r="H50" s="258">
        <v>3190.197</v>
      </c>
      <c r="I50" s="258">
        <v>14155</v>
      </c>
      <c r="J50" s="258">
        <v>8269.726</v>
      </c>
      <c r="K50" s="258"/>
      <c r="L50" s="257"/>
      <c r="M50" s="261"/>
      <c r="N50" s="258">
        <v>0</v>
      </c>
      <c r="O50" s="258">
        <v>0</v>
      </c>
      <c r="P50" s="258">
        <v>0</v>
      </c>
      <c r="Q50" s="258">
        <v>0</v>
      </c>
      <c r="R50" s="258">
        <v>3800</v>
      </c>
      <c r="S50" s="258">
        <v>3503.2</v>
      </c>
      <c r="T50" s="258">
        <v>1572.6</v>
      </c>
      <c r="U50" s="258">
        <v>340</v>
      </c>
      <c r="V50" s="258">
        <f t="shared" si="2"/>
        <v>39657.6</v>
      </c>
      <c r="W50" s="258">
        <f t="shared" si="2"/>
        <v>30319.651</v>
      </c>
      <c r="X50" s="259">
        <v>8643.5</v>
      </c>
      <c r="Y50" s="259">
        <v>5603.461</v>
      </c>
      <c r="Z50" s="259"/>
      <c r="AA50" s="259"/>
      <c r="AB50" s="260"/>
      <c r="AC50" s="260"/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57"/>
      <c r="AK50" s="260"/>
      <c r="AL50" s="260">
        <v>0</v>
      </c>
      <c r="AM50" s="260"/>
      <c r="AN50" s="259">
        <v>0</v>
      </c>
      <c r="AO50" s="259">
        <v>0</v>
      </c>
      <c r="AP50" s="257">
        <f t="shared" si="4"/>
        <v>8643.5</v>
      </c>
      <c r="AQ50" s="257">
        <f t="shared" si="4"/>
        <v>5603.461</v>
      </c>
    </row>
    <row r="51" spans="1:43" ht="18" customHeight="1">
      <c r="A51" s="256">
        <v>41</v>
      </c>
      <c r="B51" s="106" t="s">
        <v>284</v>
      </c>
      <c r="C51" s="257">
        <f t="shared" si="3"/>
        <v>31967.9</v>
      </c>
      <c r="D51" s="257">
        <f t="shared" si="3"/>
        <v>30413.97</v>
      </c>
      <c r="E51" s="258">
        <v>6050</v>
      </c>
      <c r="F51" s="258">
        <v>5849.242</v>
      </c>
      <c r="G51" s="258">
        <v>1050</v>
      </c>
      <c r="H51" s="258">
        <v>1049.438</v>
      </c>
      <c r="I51" s="258">
        <v>3132</v>
      </c>
      <c r="J51" s="258">
        <v>3071.4</v>
      </c>
      <c r="K51" s="258"/>
      <c r="L51" s="257"/>
      <c r="M51" s="261"/>
      <c r="N51" s="258">
        <v>0</v>
      </c>
      <c r="O51" s="258">
        <v>0</v>
      </c>
      <c r="P51" s="258">
        <v>12723</v>
      </c>
      <c r="Q51" s="258">
        <v>12722.5</v>
      </c>
      <c r="R51" s="258">
        <v>3350</v>
      </c>
      <c r="S51" s="258">
        <v>3075.5</v>
      </c>
      <c r="T51" s="258">
        <v>444.8</v>
      </c>
      <c r="U51" s="258">
        <v>250.87</v>
      </c>
      <c r="V51" s="258">
        <f t="shared" si="2"/>
        <v>26749.8</v>
      </c>
      <c r="W51" s="258">
        <f t="shared" si="2"/>
        <v>26018.95</v>
      </c>
      <c r="X51" s="259">
        <v>5218.1</v>
      </c>
      <c r="Y51" s="259">
        <v>4398.92</v>
      </c>
      <c r="Z51" s="259"/>
      <c r="AA51" s="259"/>
      <c r="AB51" s="260"/>
      <c r="AC51" s="260"/>
      <c r="AD51" s="259">
        <v>0</v>
      </c>
      <c r="AE51" s="259">
        <v>0</v>
      </c>
      <c r="AF51" s="259">
        <v>0</v>
      </c>
      <c r="AG51" s="259">
        <v>0</v>
      </c>
      <c r="AH51" s="259">
        <v>0</v>
      </c>
      <c r="AI51" s="259">
        <v>-3.9</v>
      </c>
      <c r="AJ51" s="257"/>
      <c r="AK51" s="260"/>
      <c r="AL51" s="260">
        <v>0</v>
      </c>
      <c r="AM51" s="260"/>
      <c r="AN51" s="259">
        <v>4410</v>
      </c>
      <c r="AO51" s="259">
        <v>3591</v>
      </c>
      <c r="AP51" s="257">
        <f t="shared" si="4"/>
        <v>9628.1</v>
      </c>
      <c r="AQ51" s="257">
        <f t="shared" si="4"/>
        <v>7986.02</v>
      </c>
    </row>
    <row r="52" spans="1:43" ht="18" customHeight="1">
      <c r="A52" s="256">
        <v>42</v>
      </c>
      <c r="B52" s="106" t="s">
        <v>285</v>
      </c>
      <c r="C52" s="257">
        <f t="shared" si="3"/>
        <v>17174.800000000003</v>
      </c>
      <c r="D52" s="257">
        <f t="shared" si="3"/>
        <v>14474.01</v>
      </c>
      <c r="E52" s="258">
        <v>8298.1</v>
      </c>
      <c r="F52" s="258">
        <v>8298.063</v>
      </c>
      <c r="G52" s="258">
        <v>2036.6</v>
      </c>
      <c r="H52" s="258">
        <v>2018.33</v>
      </c>
      <c r="I52" s="258">
        <v>2580</v>
      </c>
      <c r="J52" s="258">
        <v>2561.4</v>
      </c>
      <c r="K52" s="258"/>
      <c r="L52" s="257"/>
      <c r="M52" s="261"/>
      <c r="N52" s="258">
        <v>0</v>
      </c>
      <c r="O52" s="258">
        <v>0</v>
      </c>
      <c r="P52" s="258">
        <v>676.717</v>
      </c>
      <c r="Q52" s="258">
        <v>676.717</v>
      </c>
      <c r="R52" s="258">
        <v>1000</v>
      </c>
      <c r="S52" s="258">
        <v>1000</v>
      </c>
      <c r="T52" s="258">
        <v>717.683</v>
      </c>
      <c r="U52" s="258">
        <v>0</v>
      </c>
      <c r="V52" s="258">
        <f t="shared" si="2"/>
        <v>15309.100000000002</v>
      </c>
      <c r="W52" s="258">
        <f t="shared" si="2"/>
        <v>14554.51</v>
      </c>
      <c r="X52" s="259">
        <v>1865.7</v>
      </c>
      <c r="Y52" s="259">
        <v>515</v>
      </c>
      <c r="Z52" s="259"/>
      <c r="AA52" s="259"/>
      <c r="AB52" s="260"/>
      <c r="AC52" s="260"/>
      <c r="AD52" s="259">
        <v>0</v>
      </c>
      <c r="AE52" s="259">
        <v>0</v>
      </c>
      <c r="AF52" s="259">
        <v>0</v>
      </c>
      <c r="AG52" s="259">
        <v>0</v>
      </c>
      <c r="AH52" s="259">
        <v>0</v>
      </c>
      <c r="AI52" s="259">
        <v>-595.5</v>
      </c>
      <c r="AJ52" s="257"/>
      <c r="AK52" s="260"/>
      <c r="AL52" s="260">
        <v>0</v>
      </c>
      <c r="AM52" s="260"/>
      <c r="AN52" s="259">
        <v>235</v>
      </c>
      <c r="AO52" s="259">
        <v>0</v>
      </c>
      <c r="AP52" s="257">
        <f t="shared" si="4"/>
        <v>2100.7</v>
      </c>
      <c r="AQ52" s="257">
        <f t="shared" si="4"/>
        <v>-80.5</v>
      </c>
    </row>
    <row r="53" spans="1:43" ht="18" customHeight="1">
      <c r="A53" s="256">
        <v>43</v>
      </c>
      <c r="B53" s="106" t="s">
        <v>286</v>
      </c>
      <c r="C53" s="257">
        <f t="shared" si="3"/>
        <v>21442.379999999997</v>
      </c>
      <c r="D53" s="257">
        <f t="shared" si="3"/>
        <v>18133.2</v>
      </c>
      <c r="E53" s="258">
        <v>5580</v>
      </c>
      <c r="F53" s="258">
        <v>5380</v>
      </c>
      <c r="G53" s="258">
        <v>1365</v>
      </c>
      <c r="H53" s="258">
        <v>1321</v>
      </c>
      <c r="I53" s="258">
        <v>5280</v>
      </c>
      <c r="J53" s="258">
        <v>3799.4</v>
      </c>
      <c r="K53" s="258"/>
      <c r="L53" s="257"/>
      <c r="M53" s="261"/>
      <c r="N53" s="258">
        <v>0</v>
      </c>
      <c r="O53" s="258">
        <v>0</v>
      </c>
      <c r="P53" s="258">
        <v>1300</v>
      </c>
      <c r="Q53" s="258">
        <v>1300</v>
      </c>
      <c r="R53" s="258">
        <v>800</v>
      </c>
      <c r="S53" s="258">
        <v>600</v>
      </c>
      <c r="T53" s="258">
        <v>1188.8</v>
      </c>
      <c r="U53" s="258">
        <v>180</v>
      </c>
      <c r="V53" s="258">
        <f t="shared" si="2"/>
        <v>15513.8</v>
      </c>
      <c r="W53" s="258">
        <f t="shared" si="2"/>
        <v>12580.4</v>
      </c>
      <c r="X53" s="259">
        <v>6428.58</v>
      </c>
      <c r="Y53" s="259">
        <v>5552.8</v>
      </c>
      <c r="Z53" s="259"/>
      <c r="AA53" s="259"/>
      <c r="AB53" s="260"/>
      <c r="AC53" s="260"/>
      <c r="AD53" s="259">
        <v>0</v>
      </c>
      <c r="AE53" s="259">
        <v>0</v>
      </c>
      <c r="AF53" s="259">
        <v>0</v>
      </c>
      <c r="AG53" s="259">
        <v>0</v>
      </c>
      <c r="AH53" s="259">
        <v>-500</v>
      </c>
      <c r="AI53" s="259">
        <v>0</v>
      </c>
      <c r="AJ53" s="257"/>
      <c r="AK53" s="260"/>
      <c r="AL53" s="260">
        <v>0</v>
      </c>
      <c r="AM53" s="260"/>
      <c r="AN53" s="259">
        <v>1200</v>
      </c>
      <c r="AO53" s="259">
        <v>1130</v>
      </c>
      <c r="AP53" s="257">
        <f t="shared" si="4"/>
        <v>7128.58</v>
      </c>
      <c r="AQ53" s="257">
        <f t="shared" si="4"/>
        <v>6682.8</v>
      </c>
    </row>
    <row r="54" spans="1:43" ht="18" customHeight="1">
      <c r="A54" s="256">
        <v>44</v>
      </c>
      <c r="B54" s="108" t="s">
        <v>287</v>
      </c>
      <c r="C54" s="257">
        <f t="shared" si="3"/>
        <v>32635.7</v>
      </c>
      <c r="D54" s="257">
        <f t="shared" si="3"/>
        <v>25482.39</v>
      </c>
      <c r="E54" s="258">
        <v>12676.1</v>
      </c>
      <c r="F54" s="258">
        <v>8968.46</v>
      </c>
      <c r="G54" s="258">
        <v>2028.3</v>
      </c>
      <c r="H54" s="258">
        <v>1794.479</v>
      </c>
      <c r="I54" s="258">
        <v>7215</v>
      </c>
      <c r="J54" s="258">
        <v>4943.451</v>
      </c>
      <c r="K54" s="258"/>
      <c r="L54" s="257"/>
      <c r="M54" s="261"/>
      <c r="N54" s="258">
        <v>0</v>
      </c>
      <c r="O54" s="258">
        <v>0</v>
      </c>
      <c r="P54" s="258">
        <v>0</v>
      </c>
      <c r="Q54" s="258">
        <v>0</v>
      </c>
      <c r="R54" s="258">
        <v>2210</v>
      </c>
      <c r="S54" s="258">
        <v>2180</v>
      </c>
      <c r="T54" s="258">
        <v>2632</v>
      </c>
      <c r="U54" s="258">
        <v>2046</v>
      </c>
      <c r="V54" s="258">
        <f t="shared" si="2"/>
        <v>26761.4</v>
      </c>
      <c r="W54" s="258">
        <f t="shared" si="2"/>
        <v>19932.39</v>
      </c>
      <c r="X54" s="259">
        <v>5874.3</v>
      </c>
      <c r="Y54" s="259">
        <v>5550</v>
      </c>
      <c r="Z54" s="259"/>
      <c r="AA54" s="259"/>
      <c r="AB54" s="260"/>
      <c r="AC54" s="260"/>
      <c r="AD54" s="259">
        <v>0</v>
      </c>
      <c r="AE54" s="259">
        <v>0</v>
      </c>
      <c r="AF54" s="259">
        <v>0</v>
      </c>
      <c r="AG54" s="259">
        <v>0</v>
      </c>
      <c r="AH54" s="259">
        <v>0</v>
      </c>
      <c r="AI54" s="259">
        <v>0</v>
      </c>
      <c r="AJ54" s="257"/>
      <c r="AK54" s="260"/>
      <c r="AL54" s="260">
        <v>0</v>
      </c>
      <c r="AM54" s="260"/>
      <c r="AN54" s="259">
        <v>0</v>
      </c>
      <c r="AO54" s="259">
        <v>0</v>
      </c>
      <c r="AP54" s="257">
        <f t="shared" si="4"/>
        <v>5874.3</v>
      </c>
      <c r="AQ54" s="257">
        <f t="shared" si="4"/>
        <v>5550</v>
      </c>
    </row>
    <row r="55" spans="1:43" ht="18" customHeight="1">
      <c r="A55" s="256">
        <v>45</v>
      </c>
      <c r="B55" s="106" t="s">
        <v>288</v>
      </c>
      <c r="C55" s="257">
        <f t="shared" si="3"/>
        <v>21039.3</v>
      </c>
      <c r="D55" s="257">
        <f t="shared" si="3"/>
        <v>19961.851</v>
      </c>
      <c r="E55" s="258">
        <v>8773</v>
      </c>
      <c r="F55" s="258">
        <v>8772.371</v>
      </c>
      <c r="G55" s="258">
        <v>1920</v>
      </c>
      <c r="H55" s="258">
        <v>1919.998</v>
      </c>
      <c r="I55" s="258">
        <v>5009</v>
      </c>
      <c r="J55" s="258">
        <v>4569.121</v>
      </c>
      <c r="K55" s="258"/>
      <c r="L55" s="257"/>
      <c r="M55" s="261"/>
      <c r="N55" s="258">
        <v>0</v>
      </c>
      <c r="O55" s="258">
        <v>0</v>
      </c>
      <c r="P55" s="258">
        <v>848.7</v>
      </c>
      <c r="Q55" s="258">
        <v>798.7</v>
      </c>
      <c r="R55" s="258">
        <v>2250</v>
      </c>
      <c r="S55" s="258">
        <v>2180</v>
      </c>
      <c r="T55" s="258">
        <v>175</v>
      </c>
      <c r="U55" s="258">
        <v>125</v>
      </c>
      <c r="V55" s="258">
        <f t="shared" si="2"/>
        <v>18975.7</v>
      </c>
      <c r="W55" s="258">
        <f t="shared" si="2"/>
        <v>18365.19</v>
      </c>
      <c r="X55" s="259">
        <v>3658.6</v>
      </c>
      <c r="Y55" s="259">
        <v>3215.14</v>
      </c>
      <c r="Z55" s="259"/>
      <c r="AA55" s="259"/>
      <c r="AB55" s="260"/>
      <c r="AC55" s="260"/>
      <c r="AD55" s="259">
        <v>0</v>
      </c>
      <c r="AE55" s="259">
        <v>0</v>
      </c>
      <c r="AF55" s="259">
        <v>0</v>
      </c>
      <c r="AG55" s="259">
        <v>0</v>
      </c>
      <c r="AH55" s="259">
        <v>-1595</v>
      </c>
      <c r="AI55" s="259">
        <v>-1618.479</v>
      </c>
      <c r="AJ55" s="257"/>
      <c r="AK55" s="260"/>
      <c r="AL55" s="260">
        <v>0</v>
      </c>
      <c r="AM55" s="260"/>
      <c r="AN55" s="259">
        <v>2000</v>
      </c>
      <c r="AO55" s="259">
        <v>1853.4247</v>
      </c>
      <c r="AP55" s="257">
        <f t="shared" si="4"/>
        <v>4063.6</v>
      </c>
      <c r="AQ55" s="257">
        <f t="shared" si="4"/>
        <v>3450.0856999999996</v>
      </c>
    </row>
    <row r="56" spans="1:43" ht="18" customHeight="1">
      <c r="A56" s="256">
        <v>46</v>
      </c>
      <c r="B56" s="106" t="s">
        <v>289</v>
      </c>
      <c r="C56" s="257">
        <f t="shared" si="3"/>
        <v>6166.9</v>
      </c>
      <c r="D56" s="257">
        <f t="shared" si="3"/>
        <v>5636.709</v>
      </c>
      <c r="E56" s="258">
        <v>2594</v>
      </c>
      <c r="F56" s="258">
        <v>2566.541</v>
      </c>
      <c r="G56" s="258">
        <v>674</v>
      </c>
      <c r="H56" s="258">
        <v>663</v>
      </c>
      <c r="I56" s="258">
        <v>1571.7</v>
      </c>
      <c r="J56" s="258">
        <v>1530</v>
      </c>
      <c r="K56" s="258"/>
      <c r="L56" s="257"/>
      <c r="M56" s="261"/>
      <c r="N56" s="258">
        <v>0</v>
      </c>
      <c r="O56" s="258">
        <v>0</v>
      </c>
      <c r="P56" s="258">
        <v>0</v>
      </c>
      <c r="Q56" s="258">
        <v>0</v>
      </c>
      <c r="R56" s="258">
        <v>430</v>
      </c>
      <c r="S56" s="258">
        <v>430</v>
      </c>
      <c r="T56" s="258">
        <v>8</v>
      </c>
      <c r="U56" s="258">
        <v>8</v>
      </c>
      <c r="V56" s="258">
        <f t="shared" si="2"/>
        <v>5277.7</v>
      </c>
      <c r="W56" s="258">
        <f t="shared" si="2"/>
        <v>5197.541</v>
      </c>
      <c r="X56" s="259">
        <v>1090.3</v>
      </c>
      <c r="Y56" s="259">
        <v>1090.268</v>
      </c>
      <c r="Z56" s="259"/>
      <c r="AA56" s="259"/>
      <c r="AB56" s="260"/>
      <c r="AC56" s="260"/>
      <c r="AD56" s="259">
        <v>0</v>
      </c>
      <c r="AE56" s="259">
        <v>0</v>
      </c>
      <c r="AF56" s="259">
        <v>0</v>
      </c>
      <c r="AG56" s="259">
        <v>0</v>
      </c>
      <c r="AH56" s="259">
        <v>-201.1</v>
      </c>
      <c r="AI56" s="259">
        <v>-651.1</v>
      </c>
      <c r="AJ56" s="257"/>
      <c r="AK56" s="260"/>
      <c r="AL56" s="260">
        <v>0</v>
      </c>
      <c r="AM56" s="260"/>
      <c r="AN56" s="259">
        <v>0</v>
      </c>
      <c r="AO56" s="259">
        <v>0</v>
      </c>
      <c r="AP56" s="257">
        <f t="shared" si="4"/>
        <v>889.1999999999999</v>
      </c>
      <c r="AQ56" s="257">
        <f t="shared" si="4"/>
        <v>439.168</v>
      </c>
    </row>
    <row r="57" spans="1:43" ht="18" customHeight="1">
      <c r="A57" s="256">
        <v>47</v>
      </c>
      <c r="B57" s="106" t="s">
        <v>290</v>
      </c>
      <c r="C57" s="257">
        <f t="shared" si="3"/>
        <v>4720</v>
      </c>
      <c r="D57" s="257">
        <f t="shared" si="3"/>
        <v>4719.991</v>
      </c>
      <c r="E57" s="258">
        <v>2196</v>
      </c>
      <c r="F57" s="258">
        <v>2195.991</v>
      </c>
      <c r="G57" s="258">
        <v>522</v>
      </c>
      <c r="H57" s="258">
        <v>522</v>
      </c>
      <c r="I57" s="258">
        <v>720</v>
      </c>
      <c r="J57" s="258">
        <v>720</v>
      </c>
      <c r="K57" s="258"/>
      <c r="L57" s="257"/>
      <c r="M57" s="261"/>
      <c r="N57" s="258">
        <v>0</v>
      </c>
      <c r="O57" s="258">
        <v>0</v>
      </c>
      <c r="P57" s="258">
        <v>0</v>
      </c>
      <c r="Q57" s="258">
        <v>0</v>
      </c>
      <c r="R57" s="258">
        <v>200</v>
      </c>
      <c r="S57" s="258">
        <v>200</v>
      </c>
      <c r="T57" s="258">
        <v>0</v>
      </c>
      <c r="U57" s="258">
        <v>0</v>
      </c>
      <c r="V57" s="258">
        <f t="shared" si="2"/>
        <v>3638</v>
      </c>
      <c r="W57" s="258">
        <f t="shared" si="2"/>
        <v>3637.991</v>
      </c>
      <c r="X57" s="259">
        <v>1082</v>
      </c>
      <c r="Y57" s="259">
        <v>1082</v>
      </c>
      <c r="Z57" s="259"/>
      <c r="AA57" s="259"/>
      <c r="AB57" s="260"/>
      <c r="AC57" s="260"/>
      <c r="AD57" s="259">
        <v>0</v>
      </c>
      <c r="AE57" s="259">
        <v>0</v>
      </c>
      <c r="AF57" s="259">
        <v>0</v>
      </c>
      <c r="AG57" s="259">
        <v>0</v>
      </c>
      <c r="AH57" s="259">
        <v>0</v>
      </c>
      <c r="AI57" s="259">
        <v>0</v>
      </c>
      <c r="AJ57" s="257"/>
      <c r="AK57" s="260"/>
      <c r="AL57" s="260">
        <v>0</v>
      </c>
      <c r="AM57" s="260"/>
      <c r="AN57" s="259">
        <v>1072</v>
      </c>
      <c r="AO57" s="259">
        <v>1072</v>
      </c>
      <c r="AP57" s="257">
        <f t="shared" si="4"/>
        <v>2154</v>
      </c>
      <c r="AQ57" s="257">
        <f t="shared" si="4"/>
        <v>2154</v>
      </c>
    </row>
    <row r="58" spans="1:43" ht="18" customHeight="1">
      <c r="A58" s="256">
        <v>48</v>
      </c>
      <c r="B58" s="106" t="s">
        <v>291</v>
      </c>
      <c r="C58" s="257">
        <f t="shared" si="3"/>
        <v>11765.6</v>
      </c>
      <c r="D58" s="257">
        <f t="shared" si="3"/>
        <v>11585.8</v>
      </c>
      <c r="E58" s="258">
        <v>3882</v>
      </c>
      <c r="F58" s="258">
        <v>3872</v>
      </c>
      <c r="G58" s="258">
        <v>893</v>
      </c>
      <c r="H58" s="258">
        <v>893</v>
      </c>
      <c r="I58" s="258">
        <v>2166.8</v>
      </c>
      <c r="J58" s="258">
        <v>2166.8</v>
      </c>
      <c r="K58" s="258"/>
      <c r="L58" s="257"/>
      <c r="M58" s="261"/>
      <c r="N58" s="258">
        <v>0</v>
      </c>
      <c r="O58" s="258">
        <v>0</v>
      </c>
      <c r="P58" s="258">
        <v>250</v>
      </c>
      <c r="Q58" s="258">
        <v>250</v>
      </c>
      <c r="R58" s="258">
        <v>400</v>
      </c>
      <c r="S58" s="258">
        <v>400</v>
      </c>
      <c r="T58" s="258">
        <v>50</v>
      </c>
      <c r="U58" s="258">
        <v>50</v>
      </c>
      <c r="V58" s="258">
        <f t="shared" si="2"/>
        <v>7641.8</v>
      </c>
      <c r="W58" s="258">
        <f t="shared" si="2"/>
        <v>7631.8</v>
      </c>
      <c r="X58" s="259">
        <v>4123.8</v>
      </c>
      <c r="Y58" s="259">
        <v>4104</v>
      </c>
      <c r="Z58" s="259"/>
      <c r="AA58" s="259"/>
      <c r="AB58" s="260"/>
      <c r="AC58" s="260"/>
      <c r="AD58" s="259">
        <v>0</v>
      </c>
      <c r="AE58" s="259">
        <v>0</v>
      </c>
      <c r="AF58" s="259">
        <v>0</v>
      </c>
      <c r="AG58" s="259">
        <v>0</v>
      </c>
      <c r="AH58" s="259">
        <v>0</v>
      </c>
      <c r="AI58" s="259">
        <v>-150</v>
      </c>
      <c r="AJ58" s="257"/>
      <c r="AK58" s="260"/>
      <c r="AL58" s="260">
        <v>0</v>
      </c>
      <c r="AM58" s="260"/>
      <c r="AN58" s="259">
        <v>1900</v>
      </c>
      <c r="AO58" s="259">
        <v>1730.517</v>
      </c>
      <c r="AP58" s="257">
        <f t="shared" si="4"/>
        <v>6023.8</v>
      </c>
      <c r="AQ58" s="257">
        <f t="shared" si="4"/>
        <v>5684.517</v>
      </c>
    </row>
    <row r="59" spans="1:43" ht="18" customHeight="1">
      <c r="A59" s="256">
        <v>49</v>
      </c>
      <c r="B59" s="106" t="s">
        <v>292</v>
      </c>
      <c r="C59" s="257">
        <f t="shared" si="3"/>
        <v>51518.5</v>
      </c>
      <c r="D59" s="257">
        <f t="shared" si="3"/>
        <v>40185.07499999999</v>
      </c>
      <c r="E59" s="258">
        <v>11000</v>
      </c>
      <c r="F59" s="258">
        <v>10440.463</v>
      </c>
      <c r="G59" s="258">
        <v>2400</v>
      </c>
      <c r="H59" s="258">
        <v>2123.39</v>
      </c>
      <c r="I59" s="258">
        <v>9691</v>
      </c>
      <c r="J59" s="258">
        <v>8819.014</v>
      </c>
      <c r="K59" s="258"/>
      <c r="L59" s="257"/>
      <c r="M59" s="261"/>
      <c r="N59" s="258">
        <v>0</v>
      </c>
      <c r="O59" s="258">
        <v>0</v>
      </c>
      <c r="P59" s="258">
        <v>12311.7</v>
      </c>
      <c r="Q59" s="258">
        <v>11616.077</v>
      </c>
      <c r="R59" s="258">
        <v>3800</v>
      </c>
      <c r="S59" s="258">
        <v>3710</v>
      </c>
      <c r="T59" s="258">
        <v>768</v>
      </c>
      <c r="U59" s="258">
        <v>417.45</v>
      </c>
      <c r="V59" s="258">
        <f t="shared" si="2"/>
        <v>39970.7</v>
      </c>
      <c r="W59" s="258">
        <f t="shared" si="2"/>
        <v>37126.39399999999</v>
      </c>
      <c r="X59" s="259">
        <v>11547.8</v>
      </c>
      <c r="Y59" s="259">
        <v>3169.697</v>
      </c>
      <c r="Z59" s="259"/>
      <c r="AA59" s="259"/>
      <c r="AB59" s="260"/>
      <c r="AC59" s="260"/>
      <c r="AD59" s="259">
        <v>0</v>
      </c>
      <c r="AE59" s="259">
        <v>0</v>
      </c>
      <c r="AF59" s="259">
        <v>0</v>
      </c>
      <c r="AG59" s="259">
        <v>0</v>
      </c>
      <c r="AH59" s="259">
        <v>0</v>
      </c>
      <c r="AI59" s="259">
        <v>-111.016</v>
      </c>
      <c r="AJ59" s="257"/>
      <c r="AK59" s="260"/>
      <c r="AL59" s="260">
        <v>0</v>
      </c>
      <c r="AM59" s="260"/>
      <c r="AN59" s="259">
        <v>2943</v>
      </c>
      <c r="AO59" s="259">
        <v>0</v>
      </c>
      <c r="AP59" s="257">
        <f t="shared" si="4"/>
        <v>14490.8</v>
      </c>
      <c r="AQ59" s="257">
        <f t="shared" si="4"/>
        <v>3058.681</v>
      </c>
    </row>
    <row r="60" spans="1:43" ht="18" customHeight="1">
      <c r="A60" s="256">
        <v>50</v>
      </c>
      <c r="B60" s="106" t="s">
        <v>293</v>
      </c>
      <c r="C60" s="257">
        <f t="shared" si="3"/>
        <v>33649.5</v>
      </c>
      <c r="D60" s="257">
        <f t="shared" si="3"/>
        <v>25290.913999999997</v>
      </c>
      <c r="E60" s="258">
        <v>8914.3</v>
      </c>
      <c r="F60" s="258">
        <v>8704.451</v>
      </c>
      <c r="G60" s="258">
        <v>1971</v>
      </c>
      <c r="H60" s="258">
        <v>1693.74</v>
      </c>
      <c r="I60" s="258">
        <v>6995.3</v>
      </c>
      <c r="J60" s="258">
        <v>5647.723</v>
      </c>
      <c r="K60" s="258"/>
      <c r="L60" s="257"/>
      <c r="M60" s="261"/>
      <c r="N60" s="258">
        <v>0</v>
      </c>
      <c r="O60" s="258">
        <v>0</v>
      </c>
      <c r="P60" s="258">
        <v>0</v>
      </c>
      <c r="Q60" s="258">
        <v>0</v>
      </c>
      <c r="R60" s="258">
        <v>2530</v>
      </c>
      <c r="S60" s="258">
        <v>2495</v>
      </c>
      <c r="T60" s="258">
        <v>740</v>
      </c>
      <c r="U60" s="258">
        <v>704.63</v>
      </c>
      <c r="V60" s="258">
        <f t="shared" si="2"/>
        <v>21150.6</v>
      </c>
      <c r="W60" s="258">
        <f t="shared" si="2"/>
        <v>19245.543999999998</v>
      </c>
      <c r="X60" s="259">
        <v>12498.9</v>
      </c>
      <c r="Y60" s="259">
        <v>6127.592</v>
      </c>
      <c r="Z60" s="259"/>
      <c r="AA60" s="259"/>
      <c r="AB60" s="260"/>
      <c r="AC60" s="260"/>
      <c r="AD60" s="259">
        <v>0</v>
      </c>
      <c r="AE60" s="259">
        <v>0</v>
      </c>
      <c r="AF60" s="259">
        <v>0</v>
      </c>
      <c r="AG60" s="259">
        <v>0</v>
      </c>
      <c r="AH60" s="259">
        <v>0</v>
      </c>
      <c r="AI60" s="259">
        <v>-82.222</v>
      </c>
      <c r="AJ60" s="257"/>
      <c r="AK60" s="260"/>
      <c r="AL60" s="260">
        <v>0</v>
      </c>
      <c r="AM60" s="260"/>
      <c r="AN60" s="259">
        <v>4000</v>
      </c>
      <c r="AO60" s="259">
        <v>0</v>
      </c>
      <c r="AP60" s="257">
        <f t="shared" si="4"/>
        <v>16498.9</v>
      </c>
      <c r="AQ60" s="257">
        <f t="shared" si="4"/>
        <v>6045.37</v>
      </c>
    </row>
    <row r="61" spans="1:43" ht="18" customHeight="1">
      <c r="A61" s="256">
        <v>51</v>
      </c>
      <c r="B61" s="106" t="s">
        <v>294</v>
      </c>
      <c r="C61" s="257">
        <f t="shared" si="3"/>
        <v>20419.9</v>
      </c>
      <c r="D61" s="257">
        <f t="shared" si="3"/>
        <v>19164.300000000003</v>
      </c>
      <c r="E61" s="258">
        <v>8250</v>
      </c>
      <c r="F61" s="258">
        <v>8193.1</v>
      </c>
      <c r="G61" s="258">
        <v>1900</v>
      </c>
      <c r="H61" s="258">
        <v>1890.45</v>
      </c>
      <c r="I61" s="258">
        <v>4633.2</v>
      </c>
      <c r="J61" s="258">
        <v>3578.75</v>
      </c>
      <c r="K61" s="258"/>
      <c r="L61" s="257"/>
      <c r="M61" s="261"/>
      <c r="N61" s="258">
        <v>0</v>
      </c>
      <c r="O61" s="258">
        <v>0</v>
      </c>
      <c r="P61" s="258">
        <v>0</v>
      </c>
      <c r="Q61" s="258">
        <v>0</v>
      </c>
      <c r="R61" s="258">
        <v>4200</v>
      </c>
      <c r="S61" s="258">
        <v>4200</v>
      </c>
      <c r="T61" s="258">
        <v>200</v>
      </c>
      <c r="U61" s="258">
        <v>150</v>
      </c>
      <c r="V61" s="258">
        <f t="shared" si="2"/>
        <v>19183.2</v>
      </c>
      <c r="W61" s="258">
        <f t="shared" si="2"/>
        <v>18012.300000000003</v>
      </c>
      <c r="X61" s="259">
        <v>1236.7</v>
      </c>
      <c r="Y61" s="259">
        <v>1230</v>
      </c>
      <c r="Z61" s="259"/>
      <c r="AA61" s="259"/>
      <c r="AB61" s="260"/>
      <c r="AC61" s="260"/>
      <c r="AD61" s="259">
        <v>0</v>
      </c>
      <c r="AE61" s="259">
        <v>0</v>
      </c>
      <c r="AF61" s="259">
        <v>0</v>
      </c>
      <c r="AG61" s="259">
        <v>0</v>
      </c>
      <c r="AH61" s="259">
        <v>0</v>
      </c>
      <c r="AI61" s="259">
        <v>-78</v>
      </c>
      <c r="AJ61" s="257"/>
      <c r="AK61" s="260"/>
      <c r="AL61" s="260">
        <v>0</v>
      </c>
      <c r="AM61" s="260"/>
      <c r="AN61" s="259">
        <v>0</v>
      </c>
      <c r="AO61" s="259">
        <v>0</v>
      </c>
      <c r="AP61" s="257">
        <f t="shared" si="4"/>
        <v>1236.7</v>
      </c>
      <c r="AQ61" s="257">
        <f t="shared" si="4"/>
        <v>1152</v>
      </c>
    </row>
    <row r="62" spans="1:43" ht="18" customHeight="1">
      <c r="A62" s="256">
        <v>52</v>
      </c>
      <c r="B62" s="106" t="s">
        <v>295</v>
      </c>
      <c r="C62" s="257">
        <f t="shared" si="3"/>
        <v>40534.7</v>
      </c>
      <c r="D62" s="257">
        <f t="shared" si="3"/>
        <v>34213.494</v>
      </c>
      <c r="E62" s="258">
        <v>12168.9</v>
      </c>
      <c r="F62" s="258">
        <v>10160.309</v>
      </c>
      <c r="G62" s="258">
        <v>2348</v>
      </c>
      <c r="H62" s="258">
        <v>2175.031</v>
      </c>
      <c r="I62" s="258">
        <v>5657.4</v>
      </c>
      <c r="J62" s="258">
        <v>2920.558</v>
      </c>
      <c r="K62" s="258"/>
      <c r="L62" s="257"/>
      <c r="M62" s="261"/>
      <c r="N62" s="258">
        <v>0</v>
      </c>
      <c r="O62" s="258">
        <v>0</v>
      </c>
      <c r="P62" s="258">
        <v>5500</v>
      </c>
      <c r="Q62" s="258">
        <v>5500</v>
      </c>
      <c r="R62" s="258">
        <v>3800</v>
      </c>
      <c r="S62" s="258">
        <v>3550</v>
      </c>
      <c r="T62" s="258">
        <v>1212</v>
      </c>
      <c r="U62" s="258">
        <v>942.45</v>
      </c>
      <c r="V62" s="258">
        <f t="shared" si="2"/>
        <v>30686.3</v>
      </c>
      <c r="W62" s="258">
        <f t="shared" si="2"/>
        <v>25248.348</v>
      </c>
      <c r="X62" s="259">
        <v>9848.4</v>
      </c>
      <c r="Y62" s="259">
        <v>9537.61</v>
      </c>
      <c r="Z62" s="259"/>
      <c r="AA62" s="259"/>
      <c r="AB62" s="260"/>
      <c r="AC62" s="260"/>
      <c r="AD62" s="259">
        <v>0</v>
      </c>
      <c r="AE62" s="259">
        <v>0</v>
      </c>
      <c r="AF62" s="259">
        <v>0</v>
      </c>
      <c r="AG62" s="259">
        <v>-483.76</v>
      </c>
      <c r="AH62" s="259">
        <v>0</v>
      </c>
      <c r="AI62" s="259">
        <v>-88.704</v>
      </c>
      <c r="AJ62" s="257"/>
      <c r="AK62" s="260"/>
      <c r="AL62" s="260">
        <v>0</v>
      </c>
      <c r="AM62" s="260"/>
      <c r="AN62" s="259">
        <v>900</v>
      </c>
      <c r="AO62" s="259">
        <v>16.694</v>
      </c>
      <c r="AP62" s="257">
        <f t="shared" si="4"/>
        <v>10748.4</v>
      </c>
      <c r="AQ62" s="257">
        <f t="shared" si="4"/>
        <v>8981.84</v>
      </c>
    </row>
    <row r="63" spans="1:43" ht="18" customHeight="1">
      <c r="A63" s="256">
        <v>53</v>
      </c>
      <c r="B63" s="106" t="s">
        <v>296</v>
      </c>
      <c r="C63" s="257">
        <f t="shared" si="3"/>
        <v>9958.2</v>
      </c>
      <c r="D63" s="257">
        <f t="shared" si="3"/>
        <v>7915.6669999999995</v>
      </c>
      <c r="E63" s="258">
        <v>4250</v>
      </c>
      <c r="F63" s="258">
        <v>4240.096</v>
      </c>
      <c r="G63" s="258">
        <v>1022</v>
      </c>
      <c r="H63" s="258">
        <v>1019.071</v>
      </c>
      <c r="I63" s="258">
        <v>1164.3</v>
      </c>
      <c r="J63" s="258">
        <v>1156.5</v>
      </c>
      <c r="K63" s="258"/>
      <c r="L63" s="257"/>
      <c r="M63" s="261"/>
      <c r="N63" s="258">
        <v>0</v>
      </c>
      <c r="O63" s="258">
        <v>0</v>
      </c>
      <c r="P63" s="258">
        <v>600</v>
      </c>
      <c r="Q63" s="258">
        <v>600</v>
      </c>
      <c r="R63" s="258">
        <v>815</v>
      </c>
      <c r="S63" s="258">
        <v>815</v>
      </c>
      <c r="T63" s="258">
        <v>100</v>
      </c>
      <c r="U63" s="258">
        <v>85</v>
      </c>
      <c r="V63" s="258">
        <f t="shared" si="2"/>
        <v>7951.3</v>
      </c>
      <c r="W63" s="258">
        <f t="shared" si="2"/>
        <v>7915.6669999999995</v>
      </c>
      <c r="X63" s="259">
        <v>2006.9</v>
      </c>
      <c r="Y63" s="259">
        <v>0</v>
      </c>
      <c r="Z63" s="259"/>
      <c r="AA63" s="259"/>
      <c r="AB63" s="260"/>
      <c r="AC63" s="260"/>
      <c r="AD63" s="259">
        <v>0</v>
      </c>
      <c r="AE63" s="259">
        <v>0</v>
      </c>
      <c r="AF63" s="259">
        <v>0</v>
      </c>
      <c r="AG63" s="259">
        <v>0</v>
      </c>
      <c r="AH63" s="259">
        <v>0</v>
      </c>
      <c r="AI63" s="259">
        <v>0</v>
      </c>
      <c r="AJ63" s="257"/>
      <c r="AK63" s="260"/>
      <c r="AL63" s="260">
        <v>0</v>
      </c>
      <c r="AM63" s="260"/>
      <c r="AN63" s="259">
        <v>1960</v>
      </c>
      <c r="AO63" s="259">
        <v>0</v>
      </c>
      <c r="AP63" s="257">
        <f t="shared" si="4"/>
        <v>3966.9</v>
      </c>
      <c r="AQ63" s="257">
        <f t="shared" si="4"/>
        <v>0</v>
      </c>
    </row>
    <row r="64" spans="1:43" ht="18" customHeight="1">
      <c r="A64" s="256">
        <v>54</v>
      </c>
      <c r="B64" s="106" t="s">
        <v>297</v>
      </c>
      <c r="C64" s="257">
        <f t="shared" si="3"/>
        <v>59810.600000000006</v>
      </c>
      <c r="D64" s="257">
        <f t="shared" si="3"/>
        <v>52104.486999999994</v>
      </c>
      <c r="E64" s="258">
        <v>14740</v>
      </c>
      <c r="F64" s="258">
        <v>13828.786</v>
      </c>
      <c r="G64" s="258">
        <v>2700</v>
      </c>
      <c r="H64" s="258">
        <v>2630</v>
      </c>
      <c r="I64" s="258">
        <v>10399.6</v>
      </c>
      <c r="J64" s="258">
        <v>5524.065</v>
      </c>
      <c r="K64" s="258"/>
      <c r="L64" s="257"/>
      <c r="M64" s="261"/>
      <c r="N64" s="258">
        <v>0</v>
      </c>
      <c r="O64" s="258">
        <v>0</v>
      </c>
      <c r="P64" s="258">
        <v>10500</v>
      </c>
      <c r="Q64" s="258">
        <v>9670</v>
      </c>
      <c r="R64" s="258">
        <v>3000</v>
      </c>
      <c r="S64" s="258">
        <v>3000</v>
      </c>
      <c r="T64" s="258">
        <v>500</v>
      </c>
      <c r="U64" s="258">
        <v>405</v>
      </c>
      <c r="V64" s="258">
        <f t="shared" si="2"/>
        <v>41839.6</v>
      </c>
      <c r="W64" s="258">
        <f t="shared" si="2"/>
        <v>35057.850999999995</v>
      </c>
      <c r="X64" s="259">
        <v>18221</v>
      </c>
      <c r="Y64" s="259">
        <v>17392.886</v>
      </c>
      <c r="Z64" s="259"/>
      <c r="AA64" s="259"/>
      <c r="AB64" s="260"/>
      <c r="AC64" s="260"/>
      <c r="AD64" s="259">
        <v>0</v>
      </c>
      <c r="AE64" s="259">
        <v>0</v>
      </c>
      <c r="AF64" s="259">
        <v>0</v>
      </c>
      <c r="AG64" s="259">
        <v>0</v>
      </c>
      <c r="AH64" s="259">
        <v>-250</v>
      </c>
      <c r="AI64" s="259">
        <v>-346.25</v>
      </c>
      <c r="AJ64" s="257"/>
      <c r="AK64" s="260"/>
      <c r="AL64" s="260">
        <v>0</v>
      </c>
      <c r="AM64" s="260"/>
      <c r="AN64" s="259">
        <v>8000</v>
      </c>
      <c r="AO64" s="259">
        <v>7171.9</v>
      </c>
      <c r="AP64" s="257">
        <f t="shared" si="4"/>
        <v>25971</v>
      </c>
      <c r="AQ64" s="257">
        <f t="shared" si="4"/>
        <v>24218.536</v>
      </c>
    </row>
    <row r="65" spans="1:43" ht="18" customHeight="1">
      <c r="A65" s="256">
        <v>55</v>
      </c>
      <c r="B65" s="106" t="s">
        <v>298</v>
      </c>
      <c r="C65" s="257">
        <f t="shared" si="3"/>
        <v>18339.3</v>
      </c>
      <c r="D65" s="257">
        <f t="shared" si="3"/>
        <v>14785.841</v>
      </c>
      <c r="E65" s="258">
        <v>8791</v>
      </c>
      <c r="F65" s="258">
        <v>7933.076</v>
      </c>
      <c r="G65" s="258">
        <v>2166</v>
      </c>
      <c r="H65" s="258">
        <v>1816.179</v>
      </c>
      <c r="I65" s="258">
        <v>3710</v>
      </c>
      <c r="J65" s="258">
        <v>3290.5</v>
      </c>
      <c r="K65" s="258"/>
      <c r="L65" s="257"/>
      <c r="M65" s="261"/>
      <c r="N65" s="258">
        <v>0</v>
      </c>
      <c r="O65" s="258">
        <v>0</v>
      </c>
      <c r="P65" s="258">
        <v>0</v>
      </c>
      <c r="Q65" s="258">
        <v>0</v>
      </c>
      <c r="R65" s="258">
        <v>765</v>
      </c>
      <c r="S65" s="258">
        <v>765</v>
      </c>
      <c r="T65" s="258">
        <v>737</v>
      </c>
      <c r="U65" s="258">
        <v>180</v>
      </c>
      <c r="V65" s="258">
        <f t="shared" si="2"/>
        <v>16169</v>
      </c>
      <c r="W65" s="258">
        <f t="shared" si="2"/>
        <v>13984.755000000001</v>
      </c>
      <c r="X65" s="259">
        <v>4260.8</v>
      </c>
      <c r="Y65" s="259">
        <v>3290.8</v>
      </c>
      <c r="Z65" s="259"/>
      <c r="AA65" s="259"/>
      <c r="AB65" s="260"/>
      <c r="AC65" s="260"/>
      <c r="AD65" s="259">
        <v>0</v>
      </c>
      <c r="AE65" s="259">
        <v>0</v>
      </c>
      <c r="AF65" s="259">
        <v>0</v>
      </c>
      <c r="AG65" s="259">
        <v>0</v>
      </c>
      <c r="AH65" s="259">
        <v>-2090.5</v>
      </c>
      <c r="AI65" s="259">
        <v>-2489.714</v>
      </c>
      <c r="AJ65" s="257"/>
      <c r="AK65" s="260"/>
      <c r="AL65" s="260">
        <v>0</v>
      </c>
      <c r="AM65" s="260"/>
      <c r="AN65" s="259">
        <v>600</v>
      </c>
      <c r="AO65" s="259">
        <v>0</v>
      </c>
      <c r="AP65" s="257">
        <f t="shared" si="4"/>
        <v>2770.3</v>
      </c>
      <c r="AQ65" s="257">
        <f t="shared" si="4"/>
        <v>801.0860000000002</v>
      </c>
    </row>
    <row r="66" spans="1:43" ht="18" customHeight="1">
      <c r="A66" s="256">
        <v>56</v>
      </c>
      <c r="B66" s="106" t="s">
        <v>299</v>
      </c>
      <c r="C66" s="257">
        <f t="shared" si="3"/>
        <v>36934.45</v>
      </c>
      <c r="D66" s="257">
        <f t="shared" si="3"/>
        <v>35620.155</v>
      </c>
      <c r="E66" s="258">
        <v>13894.6</v>
      </c>
      <c r="F66" s="258">
        <v>13792.74</v>
      </c>
      <c r="G66" s="258">
        <v>2704.4</v>
      </c>
      <c r="H66" s="258">
        <v>2643.64</v>
      </c>
      <c r="I66" s="258">
        <v>5852.7</v>
      </c>
      <c r="J66" s="258">
        <v>5145.035</v>
      </c>
      <c r="K66" s="258"/>
      <c r="L66" s="257"/>
      <c r="M66" s="261"/>
      <c r="N66" s="258">
        <v>0</v>
      </c>
      <c r="O66" s="258">
        <v>0</v>
      </c>
      <c r="P66" s="258">
        <v>9780</v>
      </c>
      <c r="Q66" s="258">
        <v>9780</v>
      </c>
      <c r="R66" s="258">
        <v>2035</v>
      </c>
      <c r="S66" s="258">
        <v>1985</v>
      </c>
      <c r="T66" s="258">
        <v>570</v>
      </c>
      <c r="U66" s="258">
        <v>291.77</v>
      </c>
      <c r="V66" s="258">
        <f t="shared" si="2"/>
        <v>34836.7</v>
      </c>
      <c r="W66" s="258">
        <f t="shared" si="2"/>
        <v>33638.185</v>
      </c>
      <c r="X66" s="259">
        <v>4347.58</v>
      </c>
      <c r="Y66" s="259">
        <v>4231.8</v>
      </c>
      <c r="Z66" s="259"/>
      <c r="AA66" s="259"/>
      <c r="AB66" s="260"/>
      <c r="AC66" s="260"/>
      <c r="AD66" s="259">
        <v>0</v>
      </c>
      <c r="AE66" s="259">
        <v>0</v>
      </c>
      <c r="AF66" s="259">
        <v>0</v>
      </c>
      <c r="AG66" s="259">
        <v>0</v>
      </c>
      <c r="AH66" s="259">
        <v>-2249.83</v>
      </c>
      <c r="AI66" s="259">
        <v>-2249.83</v>
      </c>
      <c r="AJ66" s="257"/>
      <c r="AK66" s="260"/>
      <c r="AL66" s="260">
        <v>0</v>
      </c>
      <c r="AM66" s="260"/>
      <c r="AN66" s="259">
        <v>0</v>
      </c>
      <c r="AO66" s="259">
        <v>0</v>
      </c>
      <c r="AP66" s="257">
        <f t="shared" si="4"/>
        <v>2097.75</v>
      </c>
      <c r="AQ66" s="257">
        <f t="shared" si="4"/>
        <v>1981.9700000000003</v>
      </c>
    </row>
    <row r="67" spans="1:43" ht="18" customHeight="1">
      <c r="A67" s="256">
        <v>57</v>
      </c>
      <c r="B67" s="106" t="s">
        <v>247</v>
      </c>
      <c r="C67" s="257">
        <f t="shared" si="3"/>
        <v>23132.4</v>
      </c>
      <c r="D67" s="257">
        <f t="shared" si="3"/>
        <v>20820.485</v>
      </c>
      <c r="E67" s="258">
        <v>9720</v>
      </c>
      <c r="F67" s="258">
        <v>9314.266</v>
      </c>
      <c r="G67" s="258">
        <v>2177.4</v>
      </c>
      <c r="H67" s="258">
        <v>2084.119</v>
      </c>
      <c r="I67" s="258">
        <v>2770</v>
      </c>
      <c r="J67" s="258">
        <v>2067.1</v>
      </c>
      <c r="K67" s="258"/>
      <c r="L67" s="257"/>
      <c r="M67" s="261"/>
      <c r="N67" s="258">
        <v>0</v>
      </c>
      <c r="O67" s="258">
        <v>0</v>
      </c>
      <c r="P67" s="258">
        <v>500</v>
      </c>
      <c r="Q67" s="258">
        <v>500</v>
      </c>
      <c r="R67" s="258">
        <v>2400</v>
      </c>
      <c r="S67" s="258">
        <v>2400</v>
      </c>
      <c r="T67" s="258">
        <v>181.1</v>
      </c>
      <c r="U67" s="258">
        <v>140</v>
      </c>
      <c r="V67" s="258">
        <f t="shared" si="2"/>
        <v>17748.5</v>
      </c>
      <c r="W67" s="258">
        <f t="shared" si="2"/>
        <v>16505.485</v>
      </c>
      <c r="X67" s="259">
        <v>5383.9</v>
      </c>
      <c r="Y67" s="259">
        <v>4315</v>
      </c>
      <c r="Z67" s="259"/>
      <c r="AA67" s="259"/>
      <c r="AB67" s="260"/>
      <c r="AC67" s="260"/>
      <c r="AD67" s="259">
        <v>0</v>
      </c>
      <c r="AE67" s="259">
        <v>0</v>
      </c>
      <c r="AF67" s="259">
        <v>0</v>
      </c>
      <c r="AG67" s="259">
        <v>0</v>
      </c>
      <c r="AH67" s="259">
        <v>0</v>
      </c>
      <c r="AI67" s="259">
        <v>0</v>
      </c>
      <c r="AJ67" s="257"/>
      <c r="AK67" s="260"/>
      <c r="AL67" s="260">
        <v>0</v>
      </c>
      <c r="AM67" s="260"/>
      <c r="AN67" s="259">
        <v>3804</v>
      </c>
      <c r="AO67" s="259">
        <v>2735.125</v>
      </c>
      <c r="AP67" s="257">
        <f t="shared" si="4"/>
        <v>9187.9</v>
      </c>
      <c r="AQ67" s="257">
        <f t="shared" si="4"/>
        <v>7050.125</v>
      </c>
    </row>
    <row r="68" spans="1:43" ht="18" customHeight="1">
      <c r="A68" s="256">
        <v>58</v>
      </c>
      <c r="B68" s="106" t="s">
        <v>300</v>
      </c>
      <c r="C68" s="257">
        <f t="shared" si="3"/>
        <v>64301.5</v>
      </c>
      <c r="D68" s="257">
        <f t="shared" si="3"/>
        <v>46669.55</v>
      </c>
      <c r="E68" s="258">
        <v>21207.3</v>
      </c>
      <c r="F68" s="258">
        <v>15576</v>
      </c>
      <c r="G68" s="258">
        <v>3620</v>
      </c>
      <c r="H68" s="258">
        <v>3239</v>
      </c>
      <c r="I68" s="258">
        <v>8825</v>
      </c>
      <c r="J68" s="258">
        <v>6655.4</v>
      </c>
      <c r="K68" s="258"/>
      <c r="L68" s="257"/>
      <c r="M68" s="261"/>
      <c r="N68" s="258">
        <v>11360</v>
      </c>
      <c r="O68" s="258">
        <v>7036</v>
      </c>
      <c r="P68" s="258">
        <v>0</v>
      </c>
      <c r="Q68" s="258">
        <v>0</v>
      </c>
      <c r="R68" s="258">
        <v>6050</v>
      </c>
      <c r="S68" s="258">
        <v>5910</v>
      </c>
      <c r="T68" s="258">
        <v>575</v>
      </c>
      <c r="U68" s="258">
        <v>532.5</v>
      </c>
      <c r="V68" s="258">
        <f t="shared" si="2"/>
        <v>51637.3</v>
      </c>
      <c r="W68" s="258">
        <f t="shared" si="2"/>
        <v>38948.9</v>
      </c>
      <c r="X68" s="259">
        <v>12664.2</v>
      </c>
      <c r="Y68" s="259">
        <v>9236.3</v>
      </c>
      <c r="Z68" s="259"/>
      <c r="AA68" s="259"/>
      <c r="AB68" s="260"/>
      <c r="AC68" s="260"/>
      <c r="AD68" s="259">
        <v>0</v>
      </c>
      <c r="AE68" s="259">
        <v>0</v>
      </c>
      <c r="AF68" s="259">
        <v>0</v>
      </c>
      <c r="AG68" s="259">
        <v>0</v>
      </c>
      <c r="AH68" s="259">
        <v>0</v>
      </c>
      <c r="AI68" s="259">
        <v>-1515.65</v>
      </c>
      <c r="AJ68" s="257"/>
      <c r="AK68" s="260"/>
      <c r="AL68" s="260">
        <v>0</v>
      </c>
      <c r="AM68" s="260"/>
      <c r="AN68" s="259">
        <v>0</v>
      </c>
      <c r="AO68" s="259">
        <v>0</v>
      </c>
      <c r="AP68" s="257">
        <f t="shared" si="4"/>
        <v>12664.2</v>
      </c>
      <c r="AQ68" s="257">
        <f t="shared" si="4"/>
        <v>7720.65</v>
      </c>
    </row>
    <row r="69" spans="1:43" ht="18" customHeight="1">
      <c r="A69" s="256">
        <v>59</v>
      </c>
      <c r="B69" s="106" t="s">
        <v>301</v>
      </c>
      <c r="C69" s="257">
        <f t="shared" si="3"/>
        <v>86434.1</v>
      </c>
      <c r="D69" s="257">
        <f t="shared" si="3"/>
        <v>75455.861</v>
      </c>
      <c r="E69" s="258">
        <v>15120</v>
      </c>
      <c r="F69" s="258">
        <v>14967.967</v>
      </c>
      <c r="G69" s="258">
        <v>3510</v>
      </c>
      <c r="H69" s="258">
        <v>3303.155</v>
      </c>
      <c r="I69" s="258">
        <v>51090</v>
      </c>
      <c r="J69" s="258">
        <v>44240.398</v>
      </c>
      <c r="K69" s="258"/>
      <c r="L69" s="257"/>
      <c r="M69" s="261"/>
      <c r="N69" s="258">
        <v>0</v>
      </c>
      <c r="O69" s="258">
        <v>0</v>
      </c>
      <c r="P69" s="258">
        <v>1000</v>
      </c>
      <c r="Q69" s="258">
        <v>1000</v>
      </c>
      <c r="R69" s="258">
        <v>3700</v>
      </c>
      <c r="S69" s="258">
        <v>2192.5</v>
      </c>
      <c r="T69" s="258">
        <v>2414</v>
      </c>
      <c r="U69" s="258">
        <v>560</v>
      </c>
      <c r="V69" s="258">
        <f t="shared" si="2"/>
        <v>76834</v>
      </c>
      <c r="W69" s="258">
        <f t="shared" si="2"/>
        <v>66264.02</v>
      </c>
      <c r="X69" s="259">
        <v>18520</v>
      </c>
      <c r="Y69" s="259">
        <v>12778.22</v>
      </c>
      <c r="Z69" s="259"/>
      <c r="AA69" s="259"/>
      <c r="AB69" s="260"/>
      <c r="AC69" s="260"/>
      <c r="AD69" s="259">
        <v>0</v>
      </c>
      <c r="AE69" s="259">
        <v>0</v>
      </c>
      <c r="AF69" s="259">
        <v>0</v>
      </c>
      <c r="AG69" s="259">
        <v>0</v>
      </c>
      <c r="AH69" s="259">
        <v>-8919.9</v>
      </c>
      <c r="AI69" s="259">
        <v>-3586.379</v>
      </c>
      <c r="AJ69" s="257"/>
      <c r="AK69" s="260"/>
      <c r="AL69" s="260">
        <v>0</v>
      </c>
      <c r="AM69" s="260"/>
      <c r="AN69" s="259">
        <v>0</v>
      </c>
      <c r="AO69" s="259">
        <v>0</v>
      </c>
      <c r="AP69" s="257">
        <f t="shared" si="4"/>
        <v>9600.1</v>
      </c>
      <c r="AQ69" s="257">
        <f t="shared" si="4"/>
        <v>9191.841</v>
      </c>
    </row>
    <row r="70" spans="1:43" ht="18" customHeight="1">
      <c r="A70" s="256">
        <v>60</v>
      </c>
      <c r="B70" s="106" t="s">
        <v>302</v>
      </c>
      <c r="C70" s="257">
        <f t="shared" si="3"/>
        <v>19331.900100000003</v>
      </c>
      <c r="D70" s="257">
        <f t="shared" si="3"/>
        <v>17093.375</v>
      </c>
      <c r="E70" s="258">
        <v>8054</v>
      </c>
      <c r="F70" s="258">
        <v>7863.944</v>
      </c>
      <c r="G70" s="258">
        <v>1860.6</v>
      </c>
      <c r="H70" s="258">
        <v>1772.731</v>
      </c>
      <c r="I70" s="258">
        <v>6146.1</v>
      </c>
      <c r="J70" s="258">
        <v>4881.7</v>
      </c>
      <c r="K70" s="258"/>
      <c r="L70" s="257"/>
      <c r="M70" s="261"/>
      <c r="N70" s="258">
        <v>0</v>
      </c>
      <c r="O70" s="258">
        <v>0</v>
      </c>
      <c r="P70" s="258">
        <v>500.0001</v>
      </c>
      <c r="Q70" s="258">
        <v>500</v>
      </c>
      <c r="R70" s="258">
        <v>1300</v>
      </c>
      <c r="S70" s="258">
        <v>1200</v>
      </c>
      <c r="T70" s="258">
        <v>160</v>
      </c>
      <c r="U70" s="258">
        <v>160</v>
      </c>
      <c r="V70" s="258">
        <f t="shared" si="2"/>
        <v>18020.700100000002</v>
      </c>
      <c r="W70" s="258">
        <f t="shared" si="2"/>
        <v>16378.375</v>
      </c>
      <c r="X70" s="259">
        <v>1311.2</v>
      </c>
      <c r="Y70" s="259">
        <v>715</v>
      </c>
      <c r="Z70" s="259"/>
      <c r="AA70" s="259"/>
      <c r="AB70" s="260"/>
      <c r="AC70" s="260"/>
      <c r="AD70" s="259">
        <v>0</v>
      </c>
      <c r="AE70" s="259">
        <v>0</v>
      </c>
      <c r="AF70" s="259">
        <v>0</v>
      </c>
      <c r="AG70" s="259">
        <v>0</v>
      </c>
      <c r="AH70" s="259">
        <v>0</v>
      </c>
      <c r="AI70" s="259">
        <v>0</v>
      </c>
      <c r="AJ70" s="257"/>
      <c r="AK70" s="260"/>
      <c r="AL70" s="260">
        <v>0</v>
      </c>
      <c r="AM70" s="260"/>
      <c r="AN70" s="259">
        <v>0</v>
      </c>
      <c r="AO70" s="259">
        <v>0</v>
      </c>
      <c r="AP70" s="257">
        <f t="shared" si="4"/>
        <v>1311.2</v>
      </c>
      <c r="AQ70" s="257">
        <f t="shared" si="4"/>
        <v>715</v>
      </c>
    </row>
    <row r="71" spans="1:43" ht="18" customHeight="1">
      <c r="A71" s="256">
        <v>61</v>
      </c>
      <c r="B71" s="106" t="s">
        <v>303</v>
      </c>
      <c r="C71" s="257">
        <f t="shared" si="3"/>
        <v>32370</v>
      </c>
      <c r="D71" s="257">
        <f t="shared" si="3"/>
        <v>29059.027</v>
      </c>
      <c r="E71" s="258">
        <v>9000</v>
      </c>
      <c r="F71" s="258">
        <v>8615.996</v>
      </c>
      <c r="G71" s="258">
        <v>1785</v>
      </c>
      <c r="H71" s="258">
        <v>1785</v>
      </c>
      <c r="I71" s="258">
        <v>15199.1</v>
      </c>
      <c r="J71" s="258">
        <v>14394.694</v>
      </c>
      <c r="K71" s="258"/>
      <c r="L71" s="257"/>
      <c r="M71" s="261"/>
      <c r="N71" s="258">
        <v>0</v>
      </c>
      <c r="O71" s="258">
        <v>0</v>
      </c>
      <c r="P71" s="258">
        <v>40</v>
      </c>
      <c r="Q71" s="258">
        <v>40</v>
      </c>
      <c r="R71" s="258">
        <v>2750</v>
      </c>
      <c r="S71" s="258">
        <v>2560</v>
      </c>
      <c r="T71" s="258">
        <v>2121</v>
      </c>
      <c r="U71" s="258">
        <v>375</v>
      </c>
      <c r="V71" s="258">
        <f t="shared" si="2"/>
        <v>30895.1</v>
      </c>
      <c r="W71" s="258">
        <f t="shared" si="2"/>
        <v>27770.69</v>
      </c>
      <c r="X71" s="259">
        <v>1474.9</v>
      </c>
      <c r="Y71" s="259">
        <v>1404</v>
      </c>
      <c r="Z71" s="259"/>
      <c r="AA71" s="259"/>
      <c r="AB71" s="260"/>
      <c r="AC71" s="260"/>
      <c r="AD71" s="259">
        <v>0</v>
      </c>
      <c r="AE71" s="259">
        <v>0</v>
      </c>
      <c r="AF71" s="259">
        <v>0</v>
      </c>
      <c r="AG71" s="259">
        <v>0</v>
      </c>
      <c r="AH71" s="259">
        <v>0</v>
      </c>
      <c r="AI71" s="259">
        <v>-115.663</v>
      </c>
      <c r="AJ71" s="257"/>
      <c r="AK71" s="260"/>
      <c r="AL71" s="260">
        <v>0</v>
      </c>
      <c r="AM71" s="260"/>
      <c r="AN71" s="259">
        <v>0</v>
      </c>
      <c r="AO71" s="259">
        <v>0</v>
      </c>
      <c r="AP71" s="257">
        <f t="shared" si="4"/>
        <v>1474.9</v>
      </c>
      <c r="AQ71" s="257">
        <f t="shared" si="4"/>
        <v>1288.337</v>
      </c>
    </row>
    <row r="72" spans="1:43" ht="18" customHeight="1">
      <c r="A72" s="256">
        <v>62</v>
      </c>
      <c r="B72" s="106" t="s">
        <v>304</v>
      </c>
      <c r="C72" s="257">
        <f t="shared" si="3"/>
        <v>37487.9</v>
      </c>
      <c r="D72" s="257">
        <f t="shared" si="3"/>
        <v>22708.782</v>
      </c>
      <c r="E72" s="258">
        <v>8427</v>
      </c>
      <c r="F72" s="258">
        <v>8377.141</v>
      </c>
      <c r="G72" s="258">
        <v>1810</v>
      </c>
      <c r="H72" s="258">
        <v>1740.16</v>
      </c>
      <c r="I72" s="258">
        <v>19000.4</v>
      </c>
      <c r="J72" s="258">
        <v>18156.811</v>
      </c>
      <c r="K72" s="258"/>
      <c r="L72" s="257"/>
      <c r="M72" s="261"/>
      <c r="N72" s="258">
        <v>0</v>
      </c>
      <c r="O72" s="258">
        <v>0</v>
      </c>
      <c r="P72" s="258">
        <v>0</v>
      </c>
      <c r="Q72" s="258">
        <v>0</v>
      </c>
      <c r="R72" s="258">
        <v>3481</v>
      </c>
      <c r="S72" s="258">
        <v>3229</v>
      </c>
      <c r="T72" s="258">
        <v>240</v>
      </c>
      <c r="U72" s="258">
        <v>227.5</v>
      </c>
      <c r="V72" s="258">
        <f t="shared" si="2"/>
        <v>32958.4</v>
      </c>
      <c r="W72" s="258">
        <f t="shared" si="2"/>
        <v>31730.612</v>
      </c>
      <c r="X72" s="259">
        <v>22224.2</v>
      </c>
      <c r="Y72" s="259">
        <v>21602.017</v>
      </c>
      <c r="Z72" s="259"/>
      <c r="AA72" s="259"/>
      <c r="AB72" s="260"/>
      <c r="AC72" s="260"/>
      <c r="AD72" s="259">
        <v>0</v>
      </c>
      <c r="AE72" s="259">
        <v>0</v>
      </c>
      <c r="AF72" s="259">
        <v>-847.9</v>
      </c>
      <c r="AG72" s="259">
        <v>-847.9</v>
      </c>
      <c r="AH72" s="259">
        <v>-16846.8</v>
      </c>
      <c r="AI72" s="259">
        <v>-29775.947</v>
      </c>
      <c r="AJ72" s="257"/>
      <c r="AK72" s="260"/>
      <c r="AL72" s="260">
        <v>0</v>
      </c>
      <c r="AM72" s="260"/>
      <c r="AN72" s="259">
        <v>2507.3</v>
      </c>
      <c r="AO72" s="259">
        <v>1885.04</v>
      </c>
      <c r="AP72" s="257">
        <f t="shared" si="4"/>
        <v>7036.8</v>
      </c>
      <c r="AQ72" s="257">
        <f t="shared" si="4"/>
        <v>-7136.790000000002</v>
      </c>
    </row>
    <row r="73" spans="1:43" ht="18" customHeight="1">
      <c r="A73" s="256">
        <v>63</v>
      </c>
      <c r="B73" s="106" t="s">
        <v>305</v>
      </c>
      <c r="C73" s="257">
        <f t="shared" si="3"/>
        <v>23058.1</v>
      </c>
      <c r="D73" s="257">
        <f t="shared" si="3"/>
        <v>20650.709000000003</v>
      </c>
      <c r="E73" s="258">
        <v>8400</v>
      </c>
      <c r="F73" s="258">
        <v>7556.49</v>
      </c>
      <c r="G73" s="258">
        <v>2090</v>
      </c>
      <c r="H73" s="258">
        <v>2059.85</v>
      </c>
      <c r="I73" s="258">
        <v>8913.1</v>
      </c>
      <c r="J73" s="258">
        <v>8475.369</v>
      </c>
      <c r="K73" s="258"/>
      <c r="L73" s="257"/>
      <c r="M73" s="261"/>
      <c r="N73" s="258">
        <v>0</v>
      </c>
      <c r="O73" s="258">
        <v>0</v>
      </c>
      <c r="P73" s="258">
        <v>200</v>
      </c>
      <c r="Q73" s="258">
        <v>65</v>
      </c>
      <c r="R73" s="258">
        <v>2361</v>
      </c>
      <c r="S73" s="258">
        <v>2360</v>
      </c>
      <c r="T73" s="258">
        <v>850.6</v>
      </c>
      <c r="U73" s="258">
        <v>234</v>
      </c>
      <c r="V73" s="258">
        <f t="shared" si="2"/>
        <v>22814.699999999997</v>
      </c>
      <c r="W73" s="258">
        <f t="shared" si="2"/>
        <v>20750.709000000003</v>
      </c>
      <c r="X73" s="259">
        <v>243.4</v>
      </c>
      <c r="Y73" s="259">
        <v>0</v>
      </c>
      <c r="Z73" s="259"/>
      <c r="AA73" s="259"/>
      <c r="AB73" s="260"/>
      <c r="AC73" s="260"/>
      <c r="AD73" s="259">
        <v>0</v>
      </c>
      <c r="AE73" s="259">
        <v>0</v>
      </c>
      <c r="AF73" s="259">
        <v>0</v>
      </c>
      <c r="AG73" s="259">
        <v>-100</v>
      </c>
      <c r="AH73" s="259">
        <v>0</v>
      </c>
      <c r="AI73" s="259">
        <v>0</v>
      </c>
      <c r="AJ73" s="257"/>
      <c r="AK73" s="260"/>
      <c r="AL73" s="260">
        <v>0</v>
      </c>
      <c r="AM73" s="260"/>
      <c r="AN73" s="259">
        <v>0</v>
      </c>
      <c r="AO73" s="259">
        <v>0</v>
      </c>
      <c r="AP73" s="257">
        <f t="shared" si="4"/>
        <v>243.4</v>
      </c>
      <c r="AQ73" s="257">
        <f t="shared" si="4"/>
        <v>-100</v>
      </c>
    </row>
    <row r="74" spans="1:43" ht="18" customHeight="1">
      <c r="A74" s="256">
        <v>64</v>
      </c>
      <c r="B74" s="106" t="s">
        <v>306</v>
      </c>
      <c r="C74" s="257">
        <f t="shared" si="3"/>
        <v>24712.6</v>
      </c>
      <c r="D74" s="257">
        <f t="shared" si="3"/>
        <v>18475.602</v>
      </c>
      <c r="E74" s="258">
        <v>11107</v>
      </c>
      <c r="F74" s="258">
        <v>8027.8</v>
      </c>
      <c r="G74" s="258">
        <v>1780</v>
      </c>
      <c r="H74" s="258">
        <v>1462.375</v>
      </c>
      <c r="I74" s="258">
        <v>4608.1</v>
      </c>
      <c r="J74" s="258">
        <v>2498.97</v>
      </c>
      <c r="K74" s="258"/>
      <c r="L74" s="257"/>
      <c r="M74" s="261"/>
      <c r="N74" s="258">
        <v>0</v>
      </c>
      <c r="O74" s="258">
        <v>0</v>
      </c>
      <c r="P74" s="258">
        <v>0</v>
      </c>
      <c r="Q74" s="258">
        <v>0</v>
      </c>
      <c r="R74" s="258">
        <v>2100</v>
      </c>
      <c r="S74" s="258">
        <v>2020</v>
      </c>
      <c r="T74" s="258">
        <v>456</v>
      </c>
      <c r="U74" s="258">
        <v>312.69</v>
      </c>
      <c r="V74" s="258">
        <f t="shared" si="2"/>
        <v>20051.1</v>
      </c>
      <c r="W74" s="258">
        <f t="shared" si="2"/>
        <v>14321.835</v>
      </c>
      <c r="X74" s="259">
        <v>4661.5</v>
      </c>
      <c r="Y74" s="259">
        <v>4153.767</v>
      </c>
      <c r="Z74" s="259"/>
      <c r="AA74" s="259"/>
      <c r="AB74" s="260"/>
      <c r="AC74" s="260"/>
      <c r="AD74" s="259">
        <v>0</v>
      </c>
      <c r="AE74" s="259">
        <v>0</v>
      </c>
      <c r="AF74" s="259">
        <v>0</v>
      </c>
      <c r="AG74" s="259">
        <v>0</v>
      </c>
      <c r="AH74" s="259">
        <v>0</v>
      </c>
      <c r="AI74" s="259">
        <v>0</v>
      </c>
      <c r="AJ74" s="257"/>
      <c r="AK74" s="260"/>
      <c r="AL74" s="260">
        <v>0</v>
      </c>
      <c r="AM74" s="260"/>
      <c r="AN74" s="259">
        <v>1200</v>
      </c>
      <c r="AO74" s="259">
        <v>693.767</v>
      </c>
      <c r="AP74" s="257">
        <f t="shared" si="4"/>
        <v>5861.5</v>
      </c>
      <c r="AQ74" s="257">
        <f t="shared" si="4"/>
        <v>4847.534</v>
      </c>
    </row>
    <row r="75" spans="1:43" ht="18" customHeight="1">
      <c r="A75" s="256">
        <v>65</v>
      </c>
      <c r="B75" s="106" t="s">
        <v>307</v>
      </c>
      <c r="C75" s="257">
        <f aca="true" t="shared" si="5" ref="C75:D107">SUM(V75+AP75-AN75)</f>
        <v>29617.899999999998</v>
      </c>
      <c r="D75" s="257">
        <f t="shared" si="5"/>
        <v>27713.855</v>
      </c>
      <c r="E75" s="258">
        <v>12135</v>
      </c>
      <c r="F75" s="258">
        <v>12078.564</v>
      </c>
      <c r="G75" s="258">
        <v>3150</v>
      </c>
      <c r="H75" s="258">
        <v>2988.381</v>
      </c>
      <c r="I75" s="258">
        <v>6042</v>
      </c>
      <c r="J75" s="258">
        <v>5757.942</v>
      </c>
      <c r="K75" s="258"/>
      <c r="L75" s="257"/>
      <c r="M75" s="261"/>
      <c r="N75" s="258">
        <v>0</v>
      </c>
      <c r="O75" s="258">
        <v>0</v>
      </c>
      <c r="P75" s="258">
        <v>0</v>
      </c>
      <c r="Q75" s="258">
        <v>0</v>
      </c>
      <c r="R75" s="258">
        <v>4460.1</v>
      </c>
      <c r="S75" s="258">
        <v>4163</v>
      </c>
      <c r="T75" s="258">
        <v>300</v>
      </c>
      <c r="U75" s="258">
        <v>275</v>
      </c>
      <c r="V75" s="258">
        <f t="shared" si="2"/>
        <v>26087.1</v>
      </c>
      <c r="W75" s="258">
        <f t="shared" si="2"/>
        <v>25262.887</v>
      </c>
      <c r="X75" s="259">
        <v>3658.8</v>
      </c>
      <c r="Y75" s="259">
        <v>2579.8</v>
      </c>
      <c r="Z75" s="259"/>
      <c r="AA75" s="259"/>
      <c r="AB75" s="260"/>
      <c r="AC75" s="260"/>
      <c r="AD75" s="259">
        <v>0</v>
      </c>
      <c r="AE75" s="259">
        <v>0</v>
      </c>
      <c r="AF75" s="259">
        <v>0</v>
      </c>
      <c r="AG75" s="259">
        <v>0</v>
      </c>
      <c r="AH75" s="259">
        <v>-128</v>
      </c>
      <c r="AI75" s="259">
        <v>-128.832</v>
      </c>
      <c r="AJ75" s="257"/>
      <c r="AK75" s="260"/>
      <c r="AL75" s="260">
        <v>0</v>
      </c>
      <c r="AM75" s="260"/>
      <c r="AN75" s="259">
        <v>2000</v>
      </c>
      <c r="AO75" s="259">
        <v>920.1971</v>
      </c>
      <c r="AP75" s="257">
        <f aca="true" t="shared" si="6" ref="AP75:AQ107">SUM(X75+AB75+AD75+AF75+AH75+AJ75+AL75+AN75)</f>
        <v>5530.8</v>
      </c>
      <c r="AQ75" s="257">
        <f t="shared" si="6"/>
        <v>3371.1651</v>
      </c>
    </row>
    <row r="76" spans="1:43" ht="18" customHeight="1">
      <c r="A76" s="256">
        <v>66</v>
      </c>
      <c r="B76" s="106" t="s">
        <v>308</v>
      </c>
      <c r="C76" s="257">
        <f t="shared" si="5"/>
        <v>43165.4</v>
      </c>
      <c r="D76" s="257">
        <f t="shared" si="5"/>
        <v>31535.825</v>
      </c>
      <c r="E76" s="258">
        <v>17368</v>
      </c>
      <c r="F76" s="258">
        <v>15310.555</v>
      </c>
      <c r="G76" s="258">
        <v>3685</v>
      </c>
      <c r="H76" s="258">
        <v>3414.51</v>
      </c>
      <c r="I76" s="258">
        <v>10081</v>
      </c>
      <c r="J76" s="258">
        <v>7944.53</v>
      </c>
      <c r="K76" s="258"/>
      <c r="L76" s="257"/>
      <c r="M76" s="261"/>
      <c r="N76" s="258">
        <v>0</v>
      </c>
      <c r="O76" s="258">
        <v>0</v>
      </c>
      <c r="P76" s="258">
        <v>1090</v>
      </c>
      <c r="Q76" s="258">
        <v>437.73</v>
      </c>
      <c r="R76" s="258">
        <v>4000</v>
      </c>
      <c r="S76" s="258">
        <v>3430</v>
      </c>
      <c r="T76" s="258">
        <v>1986.5</v>
      </c>
      <c r="U76" s="258">
        <v>178.5</v>
      </c>
      <c r="V76" s="258">
        <f aca="true" t="shared" si="7" ref="V76:W107">SUM(E76+G76+I76+L76+N76+P76+R76+T76)</f>
        <v>38210.5</v>
      </c>
      <c r="W76" s="258">
        <f t="shared" si="7"/>
        <v>30715.825</v>
      </c>
      <c r="X76" s="259">
        <v>4954.9</v>
      </c>
      <c r="Y76" s="259">
        <v>820</v>
      </c>
      <c r="Z76" s="259"/>
      <c r="AA76" s="259"/>
      <c r="AB76" s="260"/>
      <c r="AC76" s="260"/>
      <c r="AD76" s="259">
        <v>0</v>
      </c>
      <c r="AE76" s="259">
        <v>0</v>
      </c>
      <c r="AF76" s="259">
        <v>0</v>
      </c>
      <c r="AG76" s="259">
        <v>0</v>
      </c>
      <c r="AH76" s="259">
        <v>0</v>
      </c>
      <c r="AI76" s="259">
        <v>0</v>
      </c>
      <c r="AJ76" s="257"/>
      <c r="AK76" s="260"/>
      <c r="AL76" s="260">
        <v>0</v>
      </c>
      <c r="AM76" s="260"/>
      <c r="AN76" s="259">
        <v>0</v>
      </c>
      <c r="AO76" s="259">
        <v>0</v>
      </c>
      <c r="AP76" s="257">
        <f t="shared" si="6"/>
        <v>4954.9</v>
      </c>
      <c r="AQ76" s="257">
        <f t="shared" si="6"/>
        <v>820</v>
      </c>
    </row>
    <row r="77" spans="1:43" ht="18" customHeight="1">
      <c r="A77" s="256">
        <v>67</v>
      </c>
      <c r="B77" s="109" t="s">
        <v>309</v>
      </c>
      <c r="C77" s="257">
        <f t="shared" si="5"/>
        <v>45675.2</v>
      </c>
      <c r="D77" s="257">
        <f t="shared" si="5"/>
        <v>33561.069</v>
      </c>
      <c r="E77" s="258">
        <v>10120</v>
      </c>
      <c r="F77" s="258">
        <v>10025.049</v>
      </c>
      <c r="G77" s="258">
        <v>1950</v>
      </c>
      <c r="H77" s="258">
        <v>1870.765</v>
      </c>
      <c r="I77" s="258">
        <v>6901.3</v>
      </c>
      <c r="J77" s="258">
        <v>6760.825</v>
      </c>
      <c r="K77" s="258"/>
      <c r="L77" s="257"/>
      <c r="M77" s="261"/>
      <c r="N77" s="258">
        <v>0</v>
      </c>
      <c r="O77" s="258">
        <v>0</v>
      </c>
      <c r="P77" s="258">
        <v>6000</v>
      </c>
      <c r="Q77" s="258">
        <v>6000</v>
      </c>
      <c r="R77" s="258">
        <v>3750</v>
      </c>
      <c r="S77" s="258">
        <v>3750</v>
      </c>
      <c r="T77" s="258">
        <v>3792.1</v>
      </c>
      <c r="U77" s="258">
        <v>3783.27</v>
      </c>
      <c r="V77" s="258">
        <f t="shared" si="7"/>
        <v>32513.399999999998</v>
      </c>
      <c r="W77" s="258">
        <f t="shared" si="7"/>
        <v>32189.909</v>
      </c>
      <c r="X77" s="259">
        <v>19430.3</v>
      </c>
      <c r="Y77" s="259">
        <v>12844.5</v>
      </c>
      <c r="Z77" s="259"/>
      <c r="AA77" s="259"/>
      <c r="AB77" s="260"/>
      <c r="AC77" s="260"/>
      <c r="AD77" s="259">
        <v>0</v>
      </c>
      <c r="AE77" s="259">
        <v>0</v>
      </c>
      <c r="AF77" s="259">
        <v>0</v>
      </c>
      <c r="AG77" s="259">
        <v>0</v>
      </c>
      <c r="AH77" s="259">
        <v>-6268.5</v>
      </c>
      <c r="AI77" s="259">
        <v>-11473.34</v>
      </c>
      <c r="AJ77" s="257"/>
      <c r="AK77" s="260"/>
      <c r="AL77" s="260">
        <v>0</v>
      </c>
      <c r="AM77" s="260"/>
      <c r="AN77" s="259">
        <v>0</v>
      </c>
      <c r="AO77" s="259">
        <v>0</v>
      </c>
      <c r="AP77" s="257">
        <f t="shared" si="6"/>
        <v>13161.8</v>
      </c>
      <c r="AQ77" s="257">
        <f t="shared" si="6"/>
        <v>1371.1599999999999</v>
      </c>
    </row>
    <row r="78" spans="1:43" ht="18" customHeight="1">
      <c r="A78" s="256">
        <v>68</v>
      </c>
      <c r="B78" s="106" t="s">
        <v>310</v>
      </c>
      <c r="C78" s="257">
        <f t="shared" si="5"/>
        <v>32525.100000000006</v>
      </c>
      <c r="D78" s="257">
        <f t="shared" si="5"/>
        <v>18257.234999999997</v>
      </c>
      <c r="E78" s="258">
        <v>12106</v>
      </c>
      <c r="F78" s="258">
        <v>11112.839</v>
      </c>
      <c r="G78" s="258">
        <v>2188</v>
      </c>
      <c r="H78" s="258">
        <v>2084.831</v>
      </c>
      <c r="I78" s="258">
        <v>3972</v>
      </c>
      <c r="J78" s="258">
        <v>3564.7</v>
      </c>
      <c r="K78" s="258"/>
      <c r="L78" s="257"/>
      <c r="M78" s="261"/>
      <c r="N78" s="258">
        <v>6300</v>
      </c>
      <c r="O78" s="258">
        <v>6300</v>
      </c>
      <c r="P78" s="258">
        <v>0</v>
      </c>
      <c r="Q78" s="258">
        <v>0</v>
      </c>
      <c r="R78" s="258">
        <v>1800</v>
      </c>
      <c r="S78" s="258">
        <v>1800</v>
      </c>
      <c r="T78" s="258">
        <v>250</v>
      </c>
      <c r="U78" s="258">
        <v>190.31</v>
      </c>
      <c r="V78" s="258">
        <f t="shared" si="7"/>
        <v>26616</v>
      </c>
      <c r="W78" s="258">
        <f t="shared" si="7"/>
        <v>25052.68</v>
      </c>
      <c r="X78" s="259">
        <v>37035.4</v>
      </c>
      <c r="Y78" s="259">
        <v>25425.849</v>
      </c>
      <c r="Z78" s="259"/>
      <c r="AA78" s="259"/>
      <c r="AB78" s="260"/>
      <c r="AC78" s="260"/>
      <c r="AD78" s="259">
        <v>0</v>
      </c>
      <c r="AE78" s="259">
        <v>0</v>
      </c>
      <c r="AF78" s="259">
        <v>0</v>
      </c>
      <c r="AG78" s="259">
        <v>0</v>
      </c>
      <c r="AH78" s="259">
        <v>-31126.3</v>
      </c>
      <c r="AI78" s="259">
        <v>-32221.294</v>
      </c>
      <c r="AJ78" s="257"/>
      <c r="AK78" s="260"/>
      <c r="AL78" s="260">
        <v>0</v>
      </c>
      <c r="AM78" s="260"/>
      <c r="AN78" s="259">
        <v>2800</v>
      </c>
      <c r="AO78" s="259">
        <v>0</v>
      </c>
      <c r="AP78" s="257">
        <f t="shared" si="6"/>
        <v>8709.100000000002</v>
      </c>
      <c r="AQ78" s="257">
        <f t="shared" si="6"/>
        <v>-6795.445000000003</v>
      </c>
    </row>
    <row r="79" spans="1:43" ht="18" customHeight="1">
      <c r="A79" s="256">
        <v>69</v>
      </c>
      <c r="B79" s="106" t="s">
        <v>311</v>
      </c>
      <c r="C79" s="257">
        <f t="shared" si="5"/>
        <v>58969.10000000001</v>
      </c>
      <c r="D79" s="257">
        <f t="shared" si="5"/>
        <v>55771.614</v>
      </c>
      <c r="E79" s="258">
        <v>12002</v>
      </c>
      <c r="F79" s="258">
        <v>11730.026</v>
      </c>
      <c r="G79" s="258">
        <v>2942</v>
      </c>
      <c r="H79" s="258">
        <v>2402.927</v>
      </c>
      <c r="I79" s="258">
        <v>24780.3</v>
      </c>
      <c r="J79" s="258">
        <v>23334.981</v>
      </c>
      <c r="K79" s="258"/>
      <c r="L79" s="257"/>
      <c r="M79" s="261"/>
      <c r="N79" s="258">
        <v>0</v>
      </c>
      <c r="O79" s="258">
        <v>0</v>
      </c>
      <c r="P79" s="258">
        <v>0</v>
      </c>
      <c r="Q79" s="258">
        <v>0</v>
      </c>
      <c r="R79" s="258">
        <v>4500</v>
      </c>
      <c r="S79" s="258">
        <v>4469</v>
      </c>
      <c r="T79" s="258">
        <v>400</v>
      </c>
      <c r="U79" s="258">
        <v>360</v>
      </c>
      <c r="V79" s="258">
        <f t="shared" si="7"/>
        <v>44624.3</v>
      </c>
      <c r="W79" s="258">
        <f t="shared" si="7"/>
        <v>42296.934</v>
      </c>
      <c r="X79" s="259">
        <v>14344.8</v>
      </c>
      <c r="Y79" s="259">
        <v>13474.68</v>
      </c>
      <c r="Z79" s="259"/>
      <c r="AA79" s="259"/>
      <c r="AB79" s="260"/>
      <c r="AC79" s="260"/>
      <c r="AD79" s="259">
        <v>0</v>
      </c>
      <c r="AE79" s="259">
        <v>0</v>
      </c>
      <c r="AF79" s="259">
        <v>0</v>
      </c>
      <c r="AG79" s="259">
        <v>0</v>
      </c>
      <c r="AH79" s="259">
        <v>0</v>
      </c>
      <c r="AI79" s="259">
        <v>0</v>
      </c>
      <c r="AJ79" s="257"/>
      <c r="AK79" s="260"/>
      <c r="AL79" s="260">
        <v>0</v>
      </c>
      <c r="AM79" s="260"/>
      <c r="AN79" s="259">
        <v>9382.6</v>
      </c>
      <c r="AO79" s="259">
        <v>8512.515</v>
      </c>
      <c r="AP79" s="257">
        <f t="shared" si="6"/>
        <v>23727.4</v>
      </c>
      <c r="AQ79" s="257">
        <f t="shared" si="6"/>
        <v>21987.195</v>
      </c>
    </row>
    <row r="80" spans="1:43" ht="18" customHeight="1">
      <c r="A80" s="256">
        <v>70</v>
      </c>
      <c r="B80" s="106" t="s">
        <v>312</v>
      </c>
      <c r="C80" s="257">
        <f t="shared" si="5"/>
        <v>103984.4</v>
      </c>
      <c r="D80" s="257">
        <f t="shared" si="5"/>
        <v>87463.793</v>
      </c>
      <c r="E80" s="258">
        <v>35947.7</v>
      </c>
      <c r="F80" s="258">
        <v>33104.753</v>
      </c>
      <c r="G80" s="258">
        <v>6650</v>
      </c>
      <c r="H80" s="258">
        <v>5994.201</v>
      </c>
      <c r="I80" s="258">
        <v>9541</v>
      </c>
      <c r="J80" s="258">
        <v>6029.239</v>
      </c>
      <c r="K80" s="258"/>
      <c r="L80" s="257"/>
      <c r="M80" s="261"/>
      <c r="N80" s="258">
        <v>25000</v>
      </c>
      <c r="O80" s="258">
        <v>25000</v>
      </c>
      <c r="P80" s="258">
        <v>0</v>
      </c>
      <c r="Q80" s="258">
        <v>0</v>
      </c>
      <c r="R80" s="258">
        <v>6500</v>
      </c>
      <c r="S80" s="258">
        <v>6120</v>
      </c>
      <c r="T80" s="258">
        <v>640</v>
      </c>
      <c r="U80" s="258">
        <v>580.08</v>
      </c>
      <c r="V80" s="258">
        <f t="shared" si="7"/>
        <v>84278.7</v>
      </c>
      <c r="W80" s="258">
        <f t="shared" si="7"/>
        <v>76828.273</v>
      </c>
      <c r="X80" s="259">
        <v>30435.7</v>
      </c>
      <c r="Y80" s="259">
        <v>25151.585</v>
      </c>
      <c r="Z80" s="259"/>
      <c r="AA80" s="259"/>
      <c r="AB80" s="260"/>
      <c r="AC80" s="260"/>
      <c r="AD80" s="259">
        <v>0</v>
      </c>
      <c r="AE80" s="259">
        <v>0</v>
      </c>
      <c r="AF80" s="259">
        <v>0</v>
      </c>
      <c r="AG80" s="259">
        <v>-95.92</v>
      </c>
      <c r="AH80" s="259">
        <v>-10730</v>
      </c>
      <c r="AI80" s="259">
        <v>-14420.145</v>
      </c>
      <c r="AJ80" s="257"/>
      <c r="AK80" s="260"/>
      <c r="AL80" s="260">
        <v>0</v>
      </c>
      <c r="AM80" s="260"/>
      <c r="AN80" s="259">
        <v>0</v>
      </c>
      <c r="AO80" s="259">
        <v>0</v>
      </c>
      <c r="AP80" s="257">
        <f t="shared" si="6"/>
        <v>19705.7</v>
      </c>
      <c r="AQ80" s="257">
        <f t="shared" si="6"/>
        <v>10635.52</v>
      </c>
    </row>
    <row r="81" spans="1:43" ht="18" customHeight="1">
      <c r="A81" s="256">
        <v>71</v>
      </c>
      <c r="B81" s="106" t="s">
        <v>313</v>
      </c>
      <c r="C81" s="257">
        <f t="shared" si="5"/>
        <v>45945.6</v>
      </c>
      <c r="D81" s="257">
        <f t="shared" si="5"/>
        <v>36330.954</v>
      </c>
      <c r="E81" s="258">
        <v>13619.3</v>
      </c>
      <c r="F81" s="258">
        <v>12908.571</v>
      </c>
      <c r="G81" s="258">
        <v>3090.1</v>
      </c>
      <c r="H81" s="258">
        <v>2915.11</v>
      </c>
      <c r="I81" s="258">
        <v>7835.4</v>
      </c>
      <c r="J81" s="258">
        <v>6768.821</v>
      </c>
      <c r="K81" s="258"/>
      <c r="L81" s="257"/>
      <c r="M81" s="261"/>
      <c r="N81" s="258">
        <v>0</v>
      </c>
      <c r="O81" s="258">
        <v>0</v>
      </c>
      <c r="P81" s="258">
        <v>7972.9</v>
      </c>
      <c r="Q81" s="258">
        <v>6127.3</v>
      </c>
      <c r="R81" s="258">
        <v>3700</v>
      </c>
      <c r="S81" s="258">
        <v>3700</v>
      </c>
      <c r="T81" s="258">
        <v>2031.4</v>
      </c>
      <c r="U81" s="258">
        <v>300</v>
      </c>
      <c r="V81" s="258">
        <f t="shared" si="7"/>
        <v>38249.1</v>
      </c>
      <c r="W81" s="258">
        <f t="shared" si="7"/>
        <v>32719.802</v>
      </c>
      <c r="X81" s="259">
        <v>7696.5</v>
      </c>
      <c r="Y81" s="259">
        <v>4038.4</v>
      </c>
      <c r="Z81" s="259"/>
      <c r="AA81" s="259"/>
      <c r="AB81" s="260"/>
      <c r="AC81" s="260"/>
      <c r="AD81" s="259">
        <v>0</v>
      </c>
      <c r="AE81" s="259">
        <v>0</v>
      </c>
      <c r="AF81" s="259">
        <v>0</v>
      </c>
      <c r="AG81" s="259">
        <v>0</v>
      </c>
      <c r="AH81" s="259">
        <v>0</v>
      </c>
      <c r="AI81" s="259">
        <v>-427.248</v>
      </c>
      <c r="AJ81" s="257"/>
      <c r="AK81" s="260"/>
      <c r="AL81" s="260">
        <v>0</v>
      </c>
      <c r="AM81" s="260"/>
      <c r="AN81" s="259">
        <v>400</v>
      </c>
      <c r="AO81" s="259">
        <v>0</v>
      </c>
      <c r="AP81" s="257">
        <f t="shared" si="6"/>
        <v>8096.5</v>
      </c>
      <c r="AQ81" s="257">
        <f t="shared" si="6"/>
        <v>3611.152</v>
      </c>
    </row>
    <row r="82" spans="1:43" ht="18" customHeight="1">
      <c r="A82" s="256">
        <v>72</v>
      </c>
      <c r="B82" s="106" t="s">
        <v>314</v>
      </c>
      <c r="C82" s="257">
        <f t="shared" si="5"/>
        <v>12943.3</v>
      </c>
      <c r="D82" s="257">
        <f t="shared" si="5"/>
        <v>12150.05</v>
      </c>
      <c r="E82" s="258">
        <v>4686</v>
      </c>
      <c r="F82" s="258">
        <v>4176</v>
      </c>
      <c r="G82" s="258">
        <v>982</v>
      </c>
      <c r="H82" s="258">
        <v>904.85</v>
      </c>
      <c r="I82" s="258">
        <v>1830</v>
      </c>
      <c r="J82" s="258">
        <v>1699.2</v>
      </c>
      <c r="K82" s="258"/>
      <c r="L82" s="257"/>
      <c r="M82" s="261"/>
      <c r="N82" s="258">
        <v>3150</v>
      </c>
      <c r="O82" s="258">
        <v>3150</v>
      </c>
      <c r="P82" s="258">
        <v>0</v>
      </c>
      <c r="Q82" s="258">
        <v>0</v>
      </c>
      <c r="R82" s="258">
        <v>492</v>
      </c>
      <c r="S82" s="258">
        <v>490</v>
      </c>
      <c r="T82" s="258">
        <v>0</v>
      </c>
      <c r="U82" s="258">
        <v>0</v>
      </c>
      <c r="V82" s="258">
        <f t="shared" si="7"/>
        <v>11140</v>
      </c>
      <c r="W82" s="258">
        <f t="shared" si="7"/>
        <v>10420.05</v>
      </c>
      <c r="X82" s="259">
        <v>1803.3</v>
      </c>
      <c r="Y82" s="259">
        <v>1730</v>
      </c>
      <c r="Z82" s="259"/>
      <c r="AA82" s="259"/>
      <c r="AB82" s="260"/>
      <c r="AC82" s="260"/>
      <c r="AD82" s="259">
        <v>0</v>
      </c>
      <c r="AE82" s="259">
        <v>0</v>
      </c>
      <c r="AF82" s="259">
        <v>0</v>
      </c>
      <c r="AG82" s="259">
        <v>0</v>
      </c>
      <c r="AH82" s="259">
        <v>0</v>
      </c>
      <c r="AI82" s="259">
        <v>0</v>
      </c>
      <c r="AJ82" s="257"/>
      <c r="AK82" s="260"/>
      <c r="AL82" s="260">
        <v>0</v>
      </c>
      <c r="AM82" s="260"/>
      <c r="AN82" s="259">
        <v>0</v>
      </c>
      <c r="AO82" s="259">
        <v>0</v>
      </c>
      <c r="AP82" s="257">
        <f t="shared" si="6"/>
        <v>1803.3</v>
      </c>
      <c r="AQ82" s="257">
        <f t="shared" si="6"/>
        <v>1730</v>
      </c>
    </row>
    <row r="83" spans="1:43" ht="18" customHeight="1">
      <c r="A83" s="256">
        <v>73</v>
      </c>
      <c r="B83" s="106" t="s">
        <v>315</v>
      </c>
      <c r="C83" s="257">
        <f t="shared" si="5"/>
        <v>15773.8</v>
      </c>
      <c r="D83" s="257">
        <f t="shared" si="5"/>
        <v>13978.369999999999</v>
      </c>
      <c r="E83" s="258">
        <v>5000</v>
      </c>
      <c r="F83" s="258">
        <v>4974.28</v>
      </c>
      <c r="G83" s="258">
        <v>1100</v>
      </c>
      <c r="H83" s="258">
        <v>1098.85</v>
      </c>
      <c r="I83" s="258">
        <v>4245.3</v>
      </c>
      <c r="J83" s="258">
        <v>3104.1</v>
      </c>
      <c r="K83" s="258"/>
      <c r="L83" s="257"/>
      <c r="M83" s="261"/>
      <c r="N83" s="258">
        <v>0</v>
      </c>
      <c r="O83" s="258">
        <v>0</v>
      </c>
      <c r="P83" s="258">
        <v>2200</v>
      </c>
      <c r="Q83" s="258">
        <v>2200</v>
      </c>
      <c r="R83" s="258">
        <v>2400</v>
      </c>
      <c r="S83" s="258">
        <v>2260</v>
      </c>
      <c r="T83" s="258">
        <v>150</v>
      </c>
      <c r="U83" s="258">
        <v>90</v>
      </c>
      <c r="V83" s="258">
        <f t="shared" si="7"/>
        <v>15095.3</v>
      </c>
      <c r="W83" s="258">
        <f t="shared" si="7"/>
        <v>13727.23</v>
      </c>
      <c r="X83" s="259">
        <v>678.5</v>
      </c>
      <c r="Y83" s="259">
        <v>648.4</v>
      </c>
      <c r="Z83" s="259"/>
      <c r="AA83" s="259"/>
      <c r="AB83" s="260"/>
      <c r="AC83" s="260"/>
      <c r="AD83" s="259">
        <v>0</v>
      </c>
      <c r="AE83" s="259">
        <v>0</v>
      </c>
      <c r="AF83" s="259">
        <v>0</v>
      </c>
      <c r="AG83" s="259">
        <v>0</v>
      </c>
      <c r="AH83" s="259">
        <v>0</v>
      </c>
      <c r="AI83" s="259">
        <v>-397.26</v>
      </c>
      <c r="AJ83" s="257"/>
      <c r="AK83" s="260"/>
      <c r="AL83" s="260">
        <v>0</v>
      </c>
      <c r="AM83" s="260"/>
      <c r="AN83" s="259">
        <v>0</v>
      </c>
      <c r="AO83" s="259">
        <v>0</v>
      </c>
      <c r="AP83" s="257">
        <f t="shared" si="6"/>
        <v>678.5</v>
      </c>
      <c r="AQ83" s="257">
        <f t="shared" si="6"/>
        <v>251.14</v>
      </c>
    </row>
    <row r="84" spans="1:43" ht="18" customHeight="1">
      <c r="A84" s="256">
        <v>74</v>
      </c>
      <c r="B84" s="106" t="s">
        <v>316</v>
      </c>
      <c r="C84" s="257">
        <f t="shared" si="5"/>
        <v>72500.545</v>
      </c>
      <c r="D84" s="257">
        <f t="shared" si="5"/>
        <v>64219.494000000006</v>
      </c>
      <c r="E84" s="258">
        <v>15576</v>
      </c>
      <c r="F84" s="258">
        <v>14443.766</v>
      </c>
      <c r="G84" s="258">
        <v>4000</v>
      </c>
      <c r="H84" s="258">
        <v>3251.388</v>
      </c>
      <c r="I84" s="258">
        <v>25750</v>
      </c>
      <c r="J84" s="258">
        <v>23365.4</v>
      </c>
      <c r="K84" s="258"/>
      <c r="L84" s="257"/>
      <c r="M84" s="261"/>
      <c r="N84" s="258">
        <v>0</v>
      </c>
      <c r="O84" s="258">
        <v>0</v>
      </c>
      <c r="P84" s="258">
        <v>1700</v>
      </c>
      <c r="Q84" s="258">
        <v>1700</v>
      </c>
      <c r="R84" s="258">
        <v>11500</v>
      </c>
      <c r="S84" s="258">
        <v>11100</v>
      </c>
      <c r="T84" s="258">
        <v>1774.6</v>
      </c>
      <c r="U84" s="258">
        <v>495</v>
      </c>
      <c r="V84" s="258">
        <f t="shared" si="7"/>
        <v>60300.6</v>
      </c>
      <c r="W84" s="258">
        <f t="shared" si="7"/>
        <v>54355.554000000004</v>
      </c>
      <c r="X84" s="259">
        <v>14000</v>
      </c>
      <c r="Y84" s="259">
        <v>13127</v>
      </c>
      <c r="Z84" s="259"/>
      <c r="AA84" s="259"/>
      <c r="AB84" s="260"/>
      <c r="AC84" s="260"/>
      <c r="AD84" s="259">
        <v>2000</v>
      </c>
      <c r="AE84" s="259">
        <v>0</v>
      </c>
      <c r="AF84" s="259">
        <v>0</v>
      </c>
      <c r="AG84" s="259">
        <v>0</v>
      </c>
      <c r="AH84" s="259">
        <v>-3800.055</v>
      </c>
      <c r="AI84" s="259">
        <v>-3263.06</v>
      </c>
      <c r="AJ84" s="257"/>
      <c r="AK84" s="260"/>
      <c r="AL84" s="260">
        <v>0</v>
      </c>
      <c r="AM84" s="260"/>
      <c r="AN84" s="259">
        <v>1936.4</v>
      </c>
      <c r="AO84" s="259">
        <v>0</v>
      </c>
      <c r="AP84" s="257">
        <f t="shared" si="6"/>
        <v>14136.345</v>
      </c>
      <c r="AQ84" s="257">
        <f t="shared" si="6"/>
        <v>9863.94</v>
      </c>
    </row>
    <row r="85" spans="1:43" ht="18" customHeight="1">
      <c r="A85" s="256">
        <v>75</v>
      </c>
      <c r="B85" s="106" t="s">
        <v>317</v>
      </c>
      <c r="C85" s="257">
        <f t="shared" si="5"/>
        <v>16562.6</v>
      </c>
      <c r="D85" s="257">
        <f t="shared" si="5"/>
        <v>16391.05</v>
      </c>
      <c r="E85" s="258">
        <v>5768</v>
      </c>
      <c r="F85" s="258">
        <v>5768</v>
      </c>
      <c r="G85" s="258">
        <v>1443.9</v>
      </c>
      <c r="H85" s="258">
        <v>1442.9</v>
      </c>
      <c r="I85" s="258">
        <v>6717</v>
      </c>
      <c r="J85" s="258">
        <v>6710.6</v>
      </c>
      <c r="K85" s="258"/>
      <c r="L85" s="257"/>
      <c r="M85" s="261"/>
      <c r="N85" s="258">
        <v>0</v>
      </c>
      <c r="O85" s="258">
        <v>0</v>
      </c>
      <c r="P85" s="258">
        <v>0</v>
      </c>
      <c r="Q85" s="258">
        <v>0</v>
      </c>
      <c r="R85" s="258">
        <v>950</v>
      </c>
      <c r="S85" s="258">
        <v>950</v>
      </c>
      <c r="T85" s="258">
        <v>170</v>
      </c>
      <c r="U85" s="258">
        <v>170</v>
      </c>
      <c r="V85" s="258">
        <f t="shared" si="7"/>
        <v>15048.9</v>
      </c>
      <c r="W85" s="258">
        <f t="shared" si="7"/>
        <v>15041.5</v>
      </c>
      <c r="X85" s="259">
        <v>1513.7</v>
      </c>
      <c r="Y85" s="259">
        <v>1513.7</v>
      </c>
      <c r="Z85" s="259"/>
      <c r="AA85" s="259"/>
      <c r="AB85" s="260"/>
      <c r="AC85" s="260"/>
      <c r="AD85" s="259">
        <v>0</v>
      </c>
      <c r="AE85" s="259">
        <v>0</v>
      </c>
      <c r="AF85" s="259">
        <v>0</v>
      </c>
      <c r="AG85" s="259">
        <v>0</v>
      </c>
      <c r="AH85" s="259">
        <v>0</v>
      </c>
      <c r="AI85" s="259">
        <v>-164.15</v>
      </c>
      <c r="AJ85" s="257"/>
      <c r="AK85" s="260"/>
      <c r="AL85" s="260">
        <v>0</v>
      </c>
      <c r="AM85" s="260"/>
      <c r="AN85" s="259">
        <v>0</v>
      </c>
      <c r="AO85" s="259">
        <v>0</v>
      </c>
      <c r="AP85" s="257">
        <f t="shared" si="6"/>
        <v>1513.7</v>
      </c>
      <c r="AQ85" s="257">
        <f t="shared" si="6"/>
        <v>1349.55</v>
      </c>
    </row>
    <row r="86" spans="1:43" ht="18" customHeight="1">
      <c r="A86" s="256">
        <v>76</v>
      </c>
      <c r="B86" s="106" t="s">
        <v>318</v>
      </c>
      <c r="C86" s="257">
        <f t="shared" si="5"/>
        <v>111530.487</v>
      </c>
      <c r="D86" s="257">
        <f t="shared" si="5"/>
        <v>90065.839</v>
      </c>
      <c r="E86" s="258">
        <v>19579.487</v>
      </c>
      <c r="F86" s="258">
        <v>19561.943</v>
      </c>
      <c r="G86" s="258">
        <v>4195</v>
      </c>
      <c r="H86" s="258">
        <v>4193</v>
      </c>
      <c r="I86" s="258">
        <v>22823</v>
      </c>
      <c r="J86" s="258">
        <v>13794.12</v>
      </c>
      <c r="K86" s="258"/>
      <c r="L86" s="257"/>
      <c r="M86" s="261"/>
      <c r="N86" s="258">
        <v>0</v>
      </c>
      <c r="O86" s="258">
        <v>0</v>
      </c>
      <c r="P86" s="258">
        <v>13449.7</v>
      </c>
      <c r="Q86" s="258">
        <v>10424.4</v>
      </c>
      <c r="R86" s="258">
        <v>10200</v>
      </c>
      <c r="S86" s="258">
        <v>9137</v>
      </c>
      <c r="T86" s="258">
        <v>3959.9</v>
      </c>
      <c r="U86" s="258">
        <v>473</v>
      </c>
      <c r="V86" s="258">
        <f t="shared" si="7"/>
        <v>74207.087</v>
      </c>
      <c r="W86" s="258">
        <f t="shared" si="7"/>
        <v>57583.463</v>
      </c>
      <c r="X86" s="259">
        <v>37323.4</v>
      </c>
      <c r="Y86" s="259">
        <v>34494.15</v>
      </c>
      <c r="Z86" s="259"/>
      <c r="AA86" s="259"/>
      <c r="AB86" s="260"/>
      <c r="AC86" s="260"/>
      <c r="AD86" s="259">
        <v>0</v>
      </c>
      <c r="AE86" s="259">
        <v>0</v>
      </c>
      <c r="AF86" s="259">
        <v>0</v>
      </c>
      <c r="AG86" s="259">
        <v>0</v>
      </c>
      <c r="AH86" s="259">
        <v>0</v>
      </c>
      <c r="AI86" s="259">
        <v>-2011.774</v>
      </c>
      <c r="AJ86" s="257"/>
      <c r="AK86" s="260"/>
      <c r="AL86" s="260">
        <v>0</v>
      </c>
      <c r="AM86" s="260"/>
      <c r="AN86" s="259">
        <v>5435</v>
      </c>
      <c r="AO86" s="259">
        <v>600</v>
      </c>
      <c r="AP86" s="257">
        <f t="shared" si="6"/>
        <v>42758.4</v>
      </c>
      <c r="AQ86" s="257">
        <f t="shared" si="6"/>
        <v>33082.376000000004</v>
      </c>
    </row>
    <row r="87" spans="1:43" ht="18" customHeight="1">
      <c r="A87" s="256">
        <v>77</v>
      </c>
      <c r="B87" s="106" t="s">
        <v>319</v>
      </c>
      <c r="C87" s="257">
        <f t="shared" si="5"/>
        <v>57361.799999999996</v>
      </c>
      <c r="D87" s="257">
        <f t="shared" si="5"/>
        <v>45333.768</v>
      </c>
      <c r="E87" s="258">
        <v>11600</v>
      </c>
      <c r="F87" s="258">
        <v>11193.841</v>
      </c>
      <c r="G87" s="258">
        <v>2300</v>
      </c>
      <c r="H87" s="258">
        <v>2242.977</v>
      </c>
      <c r="I87" s="258">
        <v>21960</v>
      </c>
      <c r="J87" s="258">
        <v>17101.56</v>
      </c>
      <c r="K87" s="258"/>
      <c r="L87" s="257"/>
      <c r="M87" s="261"/>
      <c r="N87" s="258">
        <v>0</v>
      </c>
      <c r="O87" s="258">
        <v>0</v>
      </c>
      <c r="P87" s="258">
        <v>200</v>
      </c>
      <c r="Q87" s="258">
        <v>200</v>
      </c>
      <c r="R87" s="258">
        <v>4600</v>
      </c>
      <c r="S87" s="258">
        <v>4535</v>
      </c>
      <c r="T87" s="258">
        <v>2132</v>
      </c>
      <c r="U87" s="258">
        <v>367.5</v>
      </c>
      <c r="V87" s="258">
        <f t="shared" si="7"/>
        <v>42792</v>
      </c>
      <c r="W87" s="258">
        <f t="shared" si="7"/>
        <v>35640.878</v>
      </c>
      <c r="X87" s="259">
        <v>14460</v>
      </c>
      <c r="Y87" s="259">
        <v>9797.89</v>
      </c>
      <c r="Z87" s="259"/>
      <c r="AA87" s="259"/>
      <c r="AB87" s="260"/>
      <c r="AC87" s="260"/>
      <c r="AD87" s="259">
        <v>0</v>
      </c>
      <c r="AE87" s="259">
        <v>0</v>
      </c>
      <c r="AF87" s="259">
        <v>0</v>
      </c>
      <c r="AG87" s="259">
        <v>0</v>
      </c>
      <c r="AH87" s="259">
        <v>0</v>
      </c>
      <c r="AI87" s="259">
        <v>-105</v>
      </c>
      <c r="AJ87" s="257"/>
      <c r="AK87" s="260"/>
      <c r="AL87" s="260">
        <v>109.8</v>
      </c>
      <c r="AM87" s="260"/>
      <c r="AN87" s="259">
        <v>409.8</v>
      </c>
      <c r="AO87" s="259">
        <v>0</v>
      </c>
      <c r="AP87" s="257">
        <f t="shared" si="6"/>
        <v>14979.599999999999</v>
      </c>
      <c r="AQ87" s="257">
        <f t="shared" si="6"/>
        <v>9692.89</v>
      </c>
    </row>
    <row r="88" spans="1:43" ht="18" customHeight="1">
      <c r="A88" s="256">
        <v>78</v>
      </c>
      <c r="B88" s="106" t="s">
        <v>320</v>
      </c>
      <c r="C88" s="257">
        <f t="shared" si="5"/>
        <v>12072.7</v>
      </c>
      <c r="D88" s="257">
        <f t="shared" si="5"/>
        <v>11381.603000000001</v>
      </c>
      <c r="E88" s="258">
        <v>5080</v>
      </c>
      <c r="F88" s="258">
        <v>5050</v>
      </c>
      <c r="G88" s="258">
        <v>1050</v>
      </c>
      <c r="H88" s="258">
        <v>1033.5</v>
      </c>
      <c r="I88" s="258">
        <v>4601.1</v>
      </c>
      <c r="J88" s="258">
        <v>4545.381</v>
      </c>
      <c r="K88" s="258"/>
      <c r="L88" s="257"/>
      <c r="M88" s="261"/>
      <c r="N88" s="258">
        <v>0</v>
      </c>
      <c r="O88" s="258">
        <v>0</v>
      </c>
      <c r="P88" s="258">
        <v>777</v>
      </c>
      <c r="Q88" s="258">
        <v>219</v>
      </c>
      <c r="R88" s="258">
        <v>350</v>
      </c>
      <c r="S88" s="258">
        <v>350</v>
      </c>
      <c r="T88" s="258">
        <v>100</v>
      </c>
      <c r="U88" s="258">
        <v>100</v>
      </c>
      <c r="V88" s="258">
        <f t="shared" si="7"/>
        <v>11958.1</v>
      </c>
      <c r="W88" s="258">
        <f t="shared" si="7"/>
        <v>11297.881000000001</v>
      </c>
      <c r="X88" s="259">
        <v>3114.6</v>
      </c>
      <c r="Y88" s="259">
        <v>1672</v>
      </c>
      <c r="Z88" s="259"/>
      <c r="AA88" s="259"/>
      <c r="AB88" s="260"/>
      <c r="AC88" s="260"/>
      <c r="AD88" s="259">
        <v>0</v>
      </c>
      <c r="AE88" s="259">
        <v>0</v>
      </c>
      <c r="AF88" s="259">
        <v>0</v>
      </c>
      <c r="AG88" s="259">
        <v>0</v>
      </c>
      <c r="AH88" s="259">
        <v>-3000</v>
      </c>
      <c r="AI88" s="259">
        <v>-1588.278</v>
      </c>
      <c r="AJ88" s="257"/>
      <c r="AK88" s="260"/>
      <c r="AL88" s="260">
        <v>0</v>
      </c>
      <c r="AM88" s="260"/>
      <c r="AN88" s="259">
        <v>0</v>
      </c>
      <c r="AO88" s="259">
        <v>0</v>
      </c>
      <c r="AP88" s="257">
        <f t="shared" si="6"/>
        <v>114.59999999999991</v>
      </c>
      <c r="AQ88" s="257">
        <f t="shared" si="6"/>
        <v>83.72199999999998</v>
      </c>
    </row>
    <row r="89" spans="1:43" ht="18" customHeight="1">
      <c r="A89" s="256">
        <v>79</v>
      </c>
      <c r="B89" s="106" t="s">
        <v>321</v>
      </c>
      <c r="C89" s="257">
        <f t="shared" si="5"/>
        <v>18971.9</v>
      </c>
      <c r="D89" s="257">
        <f t="shared" si="5"/>
        <v>15145.677</v>
      </c>
      <c r="E89" s="258">
        <v>7407.2</v>
      </c>
      <c r="F89" s="258">
        <v>7069.12</v>
      </c>
      <c r="G89" s="258">
        <v>1740</v>
      </c>
      <c r="H89" s="258">
        <v>1586.951</v>
      </c>
      <c r="I89" s="258">
        <v>1605</v>
      </c>
      <c r="J89" s="258">
        <v>1489</v>
      </c>
      <c r="K89" s="258"/>
      <c r="L89" s="257"/>
      <c r="M89" s="261"/>
      <c r="N89" s="258">
        <v>0</v>
      </c>
      <c r="O89" s="258">
        <v>0</v>
      </c>
      <c r="P89" s="258">
        <v>5130</v>
      </c>
      <c r="Q89" s="258">
        <v>5130</v>
      </c>
      <c r="R89" s="258">
        <v>1550</v>
      </c>
      <c r="S89" s="258">
        <v>1550</v>
      </c>
      <c r="T89" s="258">
        <v>120</v>
      </c>
      <c r="U89" s="258">
        <v>83</v>
      </c>
      <c r="V89" s="258">
        <f t="shared" si="7"/>
        <v>17552.2</v>
      </c>
      <c r="W89" s="258">
        <f t="shared" si="7"/>
        <v>16908.071</v>
      </c>
      <c r="X89" s="259">
        <v>4049.7</v>
      </c>
      <c r="Y89" s="259">
        <v>3265</v>
      </c>
      <c r="Z89" s="259"/>
      <c r="AA89" s="259"/>
      <c r="AB89" s="260"/>
      <c r="AC89" s="260"/>
      <c r="AD89" s="259">
        <v>0</v>
      </c>
      <c r="AE89" s="259">
        <v>0</v>
      </c>
      <c r="AF89" s="259">
        <v>0</v>
      </c>
      <c r="AG89" s="259">
        <v>0</v>
      </c>
      <c r="AH89" s="259">
        <v>-2630</v>
      </c>
      <c r="AI89" s="259">
        <v>-5027.394</v>
      </c>
      <c r="AJ89" s="257"/>
      <c r="AK89" s="260"/>
      <c r="AL89" s="260">
        <v>0</v>
      </c>
      <c r="AM89" s="260"/>
      <c r="AN89" s="259">
        <v>0</v>
      </c>
      <c r="AO89" s="259">
        <v>0</v>
      </c>
      <c r="AP89" s="257">
        <f t="shared" si="6"/>
        <v>1419.6999999999998</v>
      </c>
      <c r="AQ89" s="257">
        <f t="shared" si="6"/>
        <v>-1762.3940000000002</v>
      </c>
    </row>
    <row r="90" spans="1:43" ht="18" customHeight="1">
      <c r="A90" s="256">
        <v>80</v>
      </c>
      <c r="B90" s="109" t="s">
        <v>322</v>
      </c>
      <c r="C90" s="257">
        <f t="shared" si="5"/>
        <v>64791.399999999994</v>
      </c>
      <c r="D90" s="257">
        <f t="shared" si="5"/>
        <v>23800.683</v>
      </c>
      <c r="E90" s="258">
        <v>8973</v>
      </c>
      <c r="F90" s="258">
        <v>8776.017</v>
      </c>
      <c r="G90" s="258">
        <v>2000</v>
      </c>
      <c r="H90" s="258">
        <v>1858.1</v>
      </c>
      <c r="I90" s="258">
        <v>10105</v>
      </c>
      <c r="J90" s="258">
        <v>4273.256</v>
      </c>
      <c r="K90" s="258"/>
      <c r="L90" s="257"/>
      <c r="M90" s="261"/>
      <c r="N90" s="258">
        <v>0</v>
      </c>
      <c r="O90" s="258">
        <v>0</v>
      </c>
      <c r="P90" s="258">
        <v>200</v>
      </c>
      <c r="Q90" s="258">
        <v>200</v>
      </c>
      <c r="R90" s="258">
        <v>1750</v>
      </c>
      <c r="S90" s="258">
        <v>1314</v>
      </c>
      <c r="T90" s="258">
        <v>2924.1</v>
      </c>
      <c r="U90" s="258">
        <v>252.5</v>
      </c>
      <c r="V90" s="258">
        <f t="shared" si="7"/>
        <v>25952.1</v>
      </c>
      <c r="W90" s="258">
        <f t="shared" si="7"/>
        <v>16673.873</v>
      </c>
      <c r="X90" s="259">
        <v>37339.3</v>
      </c>
      <c r="Y90" s="259">
        <v>7142.5</v>
      </c>
      <c r="Z90" s="259"/>
      <c r="AA90" s="259"/>
      <c r="AB90" s="260"/>
      <c r="AC90" s="260"/>
      <c r="AD90" s="259">
        <v>0</v>
      </c>
      <c r="AE90" s="259">
        <v>0</v>
      </c>
      <c r="AF90" s="259">
        <v>0</v>
      </c>
      <c r="AG90" s="259">
        <v>0</v>
      </c>
      <c r="AH90" s="259">
        <v>0</v>
      </c>
      <c r="AI90" s="259">
        <v>-15.69</v>
      </c>
      <c r="AJ90" s="257"/>
      <c r="AK90" s="260"/>
      <c r="AL90" s="260">
        <v>1500</v>
      </c>
      <c r="AM90" s="260"/>
      <c r="AN90" s="259">
        <v>1575</v>
      </c>
      <c r="AO90" s="259">
        <v>0</v>
      </c>
      <c r="AP90" s="257">
        <f t="shared" si="6"/>
        <v>40414.3</v>
      </c>
      <c r="AQ90" s="257">
        <f t="shared" si="6"/>
        <v>7126.81</v>
      </c>
    </row>
    <row r="91" spans="1:43" ht="18" customHeight="1">
      <c r="A91" s="256">
        <v>81</v>
      </c>
      <c r="B91" s="106" t="s">
        <v>323</v>
      </c>
      <c r="C91" s="257">
        <f t="shared" si="5"/>
        <v>44465.2</v>
      </c>
      <c r="D91" s="257">
        <f t="shared" si="5"/>
        <v>10561.886</v>
      </c>
      <c r="E91" s="258">
        <v>9592.7</v>
      </c>
      <c r="F91" s="258">
        <v>7699.209</v>
      </c>
      <c r="G91" s="258">
        <v>1561.7</v>
      </c>
      <c r="H91" s="258">
        <v>1497.679</v>
      </c>
      <c r="I91" s="258">
        <v>6173.3</v>
      </c>
      <c r="J91" s="258">
        <v>3492.858</v>
      </c>
      <c r="K91" s="258"/>
      <c r="L91" s="257"/>
      <c r="M91" s="261"/>
      <c r="N91" s="258">
        <v>0</v>
      </c>
      <c r="O91" s="258">
        <v>0</v>
      </c>
      <c r="P91" s="258">
        <v>0</v>
      </c>
      <c r="Q91" s="258">
        <v>0</v>
      </c>
      <c r="R91" s="258">
        <v>2300</v>
      </c>
      <c r="S91" s="258">
        <v>2300</v>
      </c>
      <c r="T91" s="258">
        <v>1065</v>
      </c>
      <c r="U91" s="258">
        <v>841.2</v>
      </c>
      <c r="V91" s="258">
        <f t="shared" si="7"/>
        <v>20692.7</v>
      </c>
      <c r="W91" s="258">
        <f t="shared" si="7"/>
        <v>15830.946</v>
      </c>
      <c r="X91" s="259">
        <v>30642.5</v>
      </c>
      <c r="Y91" s="259">
        <v>6800</v>
      </c>
      <c r="Z91" s="259"/>
      <c r="AA91" s="259"/>
      <c r="AB91" s="260"/>
      <c r="AC91" s="260"/>
      <c r="AD91" s="259">
        <v>0</v>
      </c>
      <c r="AE91" s="259">
        <v>0</v>
      </c>
      <c r="AF91" s="259">
        <v>-6870</v>
      </c>
      <c r="AG91" s="259">
        <v>0</v>
      </c>
      <c r="AH91" s="259">
        <v>0</v>
      </c>
      <c r="AI91" s="259">
        <v>-12069.06</v>
      </c>
      <c r="AJ91" s="257"/>
      <c r="AK91" s="260"/>
      <c r="AL91" s="260">
        <v>0</v>
      </c>
      <c r="AM91" s="260"/>
      <c r="AN91" s="259">
        <v>0</v>
      </c>
      <c r="AO91" s="259">
        <v>0</v>
      </c>
      <c r="AP91" s="257">
        <f t="shared" si="6"/>
        <v>23772.5</v>
      </c>
      <c r="AQ91" s="257">
        <f t="shared" si="6"/>
        <v>-5269.0599999999995</v>
      </c>
    </row>
    <row r="92" spans="1:43" ht="18" customHeight="1">
      <c r="A92" s="256">
        <v>82</v>
      </c>
      <c r="B92" s="106" t="s">
        <v>324</v>
      </c>
      <c r="C92" s="257">
        <f t="shared" si="5"/>
        <v>75076.6</v>
      </c>
      <c r="D92" s="257">
        <f t="shared" si="5"/>
        <v>55197.498</v>
      </c>
      <c r="E92" s="258">
        <v>13208</v>
      </c>
      <c r="F92" s="258">
        <v>13046.146</v>
      </c>
      <c r="G92" s="258">
        <v>2651</v>
      </c>
      <c r="H92" s="258">
        <v>2471.515</v>
      </c>
      <c r="I92" s="258">
        <v>5956</v>
      </c>
      <c r="J92" s="258">
        <v>4055.902</v>
      </c>
      <c r="K92" s="258"/>
      <c r="L92" s="257"/>
      <c r="M92" s="261"/>
      <c r="N92" s="258">
        <v>0</v>
      </c>
      <c r="O92" s="258">
        <v>0</v>
      </c>
      <c r="P92" s="258">
        <v>0</v>
      </c>
      <c r="Q92" s="258">
        <v>0</v>
      </c>
      <c r="R92" s="258">
        <v>3275</v>
      </c>
      <c r="S92" s="258">
        <v>3235</v>
      </c>
      <c r="T92" s="258">
        <v>260</v>
      </c>
      <c r="U92" s="258">
        <v>159</v>
      </c>
      <c r="V92" s="258">
        <f t="shared" si="7"/>
        <v>25350</v>
      </c>
      <c r="W92" s="258">
        <f t="shared" si="7"/>
        <v>22967.563000000002</v>
      </c>
      <c r="X92" s="259">
        <v>61268.1</v>
      </c>
      <c r="Y92" s="259">
        <v>46779.685</v>
      </c>
      <c r="Z92" s="259"/>
      <c r="AA92" s="259"/>
      <c r="AB92" s="260"/>
      <c r="AC92" s="260"/>
      <c r="AD92" s="259">
        <v>0</v>
      </c>
      <c r="AE92" s="259">
        <v>0</v>
      </c>
      <c r="AF92" s="259">
        <v>0</v>
      </c>
      <c r="AG92" s="259">
        <v>0</v>
      </c>
      <c r="AH92" s="259">
        <v>-11541.5</v>
      </c>
      <c r="AI92" s="259">
        <v>-14549.75</v>
      </c>
      <c r="AJ92" s="257"/>
      <c r="AK92" s="260"/>
      <c r="AL92" s="260">
        <v>0</v>
      </c>
      <c r="AM92" s="260"/>
      <c r="AN92" s="259">
        <v>6300</v>
      </c>
      <c r="AO92" s="259">
        <v>0</v>
      </c>
      <c r="AP92" s="257">
        <f t="shared" si="6"/>
        <v>56026.6</v>
      </c>
      <c r="AQ92" s="257">
        <f t="shared" si="6"/>
        <v>32229.934999999998</v>
      </c>
    </row>
    <row r="93" spans="1:43" ht="18" customHeight="1">
      <c r="A93" s="256">
        <v>83</v>
      </c>
      <c r="B93" s="108" t="s">
        <v>325</v>
      </c>
      <c r="C93" s="257">
        <f t="shared" si="5"/>
        <v>32530.199999999997</v>
      </c>
      <c r="D93" s="257">
        <f t="shared" si="5"/>
        <v>19453.475</v>
      </c>
      <c r="E93" s="258">
        <v>12464.6</v>
      </c>
      <c r="F93" s="258">
        <v>8412.889</v>
      </c>
      <c r="G93" s="258">
        <v>1792</v>
      </c>
      <c r="H93" s="258">
        <v>1700.066</v>
      </c>
      <c r="I93" s="258">
        <v>3322</v>
      </c>
      <c r="J93" s="258">
        <v>2023.72</v>
      </c>
      <c r="K93" s="258"/>
      <c r="L93" s="257"/>
      <c r="M93" s="261"/>
      <c r="N93" s="258">
        <v>6000</v>
      </c>
      <c r="O93" s="258">
        <v>6000</v>
      </c>
      <c r="P93" s="258">
        <v>0</v>
      </c>
      <c r="Q93" s="258">
        <v>0</v>
      </c>
      <c r="R93" s="258">
        <v>1400</v>
      </c>
      <c r="S93" s="258">
        <v>1175</v>
      </c>
      <c r="T93" s="258">
        <v>170</v>
      </c>
      <c r="U93" s="258">
        <v>141.8</v>
      </c>
      <c r="V93" s="258">
        <f t="shared" si="7"/>
        <v>25148.6</v>
      </c>
      <c r="W93" s="258">
        <f t="shared" si="7"/>
        <v>19453.475</v>
      </c>
      <c r="X93" s="259">
        <v>7381.6</v>
      </c>
      <c r="Y93" s="259">
        <v>0</v>
      </c>
      <c r="Z93" s="259"/>
      <c r="AA93" s="259"/>
      <c r="AB93" s="260"/>
      <c r="AC93" s="260"/>
      <c r="AD93" s="259">
        <v>0</v>
      </c>
      <c r="AE93" s="259">
        <v>0</v>
      </c>
      <c r="AF93" s="259">
        <v>0</v>
      </c>
      <c r="AG93" s="259">
        <v>0</v>
      </c>
      <c r="AH93" s="259">
        <v>0</v>
      </c>
      <c r="AI93" s="259">
        <v>0</v>
      </c>
      <c r="AJ93" s="257"/>
      <c r="AK93" s="260"/>
      <c r="AL93" s="260">
        <v>0</v>
      </c>
      <c r="AM93" s="260"/>
      <c r="AN93" s="259">
        <v>0</v>
      </c>
      <c r="AO93" s="259">
        <v>0</v>
      </c>
      <c r="AP93" s="257">
        <f t="shared" si="6"/>
        <v>7381.6</v>
      </c>
      <c r="AQ93" s="257">
        <f t="shared" si="6"/>
        <v>0</v>
      </c>
    </row>
    <row r="94" spans="1:43" ht="18" customHeight="1">
      <c r="A94" s="256">
        <v>84</v>
      </c>
      <c r="B94" s="108" t="s">
        <v>326</v>
      </c>
      <c r="C94" s="257">
        <f t="shared" si="5"/>
        <v>37155.299999999996</v>
      </c>
      <c r="D94" s="257">
        <f t="shared" si="5"/>
        <v>36770.328</v>
      </c>
      <c r="E94" s="258">
        <v>7850</v>
      </c>
      <c r="F94" s="258">
        <v>7849.909</v>
      </c>
      <c r="G94" s="258">
        <v>1762.4</v>
      </c>
      <c r="H94" s="258">
        <v>1760.68</v>
      </c>
      <c r="I94" s="258">
        <v>13780.8</v>
      </c>
      <c r="J94" s="258">
        <v>13640.039</v>
      </c>
      <c r="K94" s="258"/>
      <c r="L94" s="257"/>
      <c r="M94" s="261"/>
      <c r="N94" s="258">
        <v>0</v>
      </c>
      <c r="O94" s="258">
        <v>0</v>
      </c>
      <c r="P94" s="258">
        <v>2851.7</v>
      </c>
      <c r="Q94" s="258">
        <v>2851.7</v>
      </c>
      <c r="R94" s="258">
        <v>5215.8</v>
      </c>
      <c r="S94" s="258">
        <v>5115</v>
      </c>
      <c r="T94" s="258">
        <v>350.8</v>
      </c>
      <c r="U94" s="258">
        <v>210</v>
      </c>
      <c r="V94" s="258">
        <f t="shared" si="7"/>
        <v>31811.499999999996</v>
      </c>
      <c r="W94" s="258">
        <f t="shared" si="7"/>
        <v>31427.328</v>
      </c>
      <c r="X94" s="259">
        <v>5343.8</v>
      </c>
      <c r="Y94" s="259">
        <v>5343</v>
      </c>
      <c r="Z94" s="259"/>
      <c r="AA94" s="259"/>
      <c r="AB94" s="260"/>
      <c r="AC94" s="260"/>
      <c r="AD94" s="259">
        <v>0</v>
      </c>
      <c r="AE94" s="259">
        <v>0</v>
      </c>
      <c r="AF94" s="259">
        <v>0</v>
      </c>
      <c r="AG94" s="259">
        <v>0</v>
      </c>
      <c r="AH94" s="259">
        <v>0</v>
      </c>
      <c r="AI94" s="259">
        <v>0</v>
      </c>
      <c r="AJ94" s="257"/>
      <c r="AK94" s="260"/>
      <c r="AL94" s="260">
        <v>0</v>
      </c>
      <c r="AM94" s="260"/>
      <c r="AN94" s="259">
        <v>220</v>
      </c>
      <c r="AO94" s="259">
        <v>220</v>
      </c>
      <c r="AP94" s="257">
        <f t="shared" si="6"/>
        <v>5563.8</v>
      </c>
      <c r="AQ94" s="257">
        <f t="shared" si="6"/>
        <v>5563</v>
      </c>
    </row>
    <row r="95" spans="1:43" ht="18" customHeight="1">
      <c r="A95" s="256">
        <v>85</v>
      </c>
      <c r="B95" s="108" t="s">
        <v>327</v>
      </c>
      <c r="C95" s="257">
        <f t="shared" si="5"/>
        <v>14373.3</v>
      </c>
      <c r="D95" s="257">
        <f t="shared" si="5"/>
        <v>9083.95</v>
      </c>
      <c r="E95" s="258">
        <v>5840</v>
      </c>
      <c r="F95" s="258">
        <v>4749.3</v>
      </c>
      <c r="G95" s="258">
        <v>1260</v>
      </c>
      <c r="H95" s="258">
        <v>782.15</v>
      </c>
      <c r="I95" s="258">
        <v>1950</v>
      </c>
      <c r="J95" s="258">
        <v>1081.5</v>
      </c>
      <c r="K95" s="258"/>
      <c r="L95" s="257"/>
      <c r="M95" s="261"/>
      <c r="N95" s="258">
        <v>0</v>
      </c>
      <c r="O95" s="258">
        <v>0</v>
      </c>
      <c r="P95" s="258">
        <v>800</v>
      </c>
      <c r="Q95" s="258">
        <v>800</v>
      </c>
      <c r="R95" s="258">
        <v>1200</v>
      </c>
      <c r="S95" s="258">
        <v>908</v>
      </c>
      <c r="T95" s="258">
        <v>350</v>
      </c>
      <c r="U95" s="258">
        <v>263</v>
      </c>
      <c r="V95" s="258">
        <f t="shared" si="7"/>
        <v>11400</v>
      </c>
      <c r="W95" s="258">
        <f t="shared" si="7"/>
        <v>8583.95</v>
      </c>
      <c r="X95" s="259">
        <v>2973.3</v>
      </c>
      <c r="Y95" s="259">
        <v>500</v>
      </c>
      <c r="Z95" s="259"/>
      <c r="AA95" s="259"/>
      <c r="AB95" s="260"/>
      <c r="AC95" s="260"/>
      <c r="AD95" s="259">
        <v>0</v>
      </c>
      <c r="AE95" s="259">
        <v>0</v>
      </c>
      <c r="AF95" s="259">
        <v>0</v>
      </c>
      <c r="AG95" s="259">
        <v>0</v>
      </c>
      <c r="AH95" s="259">
        <v>0</v>
      </c>
      <c r="AI95" s="259">
        <v>0</v>
      </c>
      <c r="AJ95" s="257"/>
      <c r="AK95" s="260"/>
      <c r="AL95" s="260">
        <v>0</v>
      </c>
      <c r="AM95" s="260"/>
      <c r="AN95" s="259">
        <v>0</v>
      </c>
      <c r="AO95" s="259">
        <v>0</v>
      </c>
      <c r="AP95" s="257">
        <f t="shared" si="6"/>
        <v>2973.3</v>
      </c>
      <c r="AQ95" s="257">
        <f t="shared" si="6"/>
        <v>500</v>
      </c>
    </row>
    <row r="96" spans="1:43" ht="18" customHeight="1">
      <c r="A96" s="256">
        <v>86</v>
      </c>
      <c r="B96" s="108" t="s">
        <v>328</v>
      </c>
      <c r="C96" s="257">
        <f t="shared" si="5"/>
        <v>70435.1</v>
      </c>
      <c r="D96" s="257">
        <f t="shared" si="5"/>
        <v>35571.156</v>
      </c>
      <c r="E96" s="258">
        <v>16890</v>
      </c>
      <c r="F96" s="258">
        <v>16747.04</v>
      </c>
      <c r="G96" s="258">
        <v>3750</v>
      </c>
      <c r="H96" s="258">
        <v>3745.065</v>
      </c>
      <c r="I96" s="258">
        <v>10075</v>
      </c>
      <c r="J96" s="258">
        <v>8523.25</v>
      </c>
      <c r="K96" s="258"/>
      <c r="L96" s="257"/>
      <c r="M96" s="261"/>
      <c r="N96" s="258">
        <v>0</v>
      </c>
      <c r="O96" s="258">
        <v>0</v>
      </c>
      <c r="P96" s="258">
        <v>690</v>
      </c>
      <c r="Q96" s="258">
        <v>689.9</v>
      </c>
      <c r="R96" s="258">
        <v>3500</v>
      </c>
      <c r="S96" s="258">
        <v>3065</v>
      </c>
      <c r="T96" s="258">
        <v>5401.7</v>
      </c>
      <c r="U96" s="258">
        <v>245</v>
      </c>
      <c r="V96" s="258">
        <f t="shared" si="7"/>
        <v>40306.7</v>
      </c>
      <c r="W96" s="258">
        <f t="shared" si="7"/>
        <v>33015.255000000005</v>
      </c>
      <c r="X96" s="259">
        <v>30128.4</v>
      </c>
      <c r="Y96" s="259">
        <v>3009</v>
      </c>
      <c r="Z96" s="259"/>
      <c r="AA96" s="259"/>
      <c r="AB96" s="260"/>
      <c r="AC96" s="260"/>
      <c r="AD96" s="259">
        <v>0</v>
      </c>
      <c r="AE96" s="259">
        <v>0</v>
      </c>
      <c r="AF96" s="259">
        <v>0</v>
      </c>
      <c r="AG96" s="259">
        <v>0</v>
      </c>
      <c r="AH96" s="259">
        <v>0</v>
      </c>
      <c r="AI96" s="259">
        <v>-453.099</v>
      </c>
      <c r="AJ96" s="257"/>
      <c r="AK96" s="260"/>
      <c r="AL96" s="260">
        <v>0</v>
      </c>
      <c r="AM96" s="260"/>
      <c r="AN96" s="259">
        <v>275</v>
      </c>
      <c r="AO96" s="259">
        <v>0</v>
      </c>
      <c r="AP96" s="257">
        <f t="shared" si="6"/>
        <v>30403.4</v>
      </c>
      <c r="AQ96" s="257">
        <f t="shared" si="6"/>
        <v>2555.901</v>
      </c>
    </row>
    <row r="97" spans="1:43" ht="18" customHeight="1">
      <c r="A97" s="256">
        <v>87</v>
      </c>
      <c r="B97" s="108" t="s">
        <v>329</v>
      </c>
      <c r="C97" s="257">
        <f t="shared" si="5"/>
        <v>36724</v>
      </c>
      <c r="D97" s="257">
        <f t="shared" si="5"/>
        <v>33093.708</v>
      </c>
      <c r="E97" s="258">
        <v>9647.3</v>
      </c>
      <c r="F97" s="258">
        <v>9081.444</v>
      </c>
      <c r="G97" s="258">
        <v>2103</v>
      </c>
      <c r="H97" s="258">
        <v>1908.043</v>
      </c>
      <c r="I97" s="258">
        <v>5925</v>
      </c>
      <c r="J97" s="258">
        <v>5035.725</v>
      </c>
      <c r="K97" s="258"/>
      <c r="L97" s="257"/>
      <c r="M97" s="261"/>
      <c r="N97" s="258">
        <v>0</v>
      </c>
      <c r="O97" s="258">
        <v>0</v>
      </c>
      <c r="P97" s="258">
        <v>12383.8</v>
      </c>
      <c r="Q97" s="258">
        <v>12350.89</v>
      </c>
      <c r="R97" s="258">
        <v>2477.7</v>
      </c>
      <c r="S97" s="258">
        <v>2249.63</v>
      </c>
      <c r="T97" s="258">
        <v>430</v>
      </c>
      <c r="U97" s="258">
        <v>349.113</v>
      </c>
      <c r="V97" s="258">
        <f t="shared" si="7"/>
        <v>32966.8</v>
      </c>
      <c r="W97" s="258">
        <f t="shared" si="7"/>
        <v>30974.845</v>
      </c>
      <c r="X97" s="259">
        <v>3757.2</v>
      </c>
      <c r="Y97" s="259">
        <v>2309.7</v>
      </c>
      <c r="Z97" s="259"/>
      <c r="AA97" s="259"/>
      <c r="AB97" s="260"/>
      <c r="AC97" s="260"/>
      <c r="AD97" s="259">
        <v>0</v>
      </c>
      <c r="AE97" s="259">
        <v>0</v>
      </c>
      <c r="AF97" s="259">
        <v>0</v>
      </c>
      <c r="AG97" s="259">
        <v>0</v>
      </c>
      <c r="AH97" s="259">
        <v>0</v>
      </c>
      <c r="AI97" s="259">
        <v>-190.837</v>
      </c>
      <c r="AJ97" s="257"/>
      <c r="AK97" s="260"/>
      <c r="AL97" s="260">
        <v>0</v>
      </c>
      <c r="AM97" s="260"/>
      <c r="AN97" s="259">
        <v>500</v>
      </c>
      <c r="AO97" s="259">
        <v>0</v>
      </c>
      <c r="AP97" s="257">
        <f t="shared" si="6"/>
        <v>4257.2</v>
      </c>
      <c r="AQ97" s="257">
        <f t="shared" si="6"/>
        <v>2118.863</v>
      </c>
    </row>
    <row r="98" spans="1:43" ht="18" customHeight="1">
      <c r="A98" s="256">
        <v>88</v>
      </c>
      <c r="B98" s="108" t="s">
        <v>330</v>
      </c>
      <c r="C98" s="257">
        <f t="shared" si="5"/>
        <v>5120.5</v>
      </c>
      <c r="D98" s="257">
        <f t="shared" si="5"/>
        <v>4867</v>
      </c>
      <c r="E98" s="258">
        <v>2136</v>
      </c>
      <c r="F98" s="258">
        <v>2136</v>
      </c>
      <c r="G98" s="258">
        <v>569.4</v>
      </c>
      <c r="H98" s="258">
        <v>567.3</v>
      </c>
      <c r="I98" s="258">
        <v>2160.7</v>
      </c>
      <c r="J98" s="258">
        <v>2160.7</v>
      </c>
      <c r="K98" s="258"/>
      <c r="L98" s="257"/>
      <c r="M98" s="261"/>
      <c r="N98" s="258">
        <v>0</v>
      </c>
      <c r="O98" s="258">
        <v>0</v>
      </c>
      <c r="P98" s="258">
        <v>0</v>
      </c>
      <c r="Q98" s="258">
        <v>0</v>
      </c>
      <c r="R98" s="258">
        <v>0</v>
      </c>
      <c r="S98" s="258">
        <v>0</v>
      </c>
      <c r="T98" s="258">
        <v>254.4</v>
      </c>
      <c r="U98" s="258">
        <v>3</v>
      </c>
      <c r="V98" s="258">
        <f t="shared" si="7"/>
        <v>5120.5</v>
      </c>
      <c r="W98" s="258">
        <f t="shared" si="7"/>
        <v>4867</v>
      </c>
      <c r="X98" s="259">
        <v>0</v>
      </c>
      <c r="Y98" s="259">
        <v>0</v>
      </c>
      <c r="Z98" s="259"/>
      <c r="AA98" s="259"/>
      <c r="AB98" s="260"/>
      <c r="AC98" s="260"/>
      <c r="AD98" s="259">
        <v>0</v>
      </c>
      <c r="AE98" s="259">
        <v>0</v>
      </c>
      <c r="AF98" s="259">
        <v>0</v>
      </c>
      <c r="AG98" s="259">
        <v>0</v>
      </c>
      <c r="AH98" s="259">
        <v>0</v>
      </c>
      <c r="AI98" s="259">
        <v>0</v>
      </c>
      <c r="AJ98" s="257"/>
      <c r="AK98" s="260"/>
      <c r="AL98" s="260">
        <v>0</v>
      </c>
      <c r="AM98" s="260"/>
      <c r="AN98" s="259">
        <v>0</v>
      </c>
      <c r="AO98" s="259">
        <v>0</v>
      </c>
      <c r="AP98" s="257">
        <f t="shared" si="6"/>
        <v>0</v>
      </c>
      <c r="AQ98" s="257">
        <f t="shared" si="6"/>
        <v>0</v>
      </c>
    </row>
    <row r="99" spans="1:43" ht="18" customHeight="1">
      <c r="A99" s="256">
        <v>89</v>
      </c>
      <c r="B99" s="108" t="s">
        <v>331</v>
      </c>
      <c r="C99" s="257">
        <f t="shared" si="5"/>
        <v>8540.9</v>
      </c>
      <c r="D99" s="257">
        <f t="shared" si="5"/>
        <v>7933.41</v>
      </c>
      <c r="E99" s="258">
        <v>3670</v>
      </c>
      <c r="F99" s="258">
        <v>3670</v>
      </c>
      <c r="G99" s="258">
        <v>795</v>
      </c>
      <c r="H99" s="258">
        <v>790.51</v>
      </c>
      <c r="I99" s="258">
        <v>2955</v>
      </c>
      <c r="J99" s="258">
        <v>2595</v>
      </c>
      <c r="K99" s="258"/>
      <c r="L99" s="257"/>
      <c r="M99" s="261"/>
      <c r="N99" s="258">
        <v>0</v>
      </c>
      <c r="O99" s="258">
        <v>0</v>
      </c>
      <c r="P99" s="258">
        <v>0</v>
      </c>
      <c r="Q99" s="258">
        <v>0</v>
      </c>
      <c r="R99" s="258">
        <v>400</v>
      </c>
      <c r="S99" s="258">
        <v>400</v>
      </c>
      <c r="T99" s="258">
        <v>119.2</v>
      </c>
      <c r="U99" s="258">
        <v>0</v>
      </c>
      <c r="V99" s="258">
        <f t="shared" si="7"/>
        <v>7939.2</v>
      </c>
      <c r="W99" s="258">
        <f t="shared" si="7"/>
        <v>7455.51</v>
      </c>
      <c r="X99" s="259">
        <v>1663.7</v>
      </c>
      <c r="Y99" s="259">
        <v>1539.9</v>
      </c>
      <c r="Z99" s="259"/>
      <c r="AA99" s="259"/>
      <c r="AB99" s="260"/>
      <c r="AC99" s="260"/>
      <c r="AD99" s="259">
        <v>0</v>
      </c>
      <c r="AE99" s="259">
        <v>0</v>
      </c>
      <c r="AF99" s="259">
        <v>-1062</v>
      </c>
      <c r="AG99" s="259">
        <v>-1062</v>
      </c>
      <c r="AH99" s="259">
        <v>0</v>
      </c>
      <c r="AI99" s="259">
        <v>0</v>
      </c>
      <c r="AJ99" s="257"/>
      <c r="AK99" s="260"/>
      <c r="AL99" s="260">
        <v>0</v>
      </c>
      <c r="AM99" s="260"/>
      <c r="AN99" s="259">
        <v>96</v>
      </c>
      <c r="AO99" s="259">
        <v>0</v>
      </c>
      <c r="AP99" s="257">
        <f t="shared" si="6"/>
        <v>697.7</v>
      </c>
      <c r="AQ99" s="257">
        <f t="shared" si="6"/>
        <v>477.9000000000001</v>
      </c>
    </row>
    <row r="100" spans="1:43" ht="18" customHeight="1">
      <c r="A100" s="256">
        <v>90</v>
      </c>
      <c r="B100" s="108" t="s">
        <v>332</v>
      </c>
      <c r="C100" s="257">
        <f t="shared" si="5"/>
        <v>13787.3</v>
      </c>
      <c r="D100" s="257">
        <f t="shared" si="5"/>
        <v>12840.316</v>
      </c>
      <c r="E100" s="258">
        <v>4434</v>
      </c>
      <c r="F100" s="258">
        <v>4383.016</v>
      </c>
      <c r="G100" s="258">
        <v>1010</v>
      </c>
      <c r="H100" s="258">
        <v>986.6</v>
      </c>
      <c r="I100" s="258">
        <v>3175.5</v>
      </c>
      <c r="J100" s="258">
        <v>2780</v>
      </c>
      <c r="K100" s="258"/>
      <c r="L100" s="257"/>
      <c r="M100" s="261"/>
      <c r="N100" s="258">
        <v>0</v>
      </c>
      <c r="O100" s="258">
        <v>0</v>
      </c>
      <c r="P100" s="258">
        <v>150</v>
      </c>
      <c r="Q100" s="258">
        <v>0</v>
      </c>
      <c r="R100" s="258">
        <v>1823</v>
      </c>
      <c r="S100" s="258">
        <v>1563</v>
      </c>
      <c r="T100" s="258">
        <v>184.1</v>
      </c>
      <c r="U100" s="258">
        <v>117</v>
      </c>
      <c r="V100" s="258">
        <f t="shared" si="7"/>
        <v>10776.6</v>
      </c>
      <c r="W100" s="258">
        <f t="shared" si="7"/>
        <v>9829.616</v>
      </c>
      <c r="X100" s="259">
        <v>4066.7</v>
      </c>
      <c r="Y100" s="259">
        <v>4066.7</v>
      </c>
      <c r="Z100" s="259"/>
      <c r="AA100" s="259"/>
      <c r="AB100" s="260"/>
      <c r="AC100" s="260"/>
      <c r="AD100" s="259">
        <v>0</v>
      </c>
      <c r="AE100" s="259">
        <v>0</v>
      </c>
      <c r="AF100" s="259">
        <v>0</v>
      </c>
      <c r="AG100" s="259">
        <v>0</v>
      </c>
      <c r="AH100" s="259">
        <v>-1056</v>
      </c>
      <c r="AI100" s="259">
        <v>-1056</v>
      </c>
      <c r="AJ100" s="257"/>
      <c r="AK100" s="260"/>
      <c r="AL100" s="260">
        <v>0</v>
      </c>
      <c r="AM100" s="260"/>
      <c r="AN100" s="259">
        <v>94.6</v>
      </c>
      <c r="AO100" s="259">
        <v>94.541</v>
      </c>
      <c r="AP100" s="257">
        <f t="shared" si="6"/>
        <v>3105.2999999999997</v>
      </c>
      <c r="AQ100" s="257">
        <f t="shared" si="6"/>
        <v>3105.241</v>
      </c>
    </row>
    <row r="101" spans="1:43" ht="18" customHeight="1">
      <c r="A101" s="256">
        <v>91</v>
      </c>
      <c r="B101" s="108" t="s">
        <v>333</v>
      </c>
      <c r="C101" s="257">
        <f t="shared" si="5"/>
        <v>77486.79999999999</v>
      </c>
      <c r="D101" s="257">
        <f t="shared" si="5"/>
        <v>64357.102999999996</v>
      </c>
      <c r="E101" s="258">
        <v>14487</v>
      </c>
      <c r="F101" s="258">
        <v>14485.864</v>
      </c>
      <c r="G101" s="258">
        <v>3235</v>
      </c>
      <c r="H101" s="258">
        <v>3055.465</v>
      </c>
      <c r="I101" s="258">
        <v>34908.1</v>
      </c>
      <c r="J101" s="258">
        <v>28235.084</v>
      </c>
      <c r="K101" s="258"/>
      <c r="L101" s="257"/>
      <c r="M101" s="261"/>
      <c r="N101" s="258">
        <v>0</v>
      </c>
      <c r="O101" s="258">
        <v>0</v>
      </c>
      <c r="P101" s="258">
        <v>400</v>
      </c>
      <c r="Q101" s="258">
        <v>400</v>
      </c>
      <c r="R101" s="258">
        <v>6100</v>
      </c>
      <c r="S101" s="258">
        <v>6045</v>
      </c>
      <c r="T101" s="258">
        <v>4902.7</v>
      </c>
      <c r="U101" s="258">
        <v>542.5</v>
      </c>
      <c r="V101" s="258">
        <f t="shared" si="7"/>
        <v>64032.799999999996</v>
      </c>
      <c r="W101" s="258">
        <f t="shared" si="7"/>
        <v>52763.913</v>
      </c>
      <c r="X101" s="259">
        <v>13454</v>
      </c>
      <c r="Y101" s="259">
        <v>11593.19</v>
      </c>
      <c r="Z101" s="259"/>
      <c r="AA101" s="259"/>
      <c r="AB101" s="260"/>
      <c r="AC101" s="260"/>
      <c r="AD101" s="259">
        <v>0</v>
      </c>
      <c r="AE101" s="259">
        <v>0</v>
      </c>
      <c r="AF101" s="259">
        <v>0</v>
      </c>
      <c r="AG101" s="259">
        <v>0</v>
      </c>
      <c r="AH101" s="259">
        <v>0</v>
      </c>
      <c r="AI101" s="259">
        <v>0</v>
      </c>
      <c r="AJ101" s="257"/>
      <c r="AK101" s="260"/>
      <c r="AL101" s="260">
        <v>0</v>
      </c>
      <c r="AM101" s="260"/>
      <c r="AN101" s="259">
        <v>2550</v>
      </c>
      <c r="AO101" s="259">
        <v>689.1626</v>
      </c>
      <c r="AP101" s="257">
        <f t="shared" si="6"/>
        <v>16004</v>
      </c>
      <c r="AQ101" s="257">
        <f t="shared" si="6"/>
        <v>12282.3526</v>
      </c>
    </row>
    <row r="102" spans="1:43" ht="18" customHeight="1">
      <c r="A102" s="256">
        <v>92</v>
      </c>
      <c r="B102" s="108" t="s">
        <v>334</v>
      </c>
      <c r="C102" s="257">
        <f t="shared" si="5"/>
        <v>48529.8</v>
      </c>
      <c r="D102" s="257">
        <f t="shared" si="5"/>
        <v>26241.278</v>
      </c>
      <c r="E102" s="258">
        <v>8040</v>
      </c>
      <c r="F102" s="258">
        <v>7822.185</v>
      </c>
      <c r="G102" s="258">
        <v>1820</v>
      </c>
      <c r="H102" s="258">
        <v>1714.943</v>
      </c>
      <c r="I102" s="258">
        <v>9888.1</v>
      </c>
      <c r="J102" s="258">
        <v>3889.4</v>
      </c>
      <c r="K102" s="258"/>
      <c r="L102" s="257"/>
      <c r="M102" s="261"/>
      <c r="N102" s="258">
        <v>0</v>
      </c>
      <c r="O102" s="258">
        <v>0</v>
      </c>
      <c r="P102" s="258">
        <v>3200</v>
      </c>
      <c r="Q102" s="258">
        <v>2991.9</v>
      </c>
      <c r="R102" s="258">
        <v>3500</v>
      </c>
      <c r="S102" s="258">
        <v>3242</v>
      </c>
      <c r="T102" s="258">
        <v>1240</v>
      </c>
      <c r="U102" s="258">
        <v>274.55</v>
      </c>
      <c r="V102" s="258">
        <f t="shared" si="7"/>
        <v>27688.1</v>
      </c>
      <c r="W102" s="258">
        <f t="shared" si="7"/>
        <v>19934.978</v>
      </c>
      <c r="X102" s="259">
        <v>20841.7</v>
      </c>
      <c r="Y102" s="259">
        <v>6306.3</v>
      </c>
      <c r="Z102" s="259"/>
      <c r="AA102" s="259"/>
      <c r="AB102" s="260"/>
      <c r="AC102" s="260"/>
      <c r="AD102" s="259">
        <v>0</v>
      </c>
      <c r="AE102" s="259">
        <v>0</v>
      </c>
      <c r="AF102" s="259">
        <v>0</v>
      </c>
      <c r="AG102" s="259">
        <v>0</v>
      </c>
      <c r="AH102" s="259">
        <v>0</v>
      </c>
      <c r="AI102" s="259">
        <v>0</v>
      </c>
      <c r="AJ102" s="257"/>
      <c r="AK102" s="260"/>
      <c r="AL102" s="260">
        <v>0</v>
      </c>
      <c r="AM102" s="260"/>
      <c r="AN102" s="259">
        <v>3000</v>
      </c>
      <c r="AO102" s="259">
        <v>0</v>
      </c>
      <c r="AP102" s="257">
        <f t="shared" si="6"/>
        <v>23841.7</v>
      </c>
      <c r="AQ102" s="257">
        <f t="shared" si="6"/>
        <v>6306.3</v>
      </c>
    </row>
    <row r="103" spans="1:43" ht="18" customHeight="1">
      <c r="A103" s="256">
        <v>93</v>
      </c>
      <c r="B103" s="108" t="s">
        <v>335</v>
      </c>
      <c r="C103" s="257">
        <f t="shared" si="5"/>
        <v>60207.29999999999</v>
      </c>
      <c r="D103" s="257">
        <f t="shared" si="5"/>
        <v>42841.897000000004</v>
      </c>
      <c r="E103" s="258">
        <v>22332</v>
      </c>
      <c r="F103" s="258">
        <v>22012.827</v>
      </c>
      <c r="G103" s="258">
        <v>5289.6</v>
      </c>
      <c r="H103" s="258">
        <v>5257.184</v>
      </c>
      <c r="I103" s="258">
        <v>12225.3</v>
      </c>
      <c r="J103" s="258">
        <v>10942.6</v>
      </c>
      <c r="K103" s="258"/>
      <c r="L103" s="257"/>
      <c r="M103" s="261"/>
      <c r="N103" s="258">
        <v>0</v>
      </c>
      <c r="O103" s="258">
        <v>0</v>
      </c>
      <c r="P103" s="258">
        <v>0</v>
      </c>
      <c r="Q103" s="258">
        <v>0</v>
      </c>
      <c r="R103" s="258">
        <v>7550</v>
      </c>
      <c r="S103" s="258">
        <v>7404.61</v>
      </c>
      <c r="T103" s="258">
        <v>1809.9</v>
      </c>
      <c r="U103" s="258">
        <v>400</v>
      </c>
      <c r="V103" s="258">
        <f t="shared" si="7"/>
        <v>49206.799999999996</v>
      </c>
      <c r="W103" s="258">
        <f t="shared" si="7"/>
        <v>46017.221000000005</v>
      </c>
      <c r="X103" s="259">
        <v>23060.2</v>
      </c>
      <c r="Y103" s="259">
        <v>8971.82</v>
      </c>
      <c r="Z103" s="259"/>
      <c r="AA103" s="259"/>
      <c r="AB103" s="260"/>
      <c r="AC103" s="260"/>
      <c r="AD103" s="259">
        <v>0</v>
      </c>
      <c r="AE103" s="259">
        <v>0</v>
      </c>
      <c r="AF103" s="259">
        <v>0</v>
      </c>
      <c r="AG103" s="259">
        <v>0</v>
      </c>
      <c r="AH103" s="259">
        <v>-12059.7</v>
      </c>
      <c r="AI103" s="259">
        <v>-12147.144</v>
      </c>
      <c r="AJ103" s="257"/>
      <c r="AK103" s="260"/>
      <c r="AL103" s="260">
        <v>0</v>
      </c>
      <c r="AM103" s="260"/>
      <c r="AN103" s="259">
        <v>7305.5</v>
      </c>
      <c r="AO103" s="259">
        <v>0</v>
      </c>
      <c r="AP103" s="257">
        <f t="shared" si="6"/>
        <v>18306</v>
      </c>
      <c r="AQ103" s="257">
        <f t="shared" si="6"/>
        <v>-3175.3240000000005</v>
      </c>
    </row>
    <row r="104" spans="1:43" ht="18" customHeight="1">
      <c r="A104" s="256">
        <v>94</v>
      </c>
      <c r="B104" s="108" t="s">
        <v>336</v>
      </c>
      <c r="C104" s="257">
        <f t="shared" si="5"/>
        <v>5294</v>
      </c>
      <c r="D104" s="257">
        <f t="shared" si="5"/>
        <v>5293.95</v>
      </c>
      <c r="E104" s="258">
        <v>3432</v>
      </c>
      <c r="F104" s="258">
        <v>3431.95</v>
      </c>
      <c r="G104" s="258">
        <v>902</v>
      </c>
      <c r="H104" s="258">
        <v>902</v>
      </c>
      <c r="I104" s="258">
        <v>960</v>
      </c>
      <c r="J104" s="258">
        <v>960</v>
      </c>
      <c r="K104" s="258"/>
      <c r="L104" s="257"/>
      <c r="M104" s="261"/>
      <c r="N104" s="258">
        <v>0</v>
      </c>
      <c r="O104" s="258">
        <v>0</v>
      </c>
      <c r="P104" s="258">
        <v>0</v>
      </c>
      <c r="Q104" s="258">
        <v>0</v>
      </c>
      <c r="R104" s="258">
        <v>0</v>
      </c>
      <c r="S104" s="258">
        <v>0</v>
      </c>
      <c r="T104" s="258">
        <v>0</v>
      </c>
      <c r="U104" s="258">
        <v>0</v>
      </c>
      <c r="V104" s="258">
        <f t="shared" si="7"/>
        <v>5294</v>
      </c>
      <c r="W104" s="258">
        <f t="shared" si="7"/>
        <v>5293.95</v>
      </c>
      <c r="X104" s="259">
        <v>0</v>
      </c>
      <c r="Y104" s="259">
        <v>0</v>
      </c>
      <c r="Z104" s="259"/>
      <c r="AA104" s="259"/>
      <c r="AB104" s="260"/>
      <c r="AC104" s="260"/>
      <c r="AD104" s="259">
        <v>0</v>
      </c>
      <c r="AE104" s="259">
        <v>0</v>
      </c>
      <c r="AF104" s="259">
        <v>0</v>
      </c>
      <c r="AG104" s="259">
        <v>0</v>
      </c>
      <c r="AH104" s="259">
        <v>0</v>
      </c>
      <c r="AI104" s="259">
        <v>0</v>
      </c>
      <c r="AJ104" s="257"/>
      <c r="AK104" s="260"/>
      <c r="AL104" s="260">
        <v>0</v>
      </c>
      <c r="AM104" s="260"/>
      <c r="AN104" s="259">
        <v>0</v>
      </c>
      <c r="AO104" s="259">
        <v>0</v>
      </c>
      <c r="AP104" s="257">
        <f t="shared" si="6"/>
        <v>0</v>
      </c>
      <c r="AQ104" s="257">
        <f t="shared" si="6"/>
        <v>0</v>
      </c>
    </row>
    <row r="105" spans="1:43" ht="18" customHeight="1">
      <c r="A105" s="256">
        <v>95</v>
      </c>
      <c r="B105" s="108" t="s">
        <v>337</v>
      </c>
      <c r="C105" s="257">
        <f t="shared" si="5"/>
        <v>45878.4</v>
      </c>
      <c r="D105" s="257">
        <f t="shared" si="5"/>
        <v>45632.669</v>
      </c>
      <c r="E105" s="258">
        <v>18135</v>
      </c>
      <c r="F105" s="258">
        <v>18132.36</v>
      </c>
      <c r="G105" s="258">
        <v>3915</v>
      </c>
      <c r="H105" s="258">
        <v>3795.32</v>
      </c>
      <c r="I105" s="258">
        <v>13340</v>
      </c>
      <c r="J105" s="258">
        <v>13300.01</v>
      </c>
      <c r="K105" s="258"/>
      <c r="L105" s="257"/>
      <c r="M105" s="261"/>
      <c r="N105" s="258">
        <v>0</v>
      </c>
      <c r="O105" s="258">
        <v>0</v>
      </c>
      <c r="P105" s="258">
        <v>500</v>
      </c>
      <c r="Q105" s="258">
        <v>500</v>
      </c>
      <c r="R105" s="258">
        <v>2500</v>
      </c>
      <c r="S105" s="258">
        <v>2500</v>
      </c>
      <c r="T105" s="258">
        <v>363.3</v>
      </c>
      <c r="U105" s="258">
        <v>284.46</v>
      </c>
      <c r="V105" s="258">
        <f t="shared" si="7"/>
        <v>38753.3</v>
      </c>
      <c r="W105" s="258">
        <f t="shared" si="7"/>
        <v>38512.15</v>
      </c>
      <c r="X105" s="259">
        <v>8125.1</v>
      </c>
      <c r="Y105" s="259">
        <v>7820</v>
      </c>
      <c r="Z105" s="259"/>
      <c r="AA105" s="259"/>
      <c r="AB105" s="260"/>
      <c r="AC105" s="260"/>
      <c r="AD105" s="259">
        <v>0</v>
      </c>
      <c r="AE105" s="259">
        <v>0</v>
      </c>
      <c r="AF105" s="259">
        <v>0</v>
      </c>
      <c r="AG105" s="259">
        <v>0</v>
      </c>
      <c r="AH105" s="259">
        <v>-1000</v>
      </c>
      <c r="AI105" s="259">
        <v>-699.481</v>
      </c>
      <c r="AJ105" s="257"/>
      <c r="AK105" s="260"/>
      <c r="AL105" s="260">
        <v>0</v>
      </c>
      <c r="AM105" s="260"/>
      <c r="AN105" s="259">
        <v>7120</v>
      </c>
      <c r="AO105" s="259">
        <v>7120</v>
      </c>
      <c r="AP105" s="257">
        <f t="shared" si="6"/>
        <v>14245.1</v>
      </c>
      <c r="AQ105" s="257">
        <f t="shared" si="6"/>
        <v>14240.519</v>
      </c>
    </row>
    <row r="106" spans="1:43" ht="18" customHeight="1">
      <c r="A106" s="256">
        <v>96</v>
      </c>
      <c r="B106" s="108" t="s">
        <v>338</v>
      </c>
      <c r="C106" s="257">
        <f t="shared" si="5"/>
        <v>67606.28000000001</v>
      </c>
      <c r="D106" s="257">
        <f t="shared" si="5"/>
        <v>62722.079999999994</v>
      </c>
      <c r="E106" s="258">
        <v>19895</v>
      </c>
      <c r="F106" s="258">
        <v>18844.905</v>
      </c>
      <c r="G106" s="258">
        <v>4552.4</v>
      </c>
      <c r="H106" s="258">
        <v>4288.885</v>
      </c>
      <c r="I106" s="258">
        <v>11560</v>
      </c>
      <c r="J106" s="258">
        <v>11148.13</v>
      </c>
      <c r="K106" s="258"/>
      <c r="L106" s="257"/>
      <c r="M106" s="261"/>
      <c r="N106" s="258">
        <v>0</v>
      </c>
      <c r="O106" s="258">
        <v>0</v>
      </c>
      <c r="P106" s="258">
        <v>14060.96</v>
      </c>
      <c r="Q106" s="258">
        <v>14045.96</v>
      </c>
      <c r="R106" s="258">
        <v>5700</v>
      </c>
      <c r="S106" s="258">
        <v>5650</v>
      </c>
      <c r="T106" s="258">
        <v>1426.92</v>
      </c>
      <c r="U106" s="258">
        <v>649</v>
      </c>
      <c r="V106" s="258">
        <f t="shared" si="7"/>
        <v>57195.28</v>
      </c>
      <c r="W106" s="258">
        <f t="shared" si="7"/>
        <v>54626.88</v>
      </c>
      <c r="X106" s="259">
        <v>20390.181</v>
      </c>
      <c r="Y106" s="259">
        <v>18900.351</v>
      </c>
      <c r="Z106" s="259"/>
      <c r="AA106" s="259"/>
      <c r="AB106" s="260"/>
      <c r="AC106" s="260"/>
      <c r="AD106" s="259">
        <v>0</v>
      </c>
      <c r="AE106" s="259">
        <v>0</v>
      </c>
      <c r="AF106" s="259">
        <v>0</v>
      </c>
      <c r="AG106" s="259">
        <v>0</v>
      </c>
      <c r="AH106" s="259">
        <v>-10805.151</v>
      </c>
      <c r="AI106" s="259">
        <v>-10805.151</v>
      </c>
      <c r="AJ106" s="257"/>
      <c r="AK106" s="260"/>
      <c r="AL106" s="260">
        <v>825.97</v>
      </c>
      <c r="AM106" s="260"/>
      <c r="AN106" s="259">
        <v>4120.79</v>
      </c>
      <c r="AO106" s="259">
        <v>979.019</v>
      </c>
      <c r="AP106" s="257">
        <f t="shared" si="6"/>
        <v>14531.79</v>
      </c>
      <c r="AQ106" s="257">
        <f t="shared" si="6"/>
        <v>9074.219</v>
      </c>
    </row>
    <row r="107" spans="1:104" ht="18" customHeight="1">
      <c r="A107" s="256">
        <v>97</v>
      </c>
      <c r="B107" s="108" t="s">
        <v>339</v>
      </c>
      <c r="C107" s="257">
        <f t="shared" si="5"/>
        <v>54525.9999</v>
      </c>
      <c r="D107" s="257">
        <f t="shared" si="5"/>
        <v>45746.58000000001</v>
      </c>
      <c r="E107" s="258">
        <v>14370</v>
      </c>
      <c r="F107" s="258">
        <v>13760.581</v>
      </c>
      <c r="G107" s="258">
        <v>3050</v>
      </c>
      <c r="H107" s="258">
        <v>2856.838</v>
      </c>
      <c r="I107" s="258">
        <v>21380</v>
      </c>
      <c r="J107" s="258">
        <v>20931.7</v>
      </c>
      <c r="K107" s="258"/>
      <c r="L107" s="257"/>
      <c r="M107" s="261"/>
      <c r="N107" s="258">
        <v>0</v>
      </c>
      <c r="O107" s="258">
        <v>0</v>
      </c>
      <c r="P107" s="258">
        <v>4885</v>
      </c>
      <c r="Q107" s="258">
        <v>4860</v>
      </c>
      <c r="R107" s="258">
        <v>4505</v>
      </c>
      <c r="S107" s="258">
        <v>4505</v>
      </c>
      <c r="T107" s="258">
        <v>350</v>
      </c>
      <c r="U107" s="258">
        <v>230</v>
      </c>
      <c r="V107" s="258">
        <f t="shared" si="7"/>
        <v>48540</v>
      </c>
      <c r="W107" s="258">
        <f t="shared" si="7"/>
        <v>47144.119000000006</v>
      </c>
      <c r="X107" s="259">
        <v>5649.9999</v>
      </c>
      <c r="Y107" s="259">
        <v>5520</v>
      </c>
      <c r="Z107" s="259"/>
      <c r="AA107" s="259"/>
      <c r="AB107" s="260"/>
      <c r="AC107" s="260"/>
      <c r="AD107" s="259">
        <v>0</v>
      </c>
      <c r="AE107" s="259">
        <v>0</v>
      </c>
      <c r="AF107" s="259">
        <v>0</v>
      </c>
      <c r="AG107" s="259">
        <v>-1717.3</v>
      </c>
      <c r="AH107" s="259">
        <v>0</v>
      </c>
      <c r="AI107" s="259">
        <v>-5200.239</v>
      </c>
      <c r="AJ107" s="257"/>
      <c r="AK107" s="260"/>
      <c r="AL107" s="260">
        <v>336</v>
      </c>
      <c r="AM107" s="260"/>
      <c r="AN107" s="259">
        <v>336</v>
      </c>
      <c r="AO107" s="259">
        <v>0</v>
      </c>
      <c r="AP107" s="257">
        <f t="shared" si="6"/>
        <v>6321.9999</v>
      </c>
      <c r="AQ107" s="257">
        <f t="shared" si="6"/>
        <v>-1397.5389999999998</v>
      </c>
      <c r="CZ107" s="252">
        <v>536</v>
      </c>
    </row>
    <row r="108" spans="1:43" ht="26.25" customHeight="1">
      <c r="A108" s="472" t="s">
        <v>207</v>
      </c>
      <c r="B108" s="472"/>
      <c r="C108" s="263">
        <f aca="true" t="shared" si="8" ref="C108:P108">SUM(C11:C107)</f>
        <v>5183025.840300001</v>
      </c>
      <c r="D108" s="263">
        <f t="shared" si="8"/>
        <v>4353448.507600001</v>
      </c>
      <c r="E108" s="263">
        <f t="shared" si="8"/>
        <v>1291610.747</v>
      </c>
      <c r="F108" s="263">
        <f t="shared" si="8"/>
        <v>1222017.205</v>
      </c>
      <c r="G108" s="263">
        <f t="shared" si="8"/>
        <v>272628.15</v>
      </c>
      <c r="H108" s="263">
        <f t="shared" si="8"/>
        <v>255239.36800000005</v>
      </c>
      <c r="I108" s="263">
        <f t="shared" si="8"/>
        <v>1380823.8802000002</v>
      </c>
      <c r="J108" s="263">
        <f t="shared" si="8"/>
        <v>1189354.9070000001</v>
      </c>
      <c r="K108" s="263"/>
      <c r="L108" s="263">
        <f>SUM(L11:L107)</f>
        <v>0</v>
      </c>
      <c r="M108" s="263">
        <f t="shared" si="8"/>
        <v>0</v>
      </c>
      <c r="N108" s="263">
        <f t="shared" si="8"/>
        <v>224953.5</v>
      </c>
      <c r="O108" s="263">
        <f t="shared" si="8"/>
        <v>219315.3</v>
      </c>
      <c r="P108" s="263">
        <f t="shared" si="8"/>
        <v>388002.6771000001</v>
      </c>
      <c r="Q108" s="263">
        <f>SUM(Q11:Q107)</f>
        <v>368729.8710000001</v>
      </c>
      <c r="R108" s="263">
        <f>SUM(R11:R107)</f>
        <v>328501</v>
      </c>
      <c r="S108" s="263">
        <f>SUM(S11:S107)</f>
        <v>311871.19</v>
      </c>
      <c r="T108" s="263">
        <f>SUM(T11:T107)</f>
        <v>107428.64300000001</v>
      </c>
      <c r="U108" s="263">
        <f>SUM(U11:U107)</f>
        <v>47590.925</v>
      </c>
      <c r="V108" s="263">
        <f aca="true" t="shared" si="9" ref="V108:AI108">SUM(V11:V107)</f>
        <v>3993948.5973000005</v>
      </c>
      <c r="W108" s="263">
        <f t="shared" si="9"/>
        <v>3614118.7660000008</v>
      </c>
      <c r="X108" s="263">
        <f t="shared" si="9"/>
        <v>1547620.4589999998</v>
      </c>
      <c r="Y108" s="263">
        <f t="shared" si="9"/>
        <v>1106740.2330000005</v>
      </c>
      <c r="Z108" s="264">
        <v>15000</v>
      </c>
      <c r="AA108" s="264">
        <v>115581.2</v>
      </c>
      <c r="AB108" s="263">
        <f>SUM(AB11:AB107)</f>
        <v>0</v>
      </c>
      <c r="AC108" s="263">
        <f t="shared" si="9"/>
        <v>0</v>
      </c>
      <c r="AD108" s="263">
        <f>SUM(AD11:AD107)</f>
        <v>2000</v>
      </c>
      <c r="AE108" s="263">
        <f>SUM(AE11:AE107)</f>
        <v>0</v>
      </c>
      <c r="AF108" s="263">
        <f t="shared" si="9"/>
        <v>-43171.4</v>
      </c>
      <c r="AG108" s="263">
        <f t="shared" si="9"/>
        <v>-12884.264</v>
      </c>
      <c r="AH108" s="263">
        <f t="shared" si="9"/>
        <v>-325609.486</v>
      </c>
      <c r="AI108" s="263">
        <f t="shared" si="9"/>
        <v>-354526.2274</v>
      </c>
      <c r="AJ108" s="263"/>
      <c r="AK108" s="263">
        <f aca="true" t="shared" si="10" ref="AK108:AQ108">SUM(AK11:AK107)</f>
        <v>0</v>
      </c>
      <c r="AL108" s="263">
        <f>SUM(AL11:AL107)</f>
        <v>8237.67</v>
      </c>
      <c r="AM108" s="263"/>
      <c r="AN108" s="263">
        <f t="shared" si="10"/>
        <v>304098.98999999993</v>
      </c>
      <c r="AO108" s="263">
        <f>SUM(AO11:AO107)</f>
        <v>200142.1881</v>
      </c>
      <c r="AP108" s="263">
        <f t="shared" si="10"/>
        <v>1493176.233</v>
      </c>
      <c r="AQ108" s="263">
        <f t="shared" si="10"/>
        <v>939471.9297000001</v>
      </c>
    </row>
    <row r="109" ht="25.5" customHeight="1">
      <c r="V109" s="265"/>
    </row>
    <row r="110" ht="16.5" customHeight="1"/>
    <row r="111" ht="16.5" customHeight="1">
      <c r="I111" s="266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spans="1:43" s="267" customFormat="1" ht="22.5" customHeight="1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</row>
    <row r="161" spans="1:43" s="267" customFormat="1" ht="24" customHeight="1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</row>
    <row r="162" spans="1:43" s="267" customFormat="1" ht="17.25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</row>
    <row r="163" spans="1:43" s="267" customFormat="1" ht="17.25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</row>
    <row r="165" ht="45" customHeight="1"/>
  </sheetData>
  <sheetProtection/>
  <mergeCells count="37">
    <mergeCell ref="AL8:AM8"/>
    <mergeCell ref="A108:B108"/>
    <mergeCell ref="AD7:AE8"/>
    <mergeCell ref="E8:F8"/>
    <mergeCell ref="G8:H8"/>
    <mergeCell ref="Z8:Z9"/>
    <mergeCell ref="AH8:AI8"/>
    <mergeCell ref="AJ8:AK8"/>
    <mergeCell ref="AH6:AK7"/>
    <mergeCell ref="E7:H7"/>
    <mergeCell ref="E6:U6"/>
    <mergeCell ref="I7:J8"/>
    <mergeCell ref="L7:M8"/>
    <mergeCell ref="N7:O8"/>
    <mergeCell ref="P7:Q8"/>
    <mergeCell ref="R7:S8"/>
    <mergeCell ref="T7:U8"/>
    <mergeCell ref="E4:AC4"/>
    <mergeCell ref="X7:Y8"/>
    <mergeCell ref="Z7:AA7"/>
    <mergeCell ref="AP4:AQ4"/>
    <mergeCell ref="E5:U5"/>
    <mergeCell ref="V5:W8"/>
    <mergeCell ref="X5:AE5"/>
    <mergeCell ref="AF5:AK5"/>
    <mergeCell ref="AN5:AO8"/>
    <mergeCell ref="AP5:AQ8"/>
    <mergeCell ref="AB7:AC8"/>
    <mergeCell ref="X6:AE6"/>
    <mergeCell ref="AF6:AG8"/>
    <mergeCell ref="A1:O1"/>
    <mergeCell ref="A2:O2"/>
    <mergeCell ref="N3:O3"/>
    <mergeCell ref="V3:W3"/>
    <mergeCell ref="A4:A9"/>
    <mergeCell ref="B4:B9"/>
    <mergeCell ref="C4:D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15"/>
  <sheetViews>
    <sheetView zoomScalePageLayoutView="0" workbookViewId="0" topLeftCell="A1">
      <selection activeCell="G8" sqref="G8:H8"/>
    </sheetView>
  </sheetViews>
  <sheetFormatPr defaultColWidth="8.796875" defaultRowHeight="21.75" customHeight="1"/>
  <cols>
    <col min="1" max="1" width="3.09765625" style="124" customWidth="1"/>
    <col min="2" max="2" width="17.3984375" style="124" customWidth="1"/>
    <col min="3" max="3" width="13.59765625" style="124" customWidth="1"/>
    <col min="4" max="4" width="12.69921875" style="124" customWidth="1"/>
    <col min="5" max="5" width="13.8984375" style="124" customWidth="1"/>
    <col min="6" max="6" width="11.69921875" style="124" customWidth="1"/>
    <col min="7" max="7" width="12.3984375" style="124" customWidth="1"/>
    <col min="8" max="8" width="10" style="124" customWidth="1"/>
    <col min="9" max="9" width="12.8984375" style="124" customWidth="1"/>
    <col min="10" max="10" width="13" style="124" customWidth="1"/>
    <col min="11" max="11" width="11.59765625" style="124" customWidth="1"/>
    <col min="12" max="12" width="11.5" style="124" customWidth="1"/>
    <col min="13" max="13" width="11.69921875" style="124" customWidth="1"/>
    <col min="14" max="14" width="10.3984375" style="124" customWidth="1"/>
    <col min="15" max="15" width="10.5" style="124" customWidth="1"/>
    <col min="16" max="16" width="12.09765625" style="124" customWidth="1"/>
    <col min="17" max="18" width="10.8984375" style="124" customWidth="1"/>
    <col min="19" max="19" width="11.19921875" style="124" customWidth="1"/>
    <col min="20" max="20" width="9.69921875" style="124" customWidth="1"/>
    <col min="21" max="21" width="14.19921875" style="124" customWidth="1"/>
    <col min="22" max="22" width="13.09765625" style="124" customWidth="1"/>
    <col min="23" max="23" width="12.5" style="124" customWidth="1"/>
    <col min="24" max="24" width="12.19921875" style="124" customWidth="1"/>
    <col min="25" max="25" width="10.09765625" style="124" customWidth="1"/>
    <col min="26" max="26" width="9.59765625" style="124" customWidth="1"/>
    <col min="27" max="27" width="9.8984375" style="124" customWidth="1"/>
    <col min="28" max="28" width="8.59765625" style="124" customWidth="1"/>
    <col min="29" max="29" width="11.3984375" style="124" customWidth="1"/>
    <col min="30" max="30" width="13.8984375" style="124" customWidth="1"/>
    <col min="31" max="31" width="12.09765625" style="124" customWidth="1"/>
    <col min="32" max="32" width="12.3984375" style="124" customWidth="1"/>
    <col min="33" max="33" width="11.5" style="124" customWidth="1"/>
    <col min="34" max="34" width="13" style="124" customWidth="1"/>
    <col min="35" max="35" width="10" style="124" customWidth="1"/>
    <col min="36" max="36" width="10.3984375" style="124" customWidth="1"/>
    <col min="37" max="37" width="9.19921875" style="124" customWidth="1"/>
    <col min="38" max="38" width="9.5" style="124" customWidth="1"/>
    <col min="39" max="39" width="12.3984375" style="124" customWidth="1"/>
    <col min="40" max="40" width="11.09765625" style="124" customWidth="1"/>
    <col min="41" max="41" width="9" style="124" customWidth="1"/>
    <col min="42" max="42" width="9" style="125" customWidth="1"/>
    <col min="43" max="43" width="11.09765625" style="124" customWidth="1"/>
    <col min="44" max="44" width="9.19921875" style="124" customWidth="1"/>
    <col min="45" max="45" width="9" style="124" customWidth="1"/>
    <col min="46" max="16384" width="9" style="124" customWidth="1"/>
  </cols>
  <sheetData>
    <row r="1" spans="1:42" s="111" customFormat="1" ht="18" customHeight="1">
      <c r="A1" s="502" t="s">
        <v>208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P1" s="112"/>
    </row>
    <row r="2" spans="1:42" s="111" customFormat="1" ht="46.5" customHeight="1">
      <c r="A2" s="503" t="s">
        <v>340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P2" s="112"/>
    </row>
    <row r="3" spans="2:42" s="111" customFormat="1" ht="14.25" customHeight="1">
      <c r="B3" s="115"/>
      <c r="N3" s="116"/>
      <c r="U3" s="504"/>
      <c r="V3" s="504"/>
      <c r="AP3" s="112"/>
    </row>
    <row r="4" spans="1:42" s="111" customFormat="1" ht="16.5" customHeight="1">
      <c r="A4" s="505" t="s">
        <v>210</v>
      </c>
      <c r="B4" s="508" t="s">
        <v>341</v>
      </c>
      <c r="C4" s="511" t="s">
        <v>342</v>
      </c>
      <c r="D4" s="512"/>
      <c r="E4" s="519" t="s">
        <v>343</v>
      </c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521"/>
      <c r="AN4" s="521"/>
      <c r="AP4" s="112"/>
    </row>
    <row r="5" spans="1:42" s="111" customFormat="1" ht="22.5" customHeight="1">
      <c r="A5" s="506"/>
      <c r="B5" s="509"/>
      <c r="C5" s="513"/>
      <c r="D5" s="514"/>
      <c r="E5" s="522" t="s">
        <v>344</v>
      </c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4"/>
      <c r="U5" s="485" t="s">
        <v>215</v>
      </c>
      <c r="V5" s="486"/>
      <c r="W5" s="525" t="s">
        <v>216</v>
      </c>
      <c r="X5" s="526"/>
      <c r="Y5" s="526"/>
      <c r="Z5" s="526"/>
      <c r="AA5" s="526"/>
      <c r="AB5" s="526"/>
      <c r="AC5" s="525" t="s">
        <v>345</v>
      </c>
      <c r="AD5" s="526"/>
      <c r="AE5" s="526"/>
      <c r="AF5" s="526"/>
      <c r="AG5" s="526"/>
      <c r="AH5" s="527"/>
      <c r="AI5" s="528" t="s">
        <v>346</v>
      </c>
      <c r="AJ5" s="529"/>
      <c r="AK5" s="479" t="s">
        <v>347</v>
      </c>
      <c r="AL5" s="480"/>
      <c r="AM5" s="485" t="s">
        <v>219</v>
      </c>
      <c r="AN5" s="486"/>
      <c r="AP5" s="112"/>
    </row>
    <row r="6" spans="1:42" s="111" customFormat="1" ht="15" customHeight="1">
      <c r="A6" s="506"/>
      <c r="B6" s="509"/>
      <c r="C6" s="513"/>
      <c r="D6" s="514"/>
      <c r="E6" s="491" t="s">
        <v>221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3"/>
      <c r="U6" s="487"/>
      <c r="V6" s="488"/>
      <c r="W6" s="491" t="s">
        <v>221</v>
      </c>
      <c r="X6" s="492"/>
      <c r="Y6" s="492"/>
      <c r="Z6" s="492"/>
      <c r="AA6" s="492"/>
      <c r="AB6" s="493"/>
      <c r="AC6" s="494" t="s">
        <v>348</v>
      </c>
      <c r="AD6" s="495"/>
      <c r="AE6" s="494" t="s">
        <v>223</v>
      </c>
      <c r="AF6" s="540"/>
      <c r="AG6" s="540"/>
      <c r="AH6" s="495"/>
      <c r="AI6" s="530"/>
      <c r="AJ6" s="531"/>
      <c r="AK6" s="481"/>
      <c r="AL6" s="482"/>
      <c r="AM6" s="487"/>
      <c r="AN6" s="488"/>
      <c r="AP6" s="112"/>
    </row>
    <row r="7" spans="1:42" s="111" customFormat="1" ht="15" customHeight="1">
      <c r="A7" s="506"/>
      <c r="B7" s="509"/>
      <c r="C7" s="513"/>
      <c r="D7" s="514"/>
      <c r="E7" s="525" t="s">
        <v>349</v>
      </c>
      <c r="F7" s="526"/>
      <c r="G7" s="526"/>
      <c r="H7" s="527"/>
      <c r="I7" s="479" t="s">
        <v>350</v>
      </c>
      <c r="J7" s="480"/>
      <c r="K7" s="479" t="s">
        <v>351</v>
      </c>
      <c r="L7" s="480"/>
      <c r="M7" s="479" t="s">
        <v>352</v>
      </c>
      <c r="N7" s="480"/>
      <c r="O7" s="479" t="s">
        <v>353</v>
      </c>
      <c r="P7" s="480"/>
      <c r="Q7" s="479" t="s">
        <v>354</v>
      </c>
      <c r="R7" s="480"/>
      <c r="S7" s="479" t="s">
        <v>347</v>
      </c>
      <c r="T7" s="480"/>
      <c r="U7" s="487"/>
      <c r="V7" s="488"/>
      <c r="W7" s="494" t="s">
        <v>355</v>
      </c>
      <c r="X7" s="495"/>
      <c r="Y7" s="494" t="s">
        <v>356</v>
      </c>
      <c r="Z7" s="495"/>
      <c r="AA7" s="498" t="s">
        <v>357</v>
      </c>
      <c r="AB7" s="499"/>
      <c r="AC7" s="538"/>
      <c r="AD7" s="539"/>
      <c r="AE7" s="496"/>
      <c r="AF7" s="541"/>
      <c r="AG7" s="541"/>
      <c r="AH7" s="497"/>
      <c r="AI7" s="530"/>
      <c r="AJ7" s="531"/>
      <c r="AK7" s="481"/>
      <c r="AL7" s="482"/>
      <c r="AM7" s="487"/>
      <c r="AN7" s="488"/>
      <c r="AP7" s="112"/>
    </row>
    <row r="8" spans="1:42" s="111" customFormat="1" ht="82.5" customHeight="1">
      <c r="A8" s="506"/>
      <c r="B8" s="509"/>
      <c r="C8" s="515"/>
      <c r="D8" s="516"/>
      <c r="E8" s="517" t="s">
        <v>358</v>
      </c>
      <c r="F8" s="518"/>
      <c r="G8" s="517" t="s">
        <v>359</v>
      </c>
      <c r="H8" s="518"/>
      <c r="I8" s="483"/>
      <c r="J8" s="484"/>
      <c r="K8" s="483"/>
      <c r="L8" s="484"/>
      <c r="M8" s="483"/>
      <c r="N8" s="484"/>
      <c r="O8" s="483"/>
      <c r="P8" s="484"/>
      <c r="Q8" s="483"/>
      <c r="R8" s="484"/>
      <c r="S8" s="483"/>
      <c r="T8" s="484"/>
      <c r="U8" s="489"/>
      <c r="V8" s="490"/>
      <c r="W8" s="496"/>
      <c r="X8" s="497"/>
      <c r="Y8" s="496"/>
      <c r="Z8" s="497"/>
      <c r="AA8" s="500"/>
      <c r="AB8" s="501"/>
      <c r="AC8" s="496"/>
      <c r="AD8" s="497"/>
      <c r="AE8" s="534" t="s">
        <v>360</v>
      </c>
      <c r="AF8" s="535"/>
      <c r="AG8" s="534" t="s">
        <v>241</v>
      </c>
      <c r="AH8" s="535"/>
      <c r="AI8" s="532"/>
      <c r="AJ8" s="533"/>
      <c r="AK8" s="483"/>
      <c r="AL8" s="484"/>
      <c r="AM8" s="489"/>
      <c r="AN8" s="490"/>
      <c r="AP8" s="112"/>
    </row>
    <row r="9" spans="1:42" s="120" customFormat="1" ht="22.5" customHeight="1">
      <c r="A9" s="507"/>
      <c r="B9" s="510"/>
      <c r="C9" s="118" t="s">
        <v>243</v>
      </c>
      <c r="D9" s="118" t="s">
        <v>361</v>
      </c>
      <c r="E9" s="119" t="s">
        <v>243</v>
      </c>
      <c r="F9" s="118" t="s">
        <v>361</v>
      </c>
      <c r="G9" s="119" t="s">
        <v>243</v>
      </c>
      <c r="H9" s="118" t="s">
        <v>361</v>
      </c>
      <c r="I9" s="119" t="s">
        <v>243</v>
      </c>
      <c r="J9" s="118" t="s">
        <v>361</v>
      </c>
      <c r="K9" s="119" t="s">
        <v>243</v>
      </c>
      <c r="L9" s="118" t="s">
        <v>361</v>
      </c>
      <c r="M9" s="119" t="s">
        <v>243</v>
      </c>
      <c r="N9" s="118" t="s">
        <v>361</v>
      </c>
      <c r="O9" s="119" t="s">
        <v>243</v>
      </c>
      <c r="P9" s="118" t="s">
        <v>361</v>
      </c>
      <c r="Q9" s="119" t="s">
        <v>243</v>
      </c>
      <c r="R9" s="118" t="s">
        <v>361</v>
      </c>
      <c r="S9" s="119" t="s">
        <v>243</v>
      </c>
      <c r="T9" s="118" t="s">
        <v>361</v>
      </c>
      <c r="U9" s="119" t="s">
        <v>243</v>
      </c>
      <c r="V9" s="118" t="s">
        <v>361</v>
      </c>
      <c r="W9" s="119" t="s">
        <v>243</v>
      </c>
      <c r="X9" s="118" t="s">
        <v>361</v>
      </c>
      <c r="Y9" s="119" t="s">
        <v>243</v>
      </c>
      <c r="Z9" s="118" t="s">
        <v>361</v>
      </c>
      <c r="AA9" s="119" t="s">
        <v>243</v>
      </c>
      <c r="AB9" s="118" t="s">
        <v>361</v>
      </c>
      <c r="AC9" s="119" t="s">
        <v>243</v>
      </c>
      <c r="AD9" s="118" t="s">
        <v>361</v>
      </c>
      <c r="AE9" s="119" t="s">
        <v>243</v>
      </c>
      <c r="AF9" s="118" t="s">
        <v>361</v>
      </c>
      <c r="AG9" s="119" t="s">
        <v>243</v>
      </c>
      <c r="AH9" s="118" t="s">
        <v>361</v>
      </c>
      <c r="AI9" s="119" t="s">
        <v>243</v>
      </c>
      <c r="AJ9" s="118" t="s">
        <v>361</v>
      </c>
      <c r="AK9" s="119" t="s">
        <v>243</v>
      </c>
      <c r="AL9" s="118" t="s">
        <v>361</v>
      </c>
      <c r="AM9" s="119" t="s">
        <v>243</v>
      </c>
      <c r="AN9" s="118" t="s">
        <v>361</v>
      </c>
      <c r="AP9" s="121"/>
    </row>
    <row r="10" spans="1:40" ht="15" customHeight="1">
      <c r="A10" s="122"/>
      <c r="B10" s="123">
        <v>1</v>
      </c>
      <c r="C10" s="123">
        <v>2</v>
      </c>
      <c r="D10" s="123">
        <v>3</v>
      </c>
      <c r="E10" s="123">
        <v>4</v>
      </c>
      <c r="F10" s="123">
        <v>5</v>
      </c>
      <c r="G10" s="123">
        <v>6</v>
      </c>
      <c r="H10" s="123">
        <v>7</v>
      </c>
      <c r="I10" s="123">
        <v>8</v>
      </c>
      <c r="J10" s="123">
        <v>9</v>
      </c>
      <c r="K10" s="123">
        <v>10</v>
      </c>
      <c r="L10" s="123">
        <v>11</v>
      </c>
      <c r="M10" s="123">
        <v>12</v>
      </c>
      <c r="N10" s="123">
        <v>13</v>
      </c>
      <c r="O10" s="123">
        <v>14</v>
      </c>
      <c r="P10" s="123">
        <v>15</v>
      </c>
      <c r="Q10" s="123">
        <v>16</v>
      </c>
      <c r="R10" s="123">
        <v>17</v>
      </c>
      <c r="S10" s="123">
        <v>18</v>
      </c>
      <c r="T10" s="123">
        <v>19</v>
      </c>
      <c r="U10" s="123">
        <v>20</v>
      </c>
      <c r="V10" s="123">
        <v>21</v>
      </c>
      <c r="W10" s="123">
        <v>22</v>
      </c>
      <c r="X10" s="123">
        <v>23</v>
      </c>
      <c r="Y10" s="123">
        <v>24</v>
      </c>
      <c r="Z10" s="123">
        <v>25</v>
      </c>
      <c r="AA10" s="123">
        <v>26</v>
      </c>
      <c r="AB10" s="123">
        <v>27</v>
      </c>
      <c r="AC10" s="123">
        <v>28</v>
      </c>
      <c r="AD10" s="123">
        <v>29</v>
      </c>
      <c r="AE10" s="123">
        <v>30</v>
      </c>
      <c r="AF10" s="123">
        <v>31</v>
      </c>
      <c r="AG10" s="123">
        <v>32</v>
      </c>
      <c r="AH10" s="123">
        <v>33</v>
      </c>
      <c r="AI10" s="123">
        <v>34</v>
      </c>
      <c r="AJ10" s="123">
        <v>35</v>
      </c>
      <c r="AK10" s="123"/>
      <c r="AL10" s="123"/>
      <c r="AM10" s="123">
        <v>36</v>
      </c>
      <c r="AN10" s="123">
        <v>37</v>
      </c>
    </row>
    <row r="11" spans="1:45" ht="18" customHeight="1">
      <c r="A11" s="126">
        <v>1</v>
      </c>
      <c r="B11" s="127" t="s">
        <v>362</v>
      </c>
      <c r="C11" s="128">
        <f aca="true" t="shared" si="0" ref="C11:D42">U11+AM11</f>
        <v>1051751.6</v>
      </c>
      <c r="D11" s="128">
        <f t="shared" si="0"/>
        <v>1013175.9</v>
      </c>
      <c r="E11" s="128">
        <v>425525</v>
      </c>
      <c r="F11" s="128">
        <v>417632</v>
      </c>
      <c r="G11" s="128">
        <v>102832.5</v>
      </c>
      <c r="H11" s="128">
        <v>100610.4</v>
      </c>
      <c r="I11" s="128">
        <v>405504.5</v>
      </c>
      <c r="J11" s="128">
        <v>390263.2</v>
      </c>
      <c r="K11" s="128"/>
      <c r="L11" s="128"/>
      <c r="M11" s="128">
        <v>8795.2</v>
      </c>
      <c r="N11" s="128">
        <v>8795.2</v>
      </c>
      <c r="O11" s="128">
        <v>0</v>
      </c>
      <c r="P11" s="128"/>
      <c r="Q11" s="128">
        <v>35030</v>
      </c>
      <c r="R11" s="128">
        <v>34368.1</v>
      </c>
      <c r="S11" s="128">
        <v>2124.6</v>
      </c>
      <c r="T11" s="128">
        <v>1767.2</v>
      </c>
      <c r="U11" s="128">
        <f aca="true" t="shared" si="1" ref="U11:V42">S11+Q11+O11+M11+K11+I11+G11+E11</f>
        <v>979811.8</v>
      </c>
      <c r="V11" s="128">
        <f t="shared" si="1"/>
        <v>953436.1</v>
      </c>
      <c r="W11" s="128">
        <v>144000</v>
      </c>
      <c r="X11" s="128">
        <v>133528.6</v>
      </c>
      <c r="Y11" s="128"/>
      <c r="Z11" s="128"/>
      <c r="AA11" s="128"/>
      <c r="AB11" s="128"/>
      <c r="AC11" s="128">
        <v>-5100</v>
      </c>
      <c r="AD11" s="128">
        <v>-5100.5</v>
      </c>
      <c r="AE11" s="128">
        <v>-66960.2</v>
      </c>
      <c r="AF11" s="128">
        <v>-68688.3</v>
      </c>
      <c r="AG11" s="128"/>
      <c r="AH11" s="128"/>
      <c r="AI11" s="129">
        <v>12200</v>
      </c>
      <c r="AJ11" s="128"/>
      <c r="AK11" s="128">
        <v>0</v>
      </c>
      <c r="AL11" s="128"/>
      <c r="AM11" s="128">
        <f aca="true" t="shared" si="2" ref="AM11:AN42">AG11+AE11+AC11+AA11+Y11+W11+AK11</f>
        <v>71939.8</v>
      </c>
      <c r="AN11" s="128">
        <f t="shared" si="2"/>
        <v>59739.8</v>
      </c>
      <c r="AP11" s="130"/>
      <c r="AQ11" s="131"/>
      <c r="AR11" s="132"/>
      <c r="AS11" s="133"/>
    </row>
    <row r="12" spans="1:45" ht="18" customHeight="1">
      <c r="A12" s="126">
        <v>2</v>
      </c>
      <c r="B12" s="127" t="s">
        <v>363</v>
      </c>
      <c r="C12" s="128">
        <f t="shared" si="0"/>
        <v>52917.7</v>
      </c>
      <c r="D12" s="128">
        <f t="shared" si="0"/>
        <v>50869.1</v>
      </c>
      <c r="E12" s="128">
        <v>19200</v>
      </c>
      <c r="F12" s="134">
        <v>19128</v>
      </c>
      <c r="G12" s="128">
        <v>4300</v>
      </c>
      <c r="H12" s="134">
        <v>3855</v>
      </c>
      <c r="I12" s="128">
        <v>10840</v>
      </c>
      <c r="J12" s="128">
        <v>9773.3</v>
      </c>
      <c r="K12" s="128"/>
      <c r="L12" s="128"/>
      <c r="M12" s="128">
        <v>0</v>
      </c>
      <c r="N12" s="128"/>
      <c r="O12" s="128">
        <v>6700</v>
      </c>
      <c r="P12" s="128">
        <v>6587.2</v>
      </c>
      <c r="Q12" s="128">
        <v>5000</v>
      </c>
      <c r="R12" s="128">
        <v>4715</v>
      </c>
      <c r="S12" s="128">
        <v>0</v>
      </c>
      <c r="T12" s="128"/>
      <c r="U12" s="128">
        <f t="shared" si="1"/>
        <v>46040</v>
      </c>
      <c r="V12" s="128">
        <f t="shared" si="1"/>
        <v>44058.5</v>
      </c>
      <c r="W12" s="128">
        <v>9460</v>
      </c>
      <c r="X12" s="128">
        <v>8930</v>
      </c>
      <c r="Y12" s="128"/>
      <c r="Z12" s="128"/>
      <c r="AA12" s="128"/>
      <c r="AB12" s="128"/>
      <c r="AC12" s="128">
        <v>-1000</v>
      </c>
      <c r="AD12" s="128">
        <v>-1352.7</v>
      </c>
      <c r="AE12" s="128">
        <v>-1582.3</v>
      </c>
      <c r="AF12" s="128">
        <v>-766.7</v>
      </c>
      <c r="AG12" s="128"/>
      <c r="AH12" s="128"/>
      <c r="AI12" s="129">
        <v>2460</v>
      </c>
      <c r="AJ12" s="128">
        <v>2460</v>
      </c>
      <c r="AK12" s="128">
        <v>0</v>
      </c>
      <c r="AL12" s="128"/>
      <c r="AM12" s="128">
        <f t="shared" si="2"/>
        <v>6877.7</v>
      </c>
      <c r="AN12" s="128">
        <f t="shared" si="2"/>
        <v>6810.6</v>
      </c>
      <c r="AP12" s="130"/>
      <c r="AQ12" s="131"/>
      <c r="AR12" s="132"/>
      <c r="AS12" s="135"/>
    </row>
    <row r="13" spans="1:45" ht="18" customHeight="1">
      <c r="A13" s="126">
        <v>3</v>
      </c>
      <c r="B13" s="127" t="s">
        <v>364</v>
      </c>
      <c r="C13" s="128">
        <f t="shared" si="0"/>
        <v>26144</v>
      </c>
      <c r="D13" s="128">
        <f t="shared" si="0"/>
        <v>20168.1</v>
      </c>
      <c r="E13" s="128">
        <v>10155</v>
      </c>
      <c r="F13" s="128">
        <v>10085.4</v>
      </c>
      <c r="G13" s="128">
        <v>1714</v>
      </c>
      <c r="H13" s="128">
        <v>1626.9</v>
      </c>
      <c r="I13" s="128">
        <v>11411.5</v>
      </c>
      <c r="J13" s="128">
        <v>9526.2</v>
      </c>
      <c r="K13" s="128"/>
      <c r="L13" s="128"/>
      <c r="M13" s="128">
        <v>0</v>
      </c>
      <c r="N13" s="128"/>
      <c r="O13" s="128">
        <v>0</v>
      </c>
      <c r="P13" s="128"/>
      <c r="Q13" s="128">
        <v>2650</v>
      </c>
      <c r="R13" s="128">
        <v>2565</v>
      </c>
      <c r="S13" s="128">
        <v>0</v>
      </c>
      <c r="T13" s="128"/>
      <c r="U13" s="128">
        <f t="shared" si="1"/>
        <v>25930.5</v>
      </c>
      <c r="V13" s="128">
        <f t="shared" si="1"/>
        <v>23803.5</v>
      </c>
      <c r="W13" s="128">
        <v>5213.5</v>
      </c>
      <c r="X13" s="128">
        <v>1193</v>
      </c>
      <c r="Y13" s="128"/>
      <c r="Z13" s="128"/>
      <c r="AA13" s="128"/>
      <c r="AB13" s="128"/>
      <c r="AC13" s="128">
        <v>0</v>
      </c>
      <c r="AD13" s="128"/>
      <c r="AE13" s="128">
        <v>-5000</v>
      </c>
      <c r="AF13" s="128">
        <v>-4828.4</v>
      </c>
      <c r="AG13" s="128"/>
      <c r="AH13" s="128"/>
      <c r="AI13" s="129">
        <v>117.1</v>
      </c>
      <c r="AJ13" s="128">
        <v>117.1</v>
      </c>
      <c r="AK13" s="128">
        <v>0</v>
      </c>
      <c r="AL13" s="128"/>
      <c r="AM13" s="128">
        <f t="shared" si="2"/>
        <v>213.5</v>
      </c>
      <c r="AN13" s="128">
        <f t="shared" si="2"/>
        <v>-3635.3999999999996</v>
      </c>
      <c r="AP13" s="130"/>
      <c r="AQ13" s="131"/>
      <c r="AR13" s="132"/>
      <c r="AS13" s="135"/>
    </row>
    <row r="14" spans="1:45" ht="18" customHeight="1">
      <c r="A14" s="126">
        <v>4</v>
      </c>
      <c r="B14" s="127" t="s">
        <v>365</v>
      </c>
      <c r="C14" s="128">
        <f t="shared" si="0"/>
        <v>67840.5</v>
      </c>
      <c r="D14" s="128">
        <f t="shared" si="0"/>
        <v>34481.200000000004</v>
      </c>
      <c r="E14" s="128">
        <v>20800</v>
      </c>
      <c r="F14" s="134">
        <v>18400.9</v>
      </c>
      <c r="G14" s="128">
        <v>4200</v>
      </c>
      <c r="H14" s="134">
        <v>3370.9</v>
      </c>
      <c r="I14" s="128">
        <v>13835</v>
      </c>
      <c r="J14" s="128">
        <v>7674.6</v>
      </c>
      <c r="K14" s="128"/>
      <c r="L14" s="128"/>
      <c r="M14" s="128">
        <v>0</v>
      </c>
      <c r="N14" s="128"/>
      <c r="O14" s="128">
        <v>0</v>
      </c>
      <c r="P14" s="128"/>
      <c r="Q14" s="128">
        <v>5000</v>
      </c>
      <c r="R14" s="128">
        <v>5000</v>
      </c>
      <c r="S14" s="128">
        <v>7025.7</v>
      </c>
      <c r="T14" s="128">
        <v>34.8</v>
      </c>
      <c r="U14" s="128">
        <f t="shared" si="1"/>
        <v>50860.7</v>
      </c>
      <c r="V14" s="128">
        <f t="shared" si="1"/>
        <v>34481.200000000004</v>
      </c>
      <c r="W14" s="128">
        <v>16400</v>
      </c>
      <c r="X14" s="128"/>
      <c r="Y14" s="128"/>
      <c r="Z14" s="128"/>
      <c r="AA14" s="136">
        <v>579.8</v>
      </c>
      <c r="AB14" s="128"/>
      <c r="AC14" s="128">
        <v>0</v>
      </c>
      <c r="AD14" s="128"/>
      <c r="AE14" s="128"/>
      <c r="AF14" s="128"/>
      <c r="AG14" s="128"/>
      <c r="AH14" s="128"/>
      <c r="AI14" s="129"/>
      <c r="AJ14" s="128"/>
      <c r="AK14" s="128">
        <v>0</v>
      </c>
      <c r="AL14" s="128"/>
      <c r="AM14" s="128">
        <f t="shared" si="2"/>
        <v>16979.8</v>
      </c>
      <c r="AN14" s="128">
        <f t="shared" si="2"/>
        <v>0</v>
      </c>
      <c r="AP14" s="130"/>
      <c r="AQ14" s="131"/>
      <c r="AR14" s="132"/>
      <c r="AS14" s="135"/>
    </row>
    <row r="15" spans="1:45" ht="18" customHeight="1">
      <c r="A15" s="126">
        <v>5</v>
      </c>
      <c r="B15" s="127" t="s">
        <v>366</v>
      </c>
      <c r="C15" s="128">
        <f t="shared" si="0"/>
        <v>32677.1</v>
      </c>
      <c r="D15" s="128">
        <f t="shared" si="0"/>
        <v>32147.1</v>
      </c>
      <c r="E15" s="128">
        <v>12060</v>
      </c>
      <c r="F15" s="134">
        <v>11988.2</v>
      </c>
      <c r="G15" s="128">
        <v>2455</v>
      </c>
      <c r="H15" s="134">
        <v>2267.4</v>
      </c>
      <c r="I15" s="128">
        <v>12079.1</v>
      </c>
      <c r="J15" s="128">
        <v>11859.8</v>
      </c>
      <c r="K15" s="128"/>
      <c r="L15" s="128"/>
      <c r="M15" s="128">
        <v>0</v>
      </c>
      <c r="N15" s="128"/>
      <c r="O15" s="128">
        <v>2258.4</v>
      </c>
      <c r="P15" s="128">
        <v>2258.4</v>
      </c>
      <c r="Q15" s="128">
        <v>3520</v>
      </c>
      <c r="R15" s="128">
        <v>3520</v>
      </c>
      <c r="S15" s="128">
        <v>20</v>
      </c>
      <c r="T15" s="128">
        <v>18</v>
      </c>
      <c r="U15" s="128">
        <f t="shared" si="1"/>
        <v>32392.5</v>
      </c>
      <c r="V15" s="128">
        <f t="shared" si="1"/>
        <v>31911.8</v>
      </c>
      <c r="W15" s="128">
        <v>284.6</v>
      </c>
      <c r="X15" s="128">
        <v>235.3</v>
      </c>
      <c r="Y15" s="128"/>
      <c r="Z15" s="128"/>
      <c r="AA15" s="128"/>
      <c r="AB15" s="128"/>
      <c r="AC15" s="128">
        <v>0</v>
      </c>
      <c r="AD15" s="128"/>
      <c r="AE15" s="128"/>
      <c r="AF15" s="128"/>
      <c r="AG15" s="128"/>
      <c r="AH15" s="128"/>
      <c r="AI15" s="128">
        <v>179.3</v>
      </c>
      <c r="AJ15" s="128">
        <v>130</v>
      </c>
      <c r="AK15" s="128">
        <v>0</v>
      </c>
      <c r="AL15" s="128"/>
      <c r="AM15" s="128">
        <f t="shared" si="2"/>
        <v>284.6</v>
      </c>
      <c r="AN15" s="128">
        <f t="shared" si="2"/>
        <v>235.3</v>
      </c>
      <c r="AP15" s="131"/>
      <c r="AQ15" s="131"/>
      <c r="AR15" s="137"/>
      <c r="AS15" s="135"/>
    </row>
    <row r="16" spans="1:45" ht="18" customHeight="1">
      <c r="A16" s="126">
        <v>6</v>
      </c>
      <c r="B16" s="127" t="s">
        <v>367</v>
      </c>
      <c r="C16" s="128">
        <f t="shared" si="0"/>
        <v>23336</v>
      </c>
      <c r="D16" s="128">
        <f t="shared" si="0"/>
        <v>22426</v>
      </c>
      <c r="E16" s="128">
        <v>14120</v>
      </c>
      <c r="F16" s="134">
        <v>13695</v>
      </c>
      <c r="G16" s="128">
        <v>3154</v>
      </c>
      <c r="H16" s="134">
        <v>3026.1</v>
      </c>
      <c r="I16" s="128">
        <v>5207.3</v>
      </c>
      <c r="J16" s="128">
        <v>4850.2</v>
      </c>
      <c r="K16" s="128"/>
      <c r="L16" s="128"/>
      <c r="M16" s="128">
        <v>0</v>
      </c>
      <c r="N16" s="128"/>
      <c r="O16" s="128">
        <v>64</v>
      </c>
      <c r="P16" s="128">
        <v>64</v>
      </c>
      <c r="Q16" s="128">
        <v>500</v>
      </c>
      <c r="R16" s="128">
        <v>500</v>
      </c>
      <c r="S16" s="128">
        <v>46.7</v>
      </c>
      <c r="T16" s="128">
        <v>46.7</v>
      </c>
      <c r="U16" s="128">
        <f t="shared" si="1"/>
        <v>23092</v>
      </c>
      <c r="V16" s="128">
        <f t="shared" si="1"/>
        <v>22182</v>
      </c>
      <c r="W16" s="128">
        <v>2479.6</v>
      </c>
      <c r="X16" s="128">
        <v>2479.6</v>
      </c>
      <c r="Y16" s="128"/>
      <c r="Z16" s="128"/>
      <c r="AA16" s="128"/>
      <c r="AB16" s="128"/>
      <c r="AC16" s="128">
        <v>0</v>
      </c>
      <c r="AD16" s="128"/>
      <c r="AE16" s="128">
        <v>-2235.6</v>
      </c>
      <c r="AF16" s="128">
        <v>-2235.6</v>
      </c>
      <c r="AG16" s="128"/>
      <c r="AH16" s="128"/>
      <c r="AI16" s="129">
        <v>150</v>
      </c>
      <c r="AJ16" s="128">
        <v>150</v>
      </c>
      <c r="AK16" s="128">
        <v>0</v>
      </c>
      <c r="AL16" s="128"/>
      <c r="AM16" s="128">
        <f t="shared" si="2"/>
        <v>244</v>
      </c>
      <c r="AN16" s="128">
        <f t="shared" si="2"/>
        <v>244</v>
      </c>
      <c r="AP16" s="130"/>
      <c r="AQ16" s="131"/>
      <c r="AR16" s="132"/>
      <c r="AS16" s="135"/>
    </row>
    <row r="17" spans="1:45" ht="18" customHeight="1">
      <c r="A17" s="126">
        <v>7</v>
      </c>
      <c r="B17" s="127" t="s">
        <v>368</v>
      </c>
      <c r="C17" s="128">
        <f t="shared" si="0"/>
        <v>26488.4</v>
      </c>
      <c r="D17" s="128">
        <f t="shared" si="0"/>
        <v>25188.600000000002</v>
      </c>
      <c r="E17" s="129">
        <v>12500</v>
      </c>
      <c r="F17" s="134">
        <v>12372.5</v>
      </c>
      <c r="G17" s="129">
        <v>3450</v>
      </c>
      <c r="H17" s="134">
        <v>2874.9</v>
      </c>
      <c r="I17" s="129">
        <v>6911.1</v>
      </c>
      <c r="J17" s="129">
        <v>6467</v>
      </c>
      <c r="K17" s="129"/>
      <c r="L17" s="129"/>
      <c r="M17" s="129">
        <v>0</v>
      </c>
      <c r="N17" s="129"/>
      <c r="O17" s="129">
        <v>0</v>
      </c>
      <c r="P17" s="129"/>
      <c r="Q17" s="129">
        <v>2500</v>
      </c>
      <c r="R17" s="129">
        <v>2500</v>
      </c>
      <c r="S17" s="129">
        <v>102.3</v>
      </c>
      <c r="T17" s="129"/>
      <c r="U17" s="128">
        <f t="shared" si="1"/>
        <v>25463.4</v>
      </c>
      <c r="V17" s="128">
        <f t="shared" si="1"/>
        <v>24214.4</v>
      </c>
      <c r="W17" s="129">
        <v>1025</v>
      </c>
      <c r="X17" s="129">
        <v>974.2</v>
      </c>
      <c r="Y17" s="128"/>
      <c r="Z17" s="129"/>
      <c r="AA17" s="129"/>
      <c r="AB17" s="129"/>
      <c r="AC17" s="129">
        <v>0</v>
      </c>
      <c r="AD17" s="129"/>
      <c r="AE17" s="129"/>
      <c r="AF17" s="129"/>
      <c r="AG17" s="128"/>
      <c r="AH17" s="129"/>
      <c r="AI17" s="129">
        <v>1025</v>
      </c>
      <c r="AJ17" s="129">
        <v>974.2</v>
      </c>
      <c r="AK17" s="129">
        <v>0</v>
      </c>
      <c r="AL17" s="129"/>
      <c r="AM17" s="128">
        <f t="shared" si="2"/>
        <v>1025</v>
      </c>
      <c r="AN17" s="128">
        <f t="shared" si="2"/>
        <v>974.2</v>
      </c>
      <c r="AP17" s="130"/>
      <c r="AQ17" s="131"/>
      <c r="AR17" s="138"/>
      <c r="AS17" s="135"/>
    </row>
    <row r="18" spans="1:45" ht="18" customHeight="1">
      <c r="A18" s="126">
        <v>8</v>
      </c>
      <c r="B18" s="127" t="s">
        <v>369</v>
      </c>
      <c r="C18" s="128">
        <f t="shared" si="0"/>
        <v>32635.000000000004</v>
      </c>
      <c r="D18" s="128">
        <f t="shared" si="0"/>
        <v>31815.600000000002</v>
      </c>
      <c r="E18" s="129">
        <v>16650.2</v>
      </c>
      <c r="F18" s="129">
        <v>16445</v>
      </c>
      <c r="G18" s="129">
        <v>3210</v>
      </c>
      <c r="H18" s="129">
        <v>3016.9</v>
      </c>
      <c r="I18" s="129">
        <v>9180.1</v>
      </c>
      <c r="J18" s="129">
        <v>8817.1</v>
      </c>
      <c r="K18" s="129"/>
      <c r="L18" s="129"/>
      <c r="M18" s="129">
        <v>0</v>
      </c>
      <c r="N18" s="129"/>
      <c r="O18" s="129">
        <v>278</v>
      </c>
      <c r="P18" s="129">
        <v>278</v>
      </c>
      <c r="Q18" s="129">
        <v>800</v>
      </c>
      <c r="R18" s="129">
        <v>800</v>
      </c>
      <c r="S18" s="129">
        <v>48</v>
      </c>
      <c r="T18" s="129">
        <v>19.2</v>
      </c>
      <c r="U18" s="128">
        <f t="shared" si="1"/>
        <v>30166.300000000003</v>
      </c>
      <c r="V18" s="128">
        <f t="shared" si="1"/>
        <v>29376.2</v>
      </c>
      <c r="W18" s="129">
        <v>5998.7</v>
      </c>
      <c r="X18" s="129">
        <v>5970</v>
      </c>
      <c r="Y18" s="128"/>
      <c r="Z18" s="129"/>
      <c r="AA18" s="129"/>
      <c r="AB18" s="129"/>
      <c r="AC18" s="129">
        <v>-1100</v>
      </c>
      <c r="AD18" s="129">
        <v>-1100</v>
      </c>
      <c r="AE18" s="129">
        <v>-2430</v>
      </c>
      <c r="AF18" s="129">
        <v>-2430.6</v>
      </c>
      <c r="AG18" s="128"/>
      <c r="AH18" s="129"/>
      <c r="AI18" s="129">
        <v>2300</v>
      </c>
      <c r="AJ18" s="129">
        <v>2300</v>
      </c>
      <c r="AK18" s="129">
        <v>0</v>
      </c>
      <c r="AL18" s="129"/>
      <c r="AM18" s="128">
        <f t="shared" si="2"/>
        <v>2468.7</v>
      </c>
      <c r="AN18" s="128">
        <f t="shared" si="2"/>
        <v>2439.4</v>
      </c>
      <c r="AP18" s="130"/>
      <c r="AQ18" s="130"/>
      <c r="AR18" s="138"/>
      <c r="AS18" s="135"/>
    </row>
    <row r="19" spans="1:45" ht="18" customHeight="1">
      <c r="A19" s="126">
        <v>9</v>
      </c>
      <c r="B19" s="127" t="s">
        <v>370</v>
      </c>
      <c r="C19" s="128">
        <f t="shared" si="0"/>
        <v>56041.9</v>
      </c>
      <c r="D19" s="128">
        <f t="shared" si="0"/>
        <v>48294.399999999994</v>
      </c>
      <c r="E19" s="129">
        <v>18170</v>
      </c>
      <c r="F19" s="129">
        <v>17991.7</v>
      </c>
      <c r="G19" s="129">
        <v>3750</v>
      </c>
      <c r="H19" s="129">
        <v>3489.6</v>
      </c>
      <c r="I19" s="129">
        <v>14545</v>
      </c>
      <c r="J19" s="129">
        <v>12162.8</v>
      </c>
      <c r="K19" s="129"/>
      <c r="L19" s="129"/>
      <c r="M19" s="129">
        <v>0</v>
      </c>
      <c r="N19" s="129"/>
      <c r="O19" s="129">
        <v>3400</v>
      </c>
      <c r="P19" s="129">
        <v>2850</v>
      </c>
      <c r="Q19" s="129">
        <v>1500</v>
      </c>
      <c r="R19" s="129">
        <v>1500</v>
      </c>
      <c r="S19" s="129">
        <v>3286</v>
      </c>
      <c r="T19" s="129">
        <v>0</v>
      </c>
      <c r="U19" s="128">
        <f t="shared" si="1"/>
        <v>44651</v>
      </c>
      <c r="V19" s="128">
        <f t="shared" si="1"/>
        <v>37994.1</v>
      </c>
      <c r="W19" s="129">
        <v>11398.6</v>
      </c>
      <c r="X19" s="129">
        <v>10308</v>
      </c>
      <c r="Y19" s="128"/>
      <c r="Z19" s="129"/>
      <c r="AA19" s="129"/>
      <c r="AB19" s="129"/>
      <c r="AC19" s="129">
        <v>0</v>
      </c>
      <c r="AD19" s="129"/>
      <c r="AE19" s="129">
        <v>-7.7</v>
      </c>
      <c r="AF19" s="129">
        <v>-7.7</v>
      </c>
      <c r="AG19" s="128"/>
      <c r="AH19" s="129"/>
      <c r="AI19" s="129"/>
      <c r="AJ19" s="129"/>
      <c r="AK19" s="129">
        <v>0</v>
      </c>
      <c r="AL19" s="129"/>
      <c r="AM19" s="128">
        <f t="shared" si="2"/>
        <v>11390.9</v>
      </c>
      <c r="AN19" s="128">
        <f t="shared" si="2"/>
        <v>10300.3</v>
      </c>
      <c r="AP19" s="130"/>
      <c r="AQ19" s="131"/>
      <c r="AR19" s="138"/>
      <c r="AS19" s="135"/>
    </row>
    <row r="20" spans="1:45" ht="18" customHeight="1">
      <c r="A20" s="126">
        <v>10</v>
      </c>
      <c r="B20" s="127" t="s">
        <v>371</v>
      </c>
      <c r="C20" s="128">
        <f t="shared" si="0"/>
        <v>51934.2</v>
      </c>
      <c r="D20" s="128">
        <f t="shared" si="0"/>
        <v>47467.7</v>
      </c>
      <c r="E20" s="129">
        <v>20010.4</v>
      </c>
      <c r="F20" s="134">
        <v>19901.6</v>
      </c>
      <c r="G20" s="129">
        <v>3089.6</v>
      </c>
      <c r="H20" s="134">
        <v>2950.9</v>
      </c>
      <c r="I20" s="129">
        <v>13444.2</v>
      </c>
      <c r="J20" s="129">
        <v>12166.3</v>
      </c>
      <c r="K20" s="129"/>
      <c r="L20" s="129"/>
      <c r="M20" s="129">
        <v>0</v>
      </c>
      <c r="N20" s="129"/>
      <c r="O20" s="129">
        <v>3634</v>
      </c>
      <c r="P20" s="129">
        <v>3634</v>
      </c>
      <c r="Q20" s="129">
        <v>8000</v>
      </c>
      <c r="R20" s="129">
        <v>7996.1</v>
      </c>
      <c r="S20" s="129">
        <v>51</v>
      </c>
      <c r="T20" s="129">
        <v>32.3</v>
      </c>
      <c r="U20" s="128">
        <f t="shared" si="1"/>
        <v>48229.2</v>
      </c>
      <c r="V20" s="128">
        <f t="shared" si="1"/>
        <v>46681.2</v>
      </c>
      <c r="W20" s="129">
        <v>9895</v>
      </c>
      <c r="X20" s="129">
        <v>4081</v>
      </c>
      <c r="Y20" s="128"/>
      <c r="Z20" s="129"/>
      <c r="AA20" s="129"/>
      <c r="AB20" s="129"/>
      <c r="AC20" s="129">
        <v>0</v>
      </c>
      <c r="AD20" s="129"/>
      <c r="AE20" s="129">
        <v>-6190</v>
      </c>
      <c r="AF20" s="129">
        <v>-3294.5</v>
      </c>
      <c r="AG20" s="128"/>
      <c r="AH20" s="129"/>
      <c r="AI20" s="129">
        <v>3697.8</v>
      </c>
      <c r="AJ20" s="128">
        <v>781</v>
      </c>
      <c r="AK20" s="129">
        <v>0</v>
      </c>
      <c r="AL20" s="129"/>
      <c r="AM20" s="128">
        <f t="shared" si="2"/>
        <v>3705</v>
      </c>
      <c r="AN20" s="128">
        <f t="shared" si="2"/>
        <v>786.5</v>
      </c>
      <c r="AP20" s="130"/>
      <c r="AQ20" s="131"/>
      <c r="AR20" s="137"/>
      <c r="AS20" s="135"/>
    </row>
    <row r="21" spans="1:45" ht="18" customHeight="1">
      <c r="A21" s="126">
        <v>11</v>
      </c>
      <c r="B21" s="127" t="s">
        <v>372</v>
      </c>
      <c r="C21" s="128">
        <f t="shared" si="0"/>
        <v>40990.5</v>
      </c>
      <c r="D21" s="128">
        <f t="shared" si="0"/>
        <v>29798.199999999997</v>
      </c>
      <c r="E21" s="129">
        <v>11190</v>
      </c>
      <c r="F21" s="134">
        <v>10272.9</v>
      </c>
      <c r="G21" s="129">
        <v>3030</v>
      </c>
      <c r="H21" s="129">
        <v>2260.4</v>
      </c>
      <c r="I21" s="129">
        <v>15570.5</v>
      </c>
      <c r="J21" s="129">
        <v>10279.9</v>
      </c>
      <c r="K21" s="129"/>
      <c r="L21" s="129"/>
      <c r="M21" s="129">
        <v>0</v>
      </c>
      <c r="N21" s="129"/>
      <c r="O21" s="129">
        <v>6000</v>
      </c>
      <c r="P21" s="129">
        <v>2000</v>
      </c>
      <c r="Q21" s="129">
        <v>1500</v>
      </c>
      <c r="R21" s="129">
        <v>1385</v>
      </c>
      <c r="S21" s="129">
        <v>0</v>
      </c>
      <c r="T21" s="129"/>
      <c r="U21" s="128">
        <f t="shared" si="1"/>
        <v>37290.5</v>
      </c>
      <c r="V21" s="128">
        <f t="shared" si="1"/>
        <v>26198.199999999997</v>
      </c>
      <c r="W21" s="129">
        <v>8950</v>
      </c>
      <c r="X21" s="129">
        <v>3600</v>
      </c>
      <c r="Y21" s="128"/>
      <c r="Z21" s="129"/>
      <c r="AA21" s="129"/>
      <c r="AB21" s="129"/>
      <c r="AC21" s="129">
        <v>0</v>
      </c>
      <c r="AD21" s="129"/>
      <c r="AE21" s="129">
        <v>-7000</v>
      </c>
      <c r="AF21" s="129"/>
      <c r="AG21" s="128"/>
      <c r="AH21" s="129"/>
      <c r="AI21" s="129">
        <v>3700</v>
      </c>
      <c r="AJ21" s="128">
        <v>3600</v>
      </c>
      <c r="AK21" s="129">
        <v>1750</v>
      </c>
      <c r="AL21" s="129"/>
      <c r="AM21" s="128">
        <f t="shared" si="2"/>
        <v>3700</v>
      </c>
      <c r="AN21" s="128">
        <f t="shared" si="2"/>
        <v>3600</v>
      </c>
      <c r="AP21" s="130"/>
      <c r="AQ21" s="131"/>
      <c r="AR21" s="137"/>
      <c r="AS21" s="135"/>
    </row>
    <row r="22" spans="1:45" ht="18" customHeight="1">
      <c r="A22" s="126">
        <v>12</v>
      </c>
      <c r="B22" s="127" t="s">
        <v>373</v>
      </c>
      <c r="C22" s="128">
        <f t="shared" si="0"/>
        <v>101285.9</v>
      </c>
      <c r="D22" s="128">
        <f t="shared" si="0"/>
        <v>94305.1</v>
      </c>
      <c r="E22" s="129">
        <v>24035</v>
      </c>
      <c r="F22" s="134">
        <v>22974</v>
      </c>
      <c r="G22" s="129">
        <v>4998.5</v>
      </c>
      <c r="H22" s="134">
        <v>4577.9</v>
      </c>
      <c r="I22" s="129">
        <v>33656.1</v>
      </c>
      <c r="J22" s="129">
        <v>30238.4</v>
      </c>
      <c r="K22" s="129"/>
      <c r="L22" s="129"/>
      <c r="M22" s="129">
        <v>0</v>
      </c>
      <c r="N22" s="129"/>
      <c r="O22" s="129">
        <v>607.5</v>
      </c>
      <c r="P22" s="129">
        <v>607.5</v>
      </c>
      <c r="Q22" s="129">
        <v>7175.4</v>
      </c>
      <c r="R22" s="129">
        <v>7175.4</v>
      </c>
      <c r="S22" s="129">
        <v>63</v>
      </c>
      <c r="T22" s="129">
        <v>20</v>
      </c>
      <c r="U22" s="128">
        <f t="shared" si="1"/>
        <v>70535.5</v>
      </c>
      <c r="V22" s="128">
        <f t="shared" si="1"/>
        <v>65593.20000000001</v>
      </c>
      <c r="W22" s="129">
        <v>33404.3</v>
      </c>
      <c r="X22" s="129">
        <v>29056.7</v>
      </c>
      <c r="Y22" s="128"/>
      <c r="Z22" s="129"/>
      <c r="AA22" s="129"/>
      <c r="AB22" s="129"/>
      <c r="AC22" s="129">
        <v>-300</v>
      </c>
      <c r="AD22" s="129">
        <v>-300</v>
      </c>
      <c r="AE22" s="129">
        <v>-2353.9</v>
      </c>
      <c r="AF22" s="129">
        <v>-44.8</v>
      </c>
      <c r="AG22" s="128"/>
      <c r="AH22" s="129"/>
      <c r="AI22" s="129">
        <v>14605.9</v>
      </c>
      <c r="AJ22" s="129">
        <v>14520.8</v>
      </c>
      <c r="AK22" s="129">
        <v>0</v>
      </c>
      <c r="AL22" s="129"/>
      <c r="AM22" s="128">
        <f t="shared" si="2"/>
        <v>30750.4</v>
      </c>
      <c r="AN22" s="128">
        <f t="shared" si="2"/>
        <v>28711.9</v>
      </c>
      <c r="AP22" s="130"/>
      <c r="AQ22" s="130"/>
      <c r="AR22" s="139"/>
      <c r="AS22" s="135"/>
    </row>
    <row r="23" spans="1:45" ht="18" customHeight="1">
      <c r="A23" s="126">
        <v>13</v>
      </c>
      <c r="B23" s="127" t="s">
        <v>374</v>
      </c>
      <c r="C23" s="128">
        <f t="shared" si="0"/>
        <v>33968.9</v>
      </c>
      <c r="D23" s="128">
        <f t="shared" si="0"/>
        <v>29400.9</v>
      </c>
      <c r="E23" s="129">
        <v>16932.7</v>
      </c>
      <c r="F23" s="134">
        <v>16507.8</v>
      </c>
      <c r="G23" s="129">
        <v>3444.5</v>
      </c>
      <c r="H23" s="134">
        <v>3193.8</v>
      </c>
      <c r="I23" s="129">
        <v>3641.8</v>
      </c>
      <c r="J23" s="129">
        <v>3312.3</v>
      </c>
      <c r="K23" s="129"/>
      <c r="L23" s="129"/>
      <c r="M23" s="129">
        <v>0</v>
      </c>
      <c r="N23" s="129"/>
      <c r="O23" s="129">
        <v>3300</v>
      </c>
      <c r="P23" s="129">
        <v>2000</v>
      </c>
      <c r="Q23" s="129">
        <v>1000</v>
      </c>
      <c r="R23" s="129">
        <v>1000</v>
      </c>
      <c r="S23" s="129">
        <v>310</v>
      </c>
      <c r="T23" s="129"/>
      <c r="U23" s="128">
        <f t="shared" si="1"/>
        <v>28629</v>
      </c>
      <c r="V23" s="128">
        <f t="shared" si="1"/>
        <v>26013.9</v>
      </c>
      <c r="W23" s="129">
        <v>5339.9</v>
      </c>
      <c r="X23" s="129">
        <v>3387</v>
      </c>
      <c r="Y23" s="128"/>
      <c r="Z23" s="129"/>
      <c r="AA23" s="129"/>
      <c r="AB23" s="129"/>
      <c r="AC23" s="129">
        <v>0</v>
      </c>
      <c r="AD23" s="129"/>
      <c r="AE23" s="129"/>
      <c r="AF23" s="129"/>
      <c r="AG23" s="128"/>
      <c r="AH23" s="129"/>
      <c r="AI23" s="129">
        <v>1540</v>
      </c>
      <c r="AJ23" s="129">
        <v>240</v>
      </c>
      <c r="AK23" s="129">
        <v>0</v>
      </c>
      <c r="AL23" s="129"/>
      <c r="AM23" s="128">
        <f t="shared" si="2"/>
        <v>5339.9</v>
      </c>
      <c r="AN23" s="128">
        <f t="shared" si="2"/>
        <v>3387</v>
      </c>
      <c r="AP23" s="130"/>
      <c r="AQ23" s="130"/>
      <c r="AR23" s="139"/>
      <c r="AS23" s="135"/>
    </row>
    <row r="24" spans="1:45" ht="18" customHeight="1">
      <c r="A24" s="126">
        <v>14</v>
      </c>
      <c r="B24" s="127" t="s">
        <v>375</v>
      </c>
      <c r="C24" s="128">
        <f t="shared" si="0"/>
        <v>31835.800000000003</v>
      </c>
      <c r="D24" s="128">
        <f t="shared" si="0"/>
        <v>13199.099999999997</v>
      </c>
      <c r="E24" s="129">
        <v>12418</v>
      </c>
      <c r="F24" s="134">
        <v>11945.6</v>
      </c>
      <c r="G24" s="129">
        <v>2500</v>
      </c>
      <c r="H24" s="134">
        <v>2426.2</v>
      </c>
      <c r="I24" s="129">
        <v>6475.2</v>
      </c>
      <c r="J24" s="129">
        <v>6414.9</v>
      </c>
      <c r="K24" s="129"/>
      <c r="L24" s="129"/>
      <c r="M24" s="129">
        <v>0</v>
      </c>
      <c r="N24" s="129"/>
      <c r="O24" s="129">
        <v>6270</v>
      </c>
      <c r="P24" s="129">
        <v>6000</v>
      </c>
      <c r="Q24" s="129">
        <v>2100</v>
      </c>
      <c r="R24" s="129">
        <v>2100</v>
      </c>
      <c r="S24" s="129">
        <v>22</v>
      </c>
      <c r="T24" s="129">
        <v>22</v>
      </c>
      <c r="U24" s="128">
        <f t="shared" si="1"/>
        <v>29785.2</v>
      </c>
      <c r="V24" s="128">
        <f t="shared" si="1"/>
        <v>28908.699999999997</v>
      </c>
      <c r="W24" s="129">
        <v>18310.2</v>
      </c>
      <c r="X24" s="129">
        <v>550</v>
      </c>
      <c r="Y24" s="128"/>
      <c r="Z24" s="129"/>
      <c r="AA24" s="129"/>
      <c r="AB24" s="129"/>
      <c r="AC24" s="129">
        <v>0</v>
      </c>
      <c r="AD24" s="129"/>
      <c r="AE24" s="129">
        <v>-16259.6</v>
      </c>
      <c r="AF24" s="129">
        <v>-16259.6</v>
      </c>
      <c r="AG24" s="128"/>
      <c r="AH24" s="129"/>
      <c r="AI24" s="129"/>
      <c r="AJ24" s="129"/>
      <c r="AK24" s="129">
        <v>0</v>
      </c>
      <c r="AL24" s="129"/>
      <c r="AM24" s="128">
        <f t="shared" si="2"/>
        <v>2050.6000000000004</v>
      </c>
      <c r="AN24" s="128">
        <f t="shared" si="2"/>
        <v>-15709.6</v>
      </c>
      <c r="AP24" s="130"/>
      <c r="AQ24" s="130"/>
      <c r="AR24" s="138"/>
      <c r="AS24" s="135"/>
    </row>
    <row r="25" spans="1:45" ht="18" customHeight="1">
      <c r="A25" s="126">
        <v>15</v>
      </c>
      <c r="B25" s="127" t="s">
        <v>376</v>
      </c>
      <c r="C25" s="128">
        <f t="shared" si="0"/>
        <v>47859.5</v>
      </c>
      <c r="D25" s="128">
        <f t="shared" si="0"/>
        <v>41678</v>
      </c>
      <c r="E25" s="129">
        <v>26741.5</v>
      </c>
      <c r="F25" s="134">
        <v>26076.5</v>
      </c>
      <c r="G25" s="129">
        <v>5743.8</v>
      </c>
      <c r="H25" s="134">
        <v>5327.8</v>
      </c>
      <c r="I25" s="129">
        <v>8424.3</v>
      </c>
      <c r="J25" s="129">
        <v>6865.9</v>
      </c>
      <c r="K25" s="129"/>
      <c r="L25" s="129"/>
      <c r="M25" s="129">
        <v>0</v>
      </c>
      <c r="N25" s="129"/>
      <c r="O25" s="129">
        <v>0</v>
      </c>
      <c r="P25" s="129"/>
      <c r="Q25" s="129">
        <v>2050</v>
      </c>
      <c r="R25" s="129">
        <v>2010</v>
      </c>
      <c r="S25" s="129">
        <v>1988</v>
      </c>
      <c r="T25" s="129"/>
      <c r="U25" s="128">
        <f t="shared" si="1"/>
        <v>44947.6</v>
      </c>
      <c r="V25" s="128">
        <f t="shared" si="1"/>
        <v>40280.2</v>
      </c>
      <c r="W25" s="129">
        <v>7875</v>
      </c>
      <c r="X25" s="129">
        <v>2040</v>
      </c>
      <c r="Y25" s="128"/>
      <c r="Z25" s="129"/>
      <c r="AA25" s="129"/>
      <c r="AB25" s="129"/>
      <c r="AC25" s="129">
        <v>0</v>
      </c>
      <c r="AD25" s="129"/>
      <c r="AE25" s="129">
        <v>-4963.1</v>
      </c>
      <c r="AF25" s="129">
        <v>-642.2</v>
      </c>
      <c r="AG25" s="128"/>
      <c r="AH25" s="129"/>
      <c r="AI25" s="129">
        <v>300</v>
      </c>
      <c r="AJ25" s="129"/>
      <c r="AK25" s="129">
        <v>0</v>
      </c>
      <c r="AL25" s="129"/>
      <c r="AM25" s="128">
        <f t="shared" si="2"/>
        <v>2911.8999999999996</v>
      </c>
      <c r="AN25" s="128">
        <f t="shared" si="2"/>
        <v>1397.8</v>
      </c>
      <c r="AP25" s="130"/>
      <c r="AQ25" s="130"/>
      <c r="AR25" s="138"/>
      <c r="AS25" s="135"/>
    </row>
    <row r="26" spans="1:45" ht="18" customHeight="1">
      <c r="A26" s="126">
        <v>16</v>
      </c>
      <c r="B26" s="127" t="s">
        <v>377</v>
      </c>
      <c r="C26" s="128">
        <f t="shared" si="0"/>
        <v>58441.4</v>
      </c>
      <c r="D26" s="128">
        <f t="shared" si="0"/>
        <v>47254.4</v>
      </c>
      <c r="E26" s="129">
        <v>22345</v>
      </c>
      <c r="F26" s="134">
        <v>19576.5</v>
      </c>
      <c r="G26" s="129">
        <v>4479</v>
      </c>
      <c r="H26" s="134">
        <v>3897.5</v>
      </c>
      <c r="I26" s="129">
        <v>14900</v>
      </c>
      <c r="J26" s="129">
        <v>7700.9</v>
      </c>
      <c r="K26" s="129"/>
      <c r="L26" s="129"/>
      <c r="M26" s="129">
        <v>0</v>
      </c>
      <c r="N26" s="129"/>
      <c r="O26" s="129">
        <v>0</v>
      </c>
      <c r="P26" s="129"/>
      <c r="Q26" s="129">
        <v>2000</v>
      </c>
      <c r="R26" s="129">
        <v>1990</v>
      </c>
      <c r="S26" s="129">
        <v>35</v>
      </c>
      <c r="T26" s="129">
        <v>35</v>
      </c>
      <c r="U26" s="128">
        <f t="shared" si="1"/>
        <v>43759</v>
      </c>
      <c r="V26" s="128">
        <f t="shared" si="1"/>
        <v>33199.9</v>
      </c>
      <c r="W26" s="129">
        <v>15912.4</v>
      </c>
      <c r="X26" s="129">
        <v>15267.4</v>
      </c>
      <c r="Y26" s="128"/>
      <c r="Z26" s="129"/>
      <c r="AA26" s="129"/>
      <c r="AB26" s="129"/>
      <c r="AC26" s="129">
        <v>0</v>
      </c>
      <c r="AD26" s="129"/>
      <c r="AE26" s="129">
        <v>-1230</v>
      </c>
      <c r="AF26" s="129">
        <v>-1212.9</v>
      </c>
      <c r="AG26" s="128"/>
      <c r="AH26" s="129"/>
      <c r="AI26" s="129">
        <v>7830.1</v>
      </c>
      <c r="AJ26" s="129">
        <v>7215.9</v>
      </c>
      <c r="AK26" s="129">
        <v>0</v>
      </c>
      <c r="AL26" s="129"/>
      <c r="AM26" s="128">
        <f t="shared" si="2"/>
        <v>14682.4</v>
      </c>
      <c r="AN26" s="128">
        <f t="shared" si="2"/>
        <v>14054.5</v>
      </c>
      <c r="AP26" s="130"/>
      <c r="AQ26" s="130"/>
      <c r="AR26" s="138"/>
      <c r="AS26" s="135"/>
    </row>
    <row r="27" spans="1:45" ht="18" customHeight="1">
      <c r="A27" s="126">
        <v>17</v>
      </c>
      <c r="B27" s="127" t="s">
        <v>378</v>
      </c>
      <c r="C27" s="128">
        <f t="shared" si="0"/>
        <v>30298.7</v>
      </c>
      <c r="D27" s="128">
        <f t="shared" si="0"/>
        <v>19385</v>
      </c>
      <c r="E27" s="129">
        <v>10800</v>
      </c>
      <c r="F27" s="134">
        <v>9584.8</v>
      </c>
      <c r="G27" s="129">
        <v>2495</v>
      </c>
      <c r="H27" s="134">
        <v>2473.8</v>
      </c>
      <c r="I27" s="129">
        <v>10670.4</v>
      </c>
      <c r="J27" s="129">
        <v>5906.4</v>
      </c>
      <c r="K27" s="129"/>
      <c r="L27" s="129"/>
      <c r="M27" s="129">
        <v>0</v>
      </c>
      <c r="N27" s="129"/>
      <c r="O27" s="129">
        <v>0</v>
      </c>
      <c r="P27" s="129"/>
      <c r="Q27" s="129">
        <v>1300</v>
      </c>
      <c r="R27" s="129">
        <v>1010</v>
      </c>
      <c r="S27" s="129">
        <v>4278</v>
      </c>
      <c r="T27" s="129"/>
      <c r="U27" s="128">
        <f t="shared" si="1"/>
        <v>29543.4</v>
      </c>
      <c r="V27" s="128">
        <f t="shared" si="1"/>
        <v>18975</v>
      </c>
      <c r="W27" s="129">
        <v>755.3</v>
      </c>
      <c r="X27" s="129">
        <v>410</v>
      </c>
      <c r="Y27" s="128"/>
      <c r="Z27" s="129"/>
      <c r="AA27" s="129"/>
      <c r="AB27" s="129"/>
      <c r="AC27" s="129">
        <v>0</v>
      </c>
      <c r="AD27" s="129"/>
      <c r="AE27" s="129"/>
      <c r="AF27" s="129"/>
      <c r="AG27" s="128"/>
      <c r="AH27" s="129"/>
      <c r="AI27" s="129"/>
      <c r="AJ27" s="129"/>
      <c r="AK27" s="129">
        <v>0</v>
      </c>
      <c r="AL27" s="129"/>
      <c r="AM27" s="128">
        <f t="shared" si="2"/>
        <v>755.3</v>
      </c>
      <c r="AN27" s="128">
        <f t="shared" si="2"/>
        <v>410</v>
      </c>
      <c r="AP27" s="130"/>
      <c r="AQ27" s="130"/>
      <c r="AR27" s="138"/>
      <c r="AS27" s="135"/>
    </row>
    <row r="28" spans="1:45" ht="18" customHeight="1">
      <c r="A28" s="126">
        <v>18</v>
      </c>
      <c r="B28" s="127" t="s">
        <v>379</v>
      </c>
      <c r="C28" s="128">
        <f t="shared" si="0"/>
        <v>17795.4</v>
      </c>
      <c r="D28" s="128">
        <f t="shared" si="0"/>
        <v>16347.800000000001</v>
      </c>
      <c r="E28" s="129">
        <v>8318</v>
      </c>
      <c r="F28" s="129">
        <v>8208.9</v>
      </c>
      <c r="G28" s="129">
        <v>1816.3</v>
      </c>
      <c r="H28" s="129">
        <v>1665</v>
      </c>
      <c r="I28" s="129">
        <v>2763</v>
      </c>
      <c r="J28" s="129">
        <v>2254.3</v>
      </c>
      <c r="K28" s="129"/>
      <c r="L28" s="129"/>
      <c r="M28" s="129">
        <v>0</v>
      </c>
      <c r="N28" s="129"/>
      <c r="O28" s="129">
        <v>900</v>
      </c>
      <c r="P28" s="129">
        <v>600</v>
      </c>
      <c r="Q28" s="129">
        <v>1200</v>
      </c>
      <c r="R28" s="129">
        <v>824.9</v>
      </c>
      <c r="S28" s="129">
        <v>0</v>
      </c>
      <c r="T28" s="129"/>
      <c r="U28" s="128">
        <f t="shared" si="1"/>
        <v>14997.3</v>
      </c>
      <c r="V28" s="128">
        <f t="shared" si="1"/>
        <v>13553.1</v>
      </c>
      <c r="W28" s="129">
        <v>3179.8</v>
      </c>
      <c r="X28" s="129">
        <v>3176.4</v>
      </c>
      <c r="Y28" s="128"/>
      <c r="Z28" s="129"/>
      <c r="AA28" s="129"/>
      <c r="AB28" s="129"/>
      <c r="AC28" s="129">
        <v>-304.7</v>
      </c>
      <c r="AD28" s="129">
        <v>-304.7</v>
      </c>
      <c r="AE28" s="129">
        <v>-77</v>
      </c>
      <c r="AF28" s="129">
        <v>-77</v>
      </c>
      <c r="AG28" s="128"/>
      <c r="AH28" s="129"/>
      <c r="AI28" s="129"/>
      <c r="AJ28" s="129"/>
      <c r="AK28" s="129">
        <v>0</v>
      </c>
      <c r="AL28" s="129"/>
      <c r="AM28" s="128">
        <f t="shared" si="2"/>
        <v>2798.1000000000004</v>
      </c>
      <c r="AN28" s="128">
        <f t="shared" si="2"/>
        <v>2794.7000000000003</v>
      </c>
      <c r="AP28" s="130"/>
      <c r="AQ28" s="130"/>
      <c r="AR28" s="138"/>
      <c r="AS28" s="135"/>
    </row>
    <row r="29" spans="1:45" ht="18" customHeight="1">
      <c r="A29" s="126">
        <v>19</v>
      </c>
      <c r="B29" s="127" t="s">
        <v>380</v>
      </c>
      <c r="C29" s="128">
        <f t="shared" si="0"/>
        <v>27631.199999999997</v>
      </c>
      <c r="D29" s="128">
        <f t="shared" si="0"/>
        <v>27205.1</v>
      </c>
      <c r="E29" s="129">
        <v>11735</v>
      </c>
      <c r="F29" s="134">
        <v>11711.6</v>
      </c>
      <c r="G29" s="129">
        <v>2586.1</v>
      </c>
      <c r="H29" s="134">
        <v>2398.3</v>
      </c>
      <c r="I29" s="129">
        <v>3984</v>
      </c>
      <c r="J29" s="129">
        <v>3837.5</v>
      </c>
      <c r="K29" s="129"/>
      <c r="L29" s="129"/>
      <c r="M29" s="129">
        <v>0</v>
      </c>
      <c r="N29" s="129"/>
      <c r="O29" s="129">
        <v>0</v>
      </c>
      <c r="P29" s="129"/>
      <c r="Q29" s="129">
        <v>3410</v>
      </c>
      <c r="R29" s="129">
        <v>3400</v>
      </c>
      <c r="S29" s="129">
        <v>70</v>
      </c>
      <c r="T29" s="129">
        <v>14.8</v>
      </c>
      <c r="U29" s="128">
        <f t="shared" si="1"/>
        <v>21785.1</v>
      </c>
      <c r="V29" s="128">
        <f t="shared" si="1"/>
        <v>21362.2</v>
      </c>
      <c r="W29" s="129">
        <v>5846.1</v>
      </c>
      <c r="X29" s="129">
        <v>5842.9</v>
      </c>
      <c r="Y29" s="128"/>
      <c r="Z29" s="129"/>
      <c r="AA29" s="129"/>
      <c r="AB29" s="129"/>
      <c r="AC29" s="129">
        <v>0</v>
      </c>
      <c r="AD29" s="129"/>
      <c r="AE29" s="129"/>
      <c r="AF29" s="129"/>
      <c r="AG29" s="128"/>
      <c r="AH29" s="129"/>
      <c r="AI29" s="129"/>
      <c r="AJ29" s="129"/>
      <c r="AK29" s="129">
        <v>0</v>
      </c>
      <c r="AL29" s="129"/>
      <c r="AM29" s="128">
        <f t="shared" si="2"/>
        <v>5846.1</v>
      </c>
      <c r="AN29" s="128">
        <f t="shared" si="2"/>
        <v>5842.9</v>
      </c>
      <c r="AP29" s="130"/>
      <c r="AQ29" s="130"/>
      <c r="AR29" s="138"/>
      <c r="AS29" s="135"/>
    </row>
    <row r="30" spans="1:45" ht="18" customHeight="1">
      <c r="A30" s="126">
        <v>20</v>
      </c>
      <c r="B30" s="127" t="s">
        <v>381</v>
      </c>
      <c r="C30" s="128">
        <f t="shared" si="0"/>
        <v>7629.700000000001</v>
      </c>
      <c r="D30" s="128">
        <f t="shared" si="0"/>
        <v>6873.8</v>
      </c>
      <c r="E30" s="129">
        <v>5050</v>
      </c>
      <c r="F30" s="134">
        <v>4919.6</v>
      </c>
      <c r="G30" s="129">
        <v>1100</v>
      </c>
      <c r="H30" s="134">
        <v>1001.2</v>
      </c>
      <c r="I30" s="129">
        <v>812.1</v>
      </c>
      <c r="J30" s="129">
        <v>383</v>
      </c>
      <c r="K30" s="129"/>
      <c r="L30" s="129"/>
      <c r="M30" s="129">
        <v>0</v>
      </c>
      <c r="N30" s="129"/>
      <c r="O30" s="129">
        <v>0</v>
      </c>
      <c r="P30" s="129"/>
      <c r="Q30" s="129">
        <v>0</v>
      </c>
      <c r="R30" s="129"/>
      <c r="S30" s="129">
        <v>0</v>
      </c>
      <c r="T30" s="129"/>
      <c r="U30" s="128">
        <f t="shared" si="1"/>
        <v>6962.1</v>
      </c>
      <c r="V30" s="128">
        <f t="shared" si="1"/>
        <v>6303.8</v>
      </c>
      <c r="W30" s="129">
        <v>667.6</v>
      </c>
      <c r="X30" s="129">
        <v>570</v>
      </c>
      <c r="Y30" s="128"/>
      <c r="Z30" s="129"/>
      <c r="AA30" s="129"/>
      <c r="AB30" s="129"/>
      <c r="AC30" s="129">
        <v>0</v>
      </c>
      <c r="AD30" s="129"/>
      <c r="AE30" s="129"/>
      <c r="AF30" s="129"/>
      <c r="AG30" s="128"/>
      <c r="AH30" s="129"/>
      <c r="AI30" s="129">
        <v>600</v>
      </c>
      <c r="AJ30" s="129">
        <v>503</v>
      </c>
      <c r="AK30" s="129">
        <v>0</v>
      </c>
      <c r="AL30" s="129"/>
      <c r="AM30" s="128">
        <f t="shared" si="2"/>
        <v>667.6</v>
      </c>
      <c r="AN30" s="128">
        <f t="shared" si="2"/>
        <v>570</v>
      </c>
      <c r="AP30" s="130"/>
      <c r="AQ30" s="130"/>
      <c r="AR30" s="138"/>
      <c r="AS30" s="135"/>
    </row>
    <row r="31" spans="1:45" ht="18" customHeight="1">
      <c r="A31" s="126">
        <v>21</v>
      </c>
      <c r="B31" s="127" t="s">
        <v>382</v>
      </c>
      <c r="C31" s="128">
        <f t="shared" si="0"/>
        <v>20153.300000000003</v>
      </c>
      <c r="D31" s="128">
        <f t="shared" si="0"/>
        <v>15749.8</v>
      </c>
      <c r="E31" s="129">
        <v>7725</v>
      </c>
      <c r="F31" s="134">
        <v>7724.8</v>
      </c>
      <c r="G31" s="129">
        <v>1629.6</v>
      </c>
      <c r="H31" s="134">
        <v>1363.3</v>
      </c>
      <c r="I31" s="129">
        <v>5204.8</v>
      </c>
      <c r="J31" s="129">
        <v>3800.2</v>
      </c>
      <c r="K31" s="129"/>
      <c r="L31" s="129"/>
      <c r="M31" s="129">
        <v>0</v>
      </c>
      <c r="N31" s="129"/>
      <c r="O31" s="129">
        <v>0</v>
      </c>
      <c r="P31" s="129"/>
      <c r="Q31" s="129">
        <v>2000</v>
      </c>
      <c r="R31" s="129">
        <v>2000</v>
      </c>
      <c r="S31" s="129">
        <v>1650</v>
      </c>
      <c r="T31" s="129">
        <v>2.5</v>
      </c>
      <c r="U31" s="128">
        <f t="shared" si="1"/>
        <v>18209.4</v>
      </c>
      <c r="V31" s="128">
        <f t="shared" si="1"/>
        <v>14890.8</v>
      </c>
      <c r="W31" s="129">
        <v>1943.9</v>
      </c>
      <c r="X31" s="129">
        <v>859</v>
      </c>
      <c r="Y31" s="128"/>
      <c r="Z31" s="129"/>
      <c r="AA31" s="129"/>
      <c r="AB31" s="129"/>
      <c r="AC31" s="129">
        <v>0</v>
      </c>
      <c r="AD31" s="129"/>
      <c r="AE31" s="129"/>
      <c r="AF31" s="129"/>
      <c r="AG31" s="128"/>
      <c r="AH31" s="129"/>
      <c r="AI31" s="129"/>
      <c r="AJ31" s="129"/>
      <c r="AK31" s="129">
        <v>0</v>
      </c>
      <c r="AL31" s="129"/>
      <c r="AM31" s="128">
        <f t="shared" si="2"/>
        <v>1943.9</v>
      </c>
      <c r="AN31" s="128">
        <f t="shared" si="2"/>
        <v>859</v>
      </c>
      <c r="AP31" s="130"/>
      <c r="AQ31" s="130"/>
      <c r="AR31" s="138"/>
      <c r="AS31" s="135"/>
    </row>
    <row r="32" spans="1:45" ht="18" customHeight="1">
      <c r="A32" s="126">
        <v>22</v>
      </c>
      <c r="B32" s="127" t="s">
        <v>383</v>
      </c>
      <c r="C32" s="128">
        <f t="shared" si="0"/>
        <v>47581.299999999996</v>
      </c>
      <c r="D32" s="128">
        <f t="shared" si="0"/>
        <v>35676</v>
      </c>
      <c r="E32" s="129">
        <v>15574.9</v>
      </c>
      <c r="F32" s="134">
        <v>15573.3</v>
      </c>
      <c r="G32" s="129">
        <v>3270.6</v>
      </c>
      <c r="H32" s="134">
        <v>3116.7</v>
      </c>
      <c r="I32" s="129">
        <v>11288.8</v>
      </c>
      <c r="J32" s="129">
        <v>7474.5</v>
      </c>
      <c r="K32" s="129"/>
      <c r="L32" s="129"/>
      <c r="M32" s="129">
        <v>0</v>
      </c>
      <c r="N32" s="129"/>
      <c r="O32" s="129">
        <v>7444.8</v>
      </c>
      <c r="P32" s="129">
        <v>7444.8</v>
      </c>
      <c r="Q32" s="129">
        <v>2480</v>
      </c>
      <c r="R32" s="129">
        <v>2480</v>
      </c>
      <c r="S32" s="129">
        <v>0</v>
      </c>
      <c r="T32" s="129"/>
      <c r="U32" s="128">
        <f t="shared" si="1"/>
        <v>40059.1</v>
      </c>
      <c r="V32" s="128">
        <f t="shared" si="1"/>
        <v>36089.3</v>
      </c>
      <c r="W32" s="129">
        <v>7522.2</v>
      </c>
      <c r="X32" s="129">
        <v>300</v>
      </c>
      <c r="Y32" s="128"/>
      <c r="Z32" s="129"/>
      <c r="AA32" s="129"/>
      <c r="AB32" s="129"/>
      <c r="AC32" s="129">
        <v>0</v>
      </c>
      <c r="AD32" s="129"/>
      <c r="AE32" s="129"/>
      <c r="AF32" s="129">
        <v>-713.3</v>
      </c>
      <c r="AG32" s="128"/>
      <c r="AH32" s="129"/>
      <c r="AI32" s="129"/>
      <c r="AJ32" s="129"/>
      <c r="AK32" s="129">
        <v>0</v>
      </c>
      <c r="AL32" s="129"/>
      <c r="AM32" s="128">
        <f t="shared" si="2"/>
        <v>7522.2</v>
      </c>
      <c r="AN32" s="128">
        <f t="shared" si="2"/>
        <v>-413.29999999999995</v>
      </c>
      <c r="AP32" s="130"/>
      <c r="AQ32" s="130"/>
      <c r="AR32" s="138"/>
      <c r="AS32" s="135"/>
    </row>
    <row r="33" spans="1:45" ht="18" customHeight="1">
      <c r="A33" s="126">
        <v>23</v>
      </c>
      <c r="B33" s="127" t="s">
        <v>384</v>
      </c>
      <c r="C33" s="128">
        <f t="shared" si="0"/>
        <v>27232.5</v>
      </c>
      <c r="D33" s="128">
        <f t="shared" si="0"/>
        <v>25666.500000000004</v>
      </c>
      <c r="E33" s="129">
        <v>10805</v>
      </c>
      <c r="F33" s="129">
        <v>10767.6</v>
      </c>
      <c r="G33" s="129">
        <v>2570</v>
      </c>
      <c r="H33" s="129">
        <v>2342</v>
      </c>
      <c r="I33" s="129">
        <v>6448</v>
      </c>
      <c r="J33" s="129">
        <v>5709.2</v>
      </c>
      <c r="K33" s="129"/>
      <c r="L33" s="129"/>
      <c r="M33" s="129">
        <v>0</v>
      </c>
      <c r="N33" s="129"/>
      <c r="O33" s="129">
        <v>560</v>
      </c>
      <c r="P33" s="129">
        <v>530</v>
      </c>
      <c r="Q33" s="129">
        <v>1400</v>
      </c>
      <c r="R33" s="129">
        <v>1400</v>
      </c>
      <c r="S33" s="129">
        <v>17</v>
      </c>
      <c r="T33" s="129"/>
      <c r="U33" s="128">
        <f t="shared" si="1"/>
        <v>21800</v>
      </c>
      <c r="V33" s="128">
        <f t="shared" si="1"/>
        <v>20748.800000000003</v>
      </c>
      <c r="W33" s="129">
        <v>5432.5</v>
      </c>
      <c r="X33" s="129">
        <v>4917.7</v>
      </c>
      <c r="Y33" s="128"/>
      <c r="Z33" s="129"/>
      <c r="AA33" s="129"/>
      <c r="AB33" s="129"/>
      <c r="AC33" s="129">
        <v>0</v>
      </c>
      <c r="AD33" s="129"/>
      <c r="AE33" s="129"/>
      <c r="AF33" s="129"/>
      <c r="AG33" s="128"/>
      <c r="AH33" s="129"/>
      <c r="AI33" s="129">
        <v>4700</v>
      </c>
      <c r="AJ33" s="129">
        <v>4185.2</v>
      </c>
      <c r="AK33" s="129">
        <v>0</v>
      </c>
      <c r="AL33" s="129"/>
      <c r="AM33" s="128">
        <f t="shared" si="2"/>
        <v>5432.5</v>
      </c>
      <c r="AN33" s="128">
        <f t="shared" si="2"/>
        <v>4917.7</v>
      </c>
      <c r="AP33" s="130"/>
      <c r="AQ33" s="130"/>
      <c r="AR33" s="138"/>
      <c r="AS33" s="135"/>
    </row>
    <row r="34" spans="1:45" ht="18" customHeight="1">
      <c r="A34" s="126">
        <v>24</v>
      </c>
      <c r="B34" s="127" t="s">
        <v>385</v>
      </c>
      <c r="C34" s="128">
        <f t="shared" si="0"/>
        <v>20287.100000000002</v>
      </c>
      <c r="D34" s="128">
        <f t="shared" si="0"/>
        <v>6680.600000000002</v>
      </c>
      <c r="E34" s="129">
        <v>9488</v>
      </c>
      <c r="F34" s="134">
        <v>9071.6</v>
      </c>
      <c r="G34" s="129">
        <v>1989.2</v>
      </c>
      <c r="H34" s="134">
        <v>1852.6</v>
      </c>
      <c r="I34" s="129">
        <v>4820</v>
      </c>
      <c r="J34" s="129">
        <v>4588</v>
      </c>
      <c r="K34" s="129"/>
      <c r="L34" s="129"/>
      <c r="M34" s="129">
        <v>0</v>
      </c>
      <c r="N34" s="129"/>
      <c r="O34" s="129">
        <v>1000</v>
      </c>
      <c r="P34" s="129">
        <v>1000</v>
      </c>
      <c r="Q34" s="129">
        <v>2255</v>
      </c>
      <c r="R34" s="129">
        <v>2255</v>
      </c>
      <c r="S34" s="129">
        <v>0</v>
      </c>
      <c r="T34" s="129"/>
      <c r="U34" s="128">
        <f t="shared" si="1"/>
        <v>19552.2</v>
      </c>
      <c r="V34" s="128">
        <f t="shared" si="1"/>
        <v>18767.2</v>
      </c>
      <c r="W34" s="129">
        <v>20260.2</v>
      </c>
      <c r="X34" s="129">
        <v>7438.7</v>
      </c>
      <c r="Y34" s="128"/>
      <c r="Z34" s="129"/>
      <c r="AA34" s="129"/>
      <c r="AB34" s="129"/>
      <c r="AC34" s="129">
        <v>-4213.3</v>
      </c>
      <c r="AD34" s="129">
        <v>-4213.3</v>
      </c>
      <c r="AE34" s="129">
        <v>-15312</v>
      </c>
      <c r="AF34" s="129">
        <v>-15312</v>
      </c>
      <c r="AG34" s="128"/>
      <c r="AH34" s="129"/>
      <c r="AI34" s="129"/>
      <c r="AJ34" s="129"/>
      <c r="AK34" s="129">
        <v>0</v>
      </c>
      <c r="AL34" s="129"/>
      <c r="AM34" s="128">
        <f t="shared" si="2"/>
        <v>734.9000000000015</v>
      </c>
      <c r="AN34" s="128">
        <f t="shared" si="2"/>
        <v>-12086.599999999999</v>
      </c>
      <c r="AP34" s="130"/>
      <c r="AQ34" s="130"/>
      <c r="AR34" s="138"/>
      <c r="AS34" s="135"/>
    </row>
    <row r="35" spans="1:45" ht="18" customHeight="1">
      <c r="A35" s="126">
        <v>25</v>
      </c>
      <c r="B35" s="127" t="s">
        <v>386</v>
      </c>
      <c r="C35" s="128">
        <f t="shared" si="0"/>
        <v>19456.8</v>
      </c>
      <c r="D35" s="128">
        <f t="shared" si="0"/>
        <v>18985.3</v>
      </c>
      <c r="E35" s="129">
        <v>8550</v>
      </c>
      <c r="F35" s="134">
        <v>8353.4</v>
      </c>
      <c r="G35" s="129">
        <v>1800</v>
      </c>
      <c r="H35" s="134">
        <v>1700</v>
      </c>
      <c r="I35" s="129">
        <v>5449.1</v>
      </c>
      <c r="J35" s="129">
        <v>5285</v>
      </c>
      <c r="K35" s="129"/>
      <c r="L35" s="129"/>
      <c r="M35" s="129">
        <v>0</v>
      </c>
      <c r="N35" s="129"/>
      <c r="O35" s="129">
        <v>1800</v>
      </c>
      <c r="P35" s="129">
        <v>1800</v>
      </c>
      <c r="Q35" s="129">
        <v>700</v>
      </c>
      <c r="R35" s="129">
        <v>700</v>
      </c>
      <c r="S35" s="129">
        <v>14</v>
      </c>
      <c r="T35" s="129">
        <v>13.1</v>
      </c>
      <c r="U35" s="128">
        <f t="shared" si="1"/>
        <v>18313.1</v>
      </c>
      <c r="V35" s="128">
        <f t="shared" si="1"/>
        <v>17851.5</v>
      </c>
      <c r="W35" s="129">
        <v>1943.7</v>
      </c>
      <c r="X35" s="129">
        <v>1265</v>
      </c>
      <c r="Y35" s="128"/>
      <c r="Z35" s="129"/>
      <c r="AA35" s="129"/>
      <c r="AB35" s="129"/>
      <c r="AC35" s="129">
        <v>0</v>
      </c>
      <c r="AD35" s="129"/>
      <c r="AE35" s="129">
        <v>-800</v>
      </c>
      <c r="AF35" s="129">
        <v>-131.2</v>
      </c>
      <c r="AG35" s="128"/>
      <c r="AH35" s="129"/>
      <c r="AI35" s="129">
        <v>1000</v>
      </c>
      <c r="AJ35" s="129">
        <v>990</v>
      </c>
      <c r="AK35" s="129">
        <v>0</v>
      </c>
      <c r="AL35" s="129"/>
      <c r="AM35" s="128">
        <f t="shared" si="2"/>
        <v>1143.7</v>
      </c>
      <c r="AN35" s="128">
        <f t="shared" si="2"/>
        <v>1133.8</v>
      </c>
      <c r="AP35" s="130"/>
      <c r="AQ35" s="130"/>
      <c r="AR35" s="138"/>
      <c r="AS35" s="135"/>
    </row>
    <row r="36" spans="1:45" ht="18" customHeight="1">
      <c r="A36" s="126">
        <v>26</v>
      </c>
      <c r="B36" s="127" t="s">
        <v>387</v>
      </c>
      <c r="C36" s="128">
        <f t="shared" si="0"/>
        <v>49375.100000000006</v>
      </c>
      <c r="D36" s="128">
        <f t="shared" si="0"/>
        <v>47470.4</v>
      </c>
      <c r="E36" s="129">
        <v>19080</v>
      </c>
      <c r="F36" s="134">
        <v>19030</v>
      </c>
      <c r="G36" s="129">
        <v>3875</v>
      </c>
      <c r="H36" s="134">
        <v>3449.5</v>
      </c>
      <c r="I36" s="129">
        <v>9150.3</v>
      </c>
      <c r="J36" s="129">
        <v>8414</v>
      </c>
      <c r="K36" s="129"/>
      <c r="L36" s="129"/>
      <c r="M36" s="129">
        <v>0</v>
      </c>
      <c r="N36" s="129"/>
      <c r="O36" s="129">
        <v>4300</v>
      </c>
      <c r="P36" s="129">
        <v>4300</v>
      </c>
      <c r="Q36" s="129">
        <v>4791</v>
      </c>
      <c r="R36" s="129">
        <v>4700</v>
      </c>
      <c r="S36" s="129">
        <v>371.5</v>
      </c>
      <c r="T36" s="129">
        <v>300</v>
      </c>
      <c r="U36" s="128">
        <f t="shared" si="1"/>
        <v>41567.8</v>
      </c>
      <c r="V36" s="128">
        <f t="shared" si="1"/>
        <v>40193.5</v>
      </c>
      <c r="W36" s="129">
        <v>0</v>
      </c>
      <c r="X36" s="129"/>
      <c r="Y36" s="140">
        <v>7807.3</v>
      </c>
      <c r="Z36" s="129">
        <v>7807.3</v>
      </c>
      <c r="AA36" s="129"/>
      <c r="AB36" s="129"/>
      <c r="AC36" s="129">
        <v>0</v>
      </c>
      <c r="AD36" s="129"/>
      <c r="AE36" s="129"/>
      <c r="AF36" s="129">
        <v>-530.4</v>
      </c>
      <c r="AG36" s="128"/>
      <c r="AH36" s="129"/>
      <c r="AI36" s="129"/>
      <c r="AJ36" s="129"/>
      <c r="AK36" s="129">
        <v>0</v>
      </c>
      <c r="AL36" s="129"/>
      <c r="AM36" s="128">
        <f t="shared" si="2"/>
        <v>7807.3</v>
      </c>
      <c r="AN36" s="128">
        <f t="shared" si="2"/>
        <v>7276.900000000001</v>
      </c>
      <c r="AP36" s="130"/>
      <c r="AQ36" s="130"/>
      <c r="AR36" s="138"/>
      <c r="AS36" s="135"/>
    </row>
    <row r="37" spans="1:45" ht="18" customHeight="1">
      <c r="A37" s="126">
        <v>27</v>
      </c>
      <c r="B37" s="127" t="s">
        <v>388</v>
      </c>
      <c r="C37" s="128">
        <f t="shared" si="0"/>
        <v>21816.9</v>
      </c>
      <c r="D37" s="128">
        <f t="shared" si="0"/>
        <v>20769.800000000003</v>
      </c>
      <c r="E37" s="129">
        <v>9136</v>
      </c>
      <c r="F37" s="134">
        <v>9100</v>
      </c>
      <c r="G37" s="129">
        <v>1916.2</v>
      </c>
      <c r="H37" s="134">
        <v>1915.8</v>
      </c>
      <c r="I37" s="129">
        <v>5706.6</v>
      </c>
      <c r="J37" s="129">
        <v>5706.6</v>
      </c>
      <c r="K37" s="129"/>
      <c r="L37" s="129"/>
      <c r="M37" s="129">
        <v>0</v>
      </c>
      <c r="N37" s="129"/>
      <c r="O37" s="129">
        <v>0</v>
      </c>
      <c r="P37" s="129"/>
      <c r="Q37" s="129">
        <v>2259</v>
      </c>
      <c r="R37" s="129">
        <v>2259</v>
      </c>
      <c r="S37" s="129">
        <v>50</v>
      </c>
      <c r="T37" s="129"/>
      <c r="U37" s="128">
        <f t="shared" si="1"/>
        <v>19067.800000000003</v>
      </c>
      <c r="V37" s="128">
        <f t="shared" si="1"/>
        <v>18981.4</v>
      </c>
      <c r="W37" s="129">
        <v>2749.1</v>
      </c>
      <c r="X37" s="129">
        <v>2529.1</v>
      </c>
      <c r="Y37" s="141"/>
      <c r="Z37" s="129"/>
      <c r="AA37" s="129"/>
      <c r="AB37" s="129"/>
      <c r="AC37" s="129">
        <v>0</v>
      </c>
      <c r="AD37" s="129"/>
      <c r="AE37" s="129"/>
      <c r="AF37" s="129">
        <v>-740.7</v>
      </c>
      <c r="AG37" s="128"/>
      <c r="AH37" s="129"/>
      <c r="AI37" s="129">
        <v>2000</v>
      </c>
      <c r="AJ37" s="129">
        <v>1080</v>
      </c>
      <c r="AK37" s="129">
        <v>0</v>
      </c>
      <c r="AL37" s="129"/>
      <c r="AM37" s="128">
        <f t="shared" si="2"/>
        <v>2749.1</v>
      </c>
      <c r="AN37" s="128">
        <f t="shared" si="2"/>
        <v>1788.3999999999999</v>
      </c>
      <c r="AP37" s="130"/>
      <c r="AQ37" s="130"/>
      <c r="AR37" s="138"/>
      <c r="AS37" s="135"/>
    </row>
    <row r="38" spans="1:45" ht="18" customHeight="1">
      <c r="A38" s="126">
        <v>28</v>
      </c>
      <c r="B38" s="127" t="s">
        <v>389</v>
      </c>
      <c r="C38" s="128">
        <f t="shared" si="0"/>
        <v>21529.9</v>
      </c>
      <c r="D38" s="128">
        <f t="shared" si="0"/>
        <v>18793.7</v>
      </c>
      <c r="E38" s="129">
        <v>8582</v>
      </c>
      <c r="F38" s="134">
        <v>7145.6</v>
      </c>
      <c r="G38" s="129">
        <v>1816</v>
      </c>
      <c r="H38" s="134">
        <v>1816</v>
      </c>
      <c r="I38" s="129">
        <v>5805</v>
      </c>
      <c r="J38" s="129">
        <v>4612.1</v>
      </c>
      <c r="K38" s="129"/>
      <c r="L38" s="129"/>
      <c r="M38" s="129">
        <v>0</v>
      </c>
      <c r="N38" s="129"/>
      <c r="O38" s="129">
        <v>1800</v>
      </c>
      <c r="P38" s="129">
        <v>1800</v>
      </c>
      <c r="Q38" s="129">
        <v>2460</v>
      </c>
      <c r="R38" s="129">
        <v>2460</v>
      </c>
      <c r="S38" s="129">
        <v>0</v>
      </c>
      <c r="T38" s="129"/>
      <c r="U38" s="128">
        <f t="shared" si="1"/>
        <v>20463</v>
      </c>
      <c r="V38" s="128">
        <f t="shared" si="1"/>
        <v>17833.7</v>
      </c>
      <c r="W38" s="129">
        <v>4776.2</v>
      </c>
      <c r="X38" s="129">
        <v>770</v>
      </c>
      <c r="Y38" s="140">
        <v>190.7</v>
      </c>
      <c r="Z38" s="129">
        <v>190</v>
      </c>
      <c r="AA38" s="129"/>
      <c r="AB38" s="129"/>
      <c r="AC38" s="129">
        <v>0</v>
      </c>
      <c r="AD38" s="129"/>
      <c r="AE38" s="129">
        <v>-3900</v>
      </c>
      <c r="AF38" s="129"/>
      <c r="AG38" s="128"/>
      <c r="AH38" s="129"/>
      <c r="AI38" s="129">
        <v>876.2</v>
      </c>
      <c r="AJ38" s="129">
        <v>876.2</v>
      </c>
      <c r="AK38" s="129">
        <v>0</v>
      </c>
      <c r="AL38" s="129"/>
      <c r="AM38" s="128">
        <f t="shared" si="2"/>
        <v>1066.8999999999996</v>
      </c>
      <c r="AN38" s="128">
        <f t="shared" si="2"/>
        <v>960</v>
      </c>
      <c r="AP38" s="130"/>
      <c r="AQ38" s="130"/>
      <c r="AR38" s="138"/>
      <c r="AS38" s="135"/>
    </row>
    <row r="39" spans="1:45" ht="18" customHeight="1">
      <c r="A39" s="126">
        <v>29</v>
      </c>
      <c r="B39" s="127" t="s">
        <v>390</v>
      </c>
      <c r="C39" s="128">
        <f t="shared" si="0"/>
        <v>23790.7</v>
      </c>
      <c r="D39" s="128">
        <f t="shared" si="0"/>
        <v>22977.2</v>
      </c>
      <c r="E39" s="129">
        <v>11164.5</v>
      </c>
      <c r="F39" s="134">
        <v>10906.3</v>
      </c>
      <c r="G39" s="129">
        <v>2063.1</v>
      </c>
      <c r="H39" s="134">
        <v>2053.7</v>
      </c>
      <c r="I39" s="129">
        <v>6286</v>
      </c>
      <c r="J39" s="129">
        <v>6096.4</v>
      </c>
      <c r="K39" s="129"/>
      <c r="L39" s="129"/>
      <c r="M39" s="129">
        <v>0</v>
      </c>
      <c r="N39" s="129"/>
      <c r="O39" s="129">
        <v>1949.1</v>
      </c>
      <c r="P39" s="129">
        <v>1792.8</v>
      </c>
      <c r="Q39" s="129">
        <v>1500</v>
      </c>
      <c r="R39" s="129">
        <v>1500</v>
      </c>
      <c r="S39" s="129">
        <v>0</v>
      </c>
      <c r="T39" s="129"/>
      <c r="U39" s="128">
        <f t="shared" si="1"/>
        <v>22962.7</v>
      </c>
      <c r="V39" s="128">
        <f t="shared" si="1"/>
        <v>22349.2</v>
      </c>
      <c r="W39" s="129">
        <v>828</v>
      </c>
      <c r="X39" s="129">
        <v>628</v>
      </c>
      <c r="Y39" s="141"/>
      <c r="Z39" s="129"/>
      <c r="AA39" s="129"/>
      <c r="AB39" s="129"/>
      <c r="AC39" s="129">
        <v>0</v>
      </c>
      <c r="AD39" s="129"/>
      <c r="AE39" s="129"/>
      <c r="AF39" s="129"/>
      <c r="AG39" s="128"/>
      <c r="AH39" s="129"/>
      <c r="AI39" s="129"/>
      <c r="AJ39" s="129"/>
      <c r="AK39" s="129">
        <v>0</v>
      </c>
      <c r="AL39" s="129"/>
      <c r="AM39" s="128">
        <f t="shared" si="2"/>
        <v>828</v>
      </c>
      <c r="AN39" s="128">
        <f t="shared" si="2"/>
        <v>628</v>
      </c>
      <c r="AP39" s="130"/>
      <c r="AQ39" s="130"/>
      <c r="AR39" s="138"/>
      <c r="AS39" s="135"/>
    </row>
    <row r="40" spans="1:45" ht="18" customHeight="1">
      <c r="A40" s="126">
        <v>30</v>
      </c>
      <c r="B40" s="127" t="s">
        <v>391</v>
      </c>
      <c r="C40" s="128">
        <f t="shared" si="0"/>
        <v>55333.5</v>
      </c>
      <c r="D40" s="128">
        <f t="shared" si="0"/>
        <v>42521.99999999999</v>
      </c>
      <c r="E40" s="129">
        <v>31850</v>
      </c>
      <c r="F40" s="129">
        <v>30454.6</v>
      </c>
      <c r="G40" s="129">
        <v>6350</v>
      </c>
      <c r="H40" s="129">
        <v>5836.5</v>
      </c>
      <c r="I40" s="129">
        <v>8669</v>
      </c>
      <c r="J40" s="129">
        <v>3850.8</v>
      </c>
      <c r="K40" s="129"/>
      <c r="L40" s="129"/>
      <c r="M40" s="129">
        <v>0</v>
      </c>
      <c r="N40" s="129"/>
      <c r="O40" s="129">
        <v>0</v>
      </c>
      <c r="P40" s="129"/>
      <c r="Q40" s="129">
        <v>2000</v>
      </c>
      <c r="R40" s="129">
        <v>2000</v>
      </c>
      <c r="S40" s="129">
        <v>1500</v>
      </c>
      <c r="T40" s="129"/>
      <c r="U40" s="128">
        <f t="shared" si="1"/>
        <v>50369</v>
      </c>
      <c r="V40" s="128">
        <f t="shared" si="1"/>
        <v>42141.899999999994</v>
      </c>
      <c r="W40" s="129">
        <v>12467.6</v>
      </c>
      <c r="X40" s="129">
        <v>8083.6</v>
      </c>
      <c r="Y40" s="140">
        <v>980</v>
      </c>
      <c r="Z40" s="129">
        <v>980</v>
      </c>
      <c r="AA40" s="129"/>
      <c r="AB40" s="129"/>
      <c r="AC40" s="129">
        <v>-1410.2</v>
      </c>
      <c r="AD40" s="129">
        <v>-1410.2</v>
      </c>
      <c r="AE40" s="129">
        <v>-7072.9</v>
      </c>
      <c r="AF40" s="129">
        <v>-7273.3</v>
      </c>
      <c r="AG40" s="128"/>
      <c r="AH40" s="129"/>
      <c r="AI40" s="129"/>
      <c r="AJ40" s="129"/>
      <c r="AK40" s="129">
        <v>0</v>
      </c>
      <c r="AL40" s="129"/>
      <c r="AM40" s="128">
        <f t="shared" si="2"/>
        <v>4964.5</v>
      </c>
      <c r="AN40" s="128">
        <f t="shared" si="2"/>
        <v>380.10000000000036</v>
      </c>
      <c r="AP40" s="130"/>
      <c r="AQ40" s="130"/>
      <c r="AR40" s="138"/>
      <c r="AS40" s="135"/>
    </row>
    <row r="41" spans="1:45" ht="18" customHeight="1">
      <c r="A41" s="126">
        <v>31</v>
      </c>
      <c r="B41" s="127" t="s">
        <v>392</v>
      </c>
      <c r="C41" s="128">
        <f t="shared" si="0"/>
        <v>24513.9</v>
      </c>
      <c r="D41" s="128">
        <f t="shared" si="0"/>
        <v>21282.600000000002</v>
      </c>
      <c r="E41" s="129">
        <v>10500</v>
      </c>
      <c r="F41" s="134">
        <v>10220.8</v>
      </c>
      <c r="G41" s="129">
        <v>2100</v>
      </c>
      <c r="H41" s="134">
        <v>2099.9</v>
      </c>
      <c r="I41" s="129">
        <v>5297</v>
      </c>
      <c r="J41" s="129">
        <v>3807.7</v>
      </c>
      <c r="K41" s="129"/>
      <c r="L41" s="129"/>
      <c r="M41" s="129">
        <v>0</v>
      </c>
      <c r="N41" s="129"/>
      <c r="O41" s="129">
        <v>0</v>
      </c>
      <c r="P41" s="129"/>
      <c r="Q41" s="129">
        <v>2200</v>
      </c>
      <c r="R41" s="129">
        <v>2200</v>
      </c>
      <c r="S41" s="129">
        <v>0</v>
      </c>
      <c r="T41" s="129"/>
      <c r="U41" s="128">
        <f t="shared" si="1"/>
        <v>20097</v>
      </c>
      <c r="V41" s="128">
        <f t="shared" si="1"/>
        <v>18328.4</v>
      </c>
      <c r="W41" s="129">
        <v>4416.9</v>
      </c>
      <c r="X41" s="129">
        <v>2954.2</v>
      </c>
      <c r="Y41" s="141"/>
      <c r="Z41" s="129"/>
      <c r="AA41" s="129"/>
      <c r="AB41" s="129"/>
      <c r="AC41" s="129">
        <v>0</v>
      </c>
      <c r="AD41" s="129"/>
      <c r="AE41" s="129"/>
      <c r="AF41" s="129"/>
      <c r="AG41" s="128"/>
      <c r="AH41" s="129"/>
      <c r="AI41" s="129">
        <v>3130</v>
      </c>
      <c r="AJ41" s="129">
        <v>1785</v>
      </c>
      <c r="AK41" s="129">
        <v>0</v>
      </c>
      <c r="AL41" s="129"/>
      <c r="AM41" s="128">
        <f t="shared" si="2"/>
        <v>4416.9</v>
      </c>
      <c r="AN41" s="128">
        <f t="shared" si="2"/>
        <v>2954.2</v>
      </c>
      <c r="AP41" s="130"/>
      <c r="AQ41" s="130"/>
      <c r="AR41" s="139"/>
      <c r="AS41" s="135"/>
    </row>
    <row r="42" spans="1:45" ht="18" customHeight="1">
      <c r="A42" s="126">
        <v>32</v>
      </c>
      <c r="B42" s="127" t="s">
        <v>393</v>
      </c>
      <c r="C42" s="128">
        <f t="shared" si="0"/>
        <v>58642.6</v>
      </c>
      <c r="D42" s="128">
        <f t="shared" si="0"/>
        <v>34918.3</v>
      </c>
      <c r="E42" s="129">
        <v>18600</v>
      </c>
      <c r="F42" s="129">
        <v>15169.3</v>
      </c>
      <c r="G42" s="129">
        <v>3800</v>
      </c>
      <c r="H42" s="129">
        <v>2599.5</v>
      </c>
      <c r="I42" s="129">
        <v>13697.7</v>
      </c>
      <c r="J42" s="129">
        <v>11498.6</v>
      </c>
      <c r="K42" s="129"/>
      <c r="L42" s="129"/>
      <c r="M42" s="129">
        <v>0</v>
      </c>
      <c r="N42" s="129"/>
      <c r="O42" s="129">
        <v>0</v>
      </c>
      <c r="P42" s="129"/>
      <c r="Q42" s="129">
        <v>3229.3</v>
      </c>
      <c r="R42" s="129">
        <v>3098.5</v>
      </c>
      <c r="S42" s="129">
        <v>1630</v>
      </c>
      <c r="T42" s="129">
        <v>27.4</v>
      </c>
      <c r="U42" s="128">
        <f t="shared" si="1"/>
        <v>40957</v>
      </c>
      <c r="V42" s="128">
        <f t="shared" si="1"/>
        <v>32393.3</v>
      </c>
      <c r="W42" s="129">
        <v>23185.6</v>
      </c>
      <c r="X42" s="129">
        <v>8574.6</v>
      </c>
      <c r="Y42" s="141"/>
      <c r="Z42" s="129"/>
      <c r="AA42" s="129"/>
      <c r="AB42" s="129"/>
      <c r="AC42" s="129">
        <v>-101.5</v>
      </c>
      <c r="AD42" s="129">
        <v>-25</v>
      </c>
      <c r="AE42" s="129">
        <v>-5398.5</v>
      </c>
      <c r="AF42" s="129">
        <v>-6024.6</v>
      </c>
      <c r="AG42" s="128"/>
      <c r="AH42" s="129"/>
      <c r="AI42" s="129"/>
      <c r="AJ42" s="129"/>
      <c r="AK42" s="129">
        <v>0</v>
      </c>
      <c r="AL42" s="129"/>
      <c r="AM42" s="128">
        <f t="shared" si="2"/>
        <v>17685.6</v>
      </c>
      <c r="AN42" s="128">
        <f t="shared" si="2"/>
        <v>2525</v>
      </c>
      <c r="AP42" s="130"/>
      <c r="AQ42" s="130"/>
      <c r="AR42" s="138"/>
      <c r="AS42" s="135"/>
    </row>
    <row r="43" spans="1:45" ht="18" customHeight="1">
      <c r="A43" s="126">
        <v>33</v>
      </c>
      <c r="B43" s="127" t="s">
        <v>394</v>
      </c>
      <c r="C43" s="128">
        <f aca="true" t="shared" si="3" ref="C43:D74">U43+AM43</f>
        <v>51184.899999999994</v>
      </c>
      <c r="D43" s="128">
        <f t="shared" si="3"/>
        <v>42025.3</v>
      </c>
      <c r="E43" s="129">
        <v>26656</v>
      </c>
      <c r="F43" s="134">
        <v>25636.5</v>
      </c>
      <c r="G43" s="129">
        <v>4735</v>
      </c>
      <c r="H43" s="134">
        <v>4477.8</v>
      </c>
      <c r="I43" s="129">
        <v>6669</v>
      </c>
      <c r="J43" s="129">
        <v>5003</v>
      </c>
      <c r="K43" s="129"/>
      <c r="L43" s="129"/>
      <c r="M43" s="129">
        <v>420</v>
      </c>
      <c r="N43" s="129">
        <v>250</v>
      </c>
      <c r="O43" s="129">
        <v>300</v>
      </c>
      <c r="P43" s="129">
        <v>300</v>
      </c>
      <c r="Q43" s="129">
        <v>3650</v>
      </c>
      <c r="R43" s="129">
        <v>3648</v>
      </c>
      <c r="S43" s="129">
        <v>1950.2</v>
      </c>
      <c r="T43" s="129">
        <v>85</v>
      </c>
      <c r="U43" s="128">
        <f aca="true" t="shared" si="4" ref="U43:V74">S43+Q43+O43+M43+K43+I43+G43+E43</f>
        <v>44380.2</v>
      </c>
      <c r="V43" s="128">
        <f t="shared" si="4"/>
        <v>39400.3</v>
      </c>
      <c r="W43" s="129">
        <v>6804.7</v>
      </c>
      <c r="X43" s="129">
        <v>2625</v>
      </c>
      <c r="Y43" s="141"/>
      <c r="Z43" s="129"/>
      <c r="AA43" s="129"/>
      <c r="AB43" s="129"/>
      <c r="AC43" s="129">
        <v>0</v>
      </c>
      <c r="AD43" s="129"/>
      <c r="AE43" s="129"/>
      <c r="AF43" s="129"/>
      <c r="AG43" s="128"/>
      <c r="AH43" s="129"/>
      <c r="AI43" s="129">
        <v>2520</v>
      </c>
      <c r="AJ43" s="129">
        <v>2520</v>
      </c>
      <c r="AK43" s="129">
        <v>0</v>
      </c>
      <c r="AL43" s="129"/>
      <c r="AM43" s="128">
        <f aca="true" t="shared" si="5" ref="AM43:AN74">AG43+AE43+AC43+AA43+Y43+W43+AK43</f>
        <v>6804.7</v>
      </c>
      <c r="AN43" s="128">
        <f t="shared" si="5"/>
        <v>2625</v>
      </c>
      <c r="AP43" s="130"/>
      <c r="AQ43" s="130"/>
      <c r="AR43" s="138"/>
      <c r="AS43" s="135"/>
    </row>
    <row r="44" spans="1:45" ht="18" customHeight="1">
      <c r="A44" s="126">
        <v>34</v>
      </c>
      <c r="B44" s="127" t="s">
        <v>395</v>
      </c>
      <c r="C44" s="128">
        <f t="shared" si="3"/>
        <v>25415.2</v>
      </c>
      <c r="D44" s="128">
        <f t="shared" si="3"/>
        <v>20782.2</v>
      </c>
      <c r="E44" s="129">
        <v>13651</v>
      </c>
      <c r="F44" s="134">
        <v>13486.2</v>
      </c>
      <c r="G44" s="129">
        <v>2500</v>
      </c>
      <c r="H44" s="134">
        <v>2436.5</v>
      </c>
      <c r="I44" s="129">
        <v>5424</v>
      </c>
      <c r="J44" s="129">
        <v>3668.5</v>
      </c>
      <c r="K44" s="129"/>
      <c r="L44" s="129"/>
      <c r="M44" s="129">
        <v>0</v>
      </c>
      <c r="N44" s="129"/>
      <c r="O44" s="129">
        <v>0</v>
      </c>
      <c r="P44" s="129"/>
      <c r="Q44" s="129">
        <v>2750</v>
      </c>
      <c r="R44" s="129">
        <v>2670</v>
      </c>
      <c r="S44" s="129">
        <v>50</v>
      </c>
      <c r="T44" s="129"/>
      <c r="U44" s="128">
        <f t="shared" si="4"/>
        <v>24375</v>
      </c>
      <c r="V44" s="128">
        <f t="shared" si="4"/>
        <v>22261.2</v>
      </c>
      <c r="W44" s="129">
        <v>2519.2</v>
      </c>
      <c r="X44" s="129">
        <v>0</v>
      </c>
      <c r="Y44" s="141"/>
      <c r="Z44" s="129"/>
      <c r="AA44" s="129"/>
      <c r="AB44" s="129"/>
      <c r="AC44" s="129">
        <v>-1479</v>
      </c>
      <c r="AD44" s="129">
        <v>-1479</v>
      </c>
      <c r="AE44" s="129"/>
      <c r="AF44" s="129"/>
      <c r="AG44" s="128"/>
      <c r="AH44" s="129"/>
      <c r="AI44" s="129"/>
      <c r="AJ44" s="129"/>
      <c r="AK44" s="129">
        <v>0</v>
      </c>
      <c r="AL44" s="129"/>
      <c r="AM44" s="128">
        <f t="shared" si="5"/>
        <v>1040.1999999999998</v>
      </c>
      <c r="AN44" s="128">
        <f t="shared" si="5"/>
        <v>-1479</v>
      </c>
      <c r="AP44" s="130"/>
      <c r="AQ44" s="130"/>
      <c r="AR44" s="138"/>
      <c r="AS44" s="135"/>
    </row>
    <row r="45" spans="1:45" ht="18" customHeight="1">
      <c r="A45" s="126">
        <v>35</v>
      </c>
      <c r="B45" s="127" t="s">
        <v>396</v>
      </c>
      <c r="C45" s="128">
        <f t="shared" si="3"/>
        <v>16932.7</v>
      </c>
      <c r="D45" s="128">
        <f t="shared" si="3"/>
        <v>13606.4</v>
      </c>
      <c r="E45" s="129">
        <v>9984.7</v>
      </c>
      <c r="F45" s="129">
        <v>9982.5</v>
      </c>
      <c r="G45" s="129">
        <v>2160</v>
      </c>
      <c r="H45" s="129">
        <v>1988.3</v>
      </c>
      <c r="I45" s="129">
        <v>2306.5</v>
      </c>
      <c r="J45" s="129">
        <v>1965.6</v>
      </c>
      <c r="K45" s="129"/>
      <c r="L45" s="129"/>
      <c r="M45" s="129">
        <v>0</v>
      </c>
      <c r="N45" s="129"/>
      <c r="O45" s="129">
        <v>0</v>
      </c>
      <c r="P45" s="129"/>
      <c r="Q45" s="129">
        <v>1070</v>
      </c>
      <c r="R45" s="129">
        <v>1070</v>
      </c>
      <c r="S45" s="129">
        <v>1280</v>
      </c>
      <c r="T45" s="129">
        <v>0</v>
      </c>
      <c r="U45" s="128">
        <f t="shared" si="4"/>
        <v>16801.2</v>
      </c>
      <c r="V45" s="128">
        <f t="shared" si="4"/>
        <v>15006.4</v>
      </c>
      <c r="W45" s="129">
        <v>131.5</v>
      </c>
      <c r="X45" s="129"/>
      <c r="Y45" s="141"/>
      <c r="Z45" s="129"/>
      <c r="AA45" s="129"/>
      <c r="AB45" s="129"/>
      <c r="AC45" s="129">
        <v>0</v>
      </c>
      <c r="AD45" s="129"/>
      <c r="AE45" s="129"/>
      <c r="AF45" s="129">
        <v>-1400</v>
      </c>
      <c r="AG45" s="128"/>
      <c r="AH45" s="129"/>
      <c r="AI45" s="129">
        <v>100</v>
      </c>
      <c r="AJ45" s="129"/>
      <c r="AK45" s="129">
        <v>0</v>
      </c>
      <c r="AL45" s="129"/>
      <c r="AM45" s="128">
        <f t="shared" si="5"/>
        <v>131.5</v>
      </c>
      <c r="AN45" s="128">
        <f t="shared" si="5"/>
        <v>-1400</v>
      </c>
      <c r="AP45" s="130"/>
      <c r="AQ45" s="130"/>
      <c r="AR45" s="138"/>
      <c r="AS45" s="135"/>
    </row>
    <row r="46" spans="1:45" ht="18" customHeight="1">
      <c r="A46" s="126">
        <v>36</v>
      </c>
      <c r="B46" s="127" t="s">
        <v>397</v>
      </c>
      <c r="C46" s="128">
        <f t="shared" si="3"/>
        <v>65348.8</v>
      </c>
      <c r="D46" s="128">
        <f t="shared" si="3"/>
        <v>38095.6</v>
      </c>
      <c r="E46" s="129">
        <v>21047</v>
      </c>
      <c r="F46" s="129">
        <v>20871.7</v>
      </c>
      <c r="G46" s="129">
        <v>3670</v>
      </c>
      <c r="H46" s="129">
        <v>3652.4</v>
      </c>
      <c r="I46" s="129">
        <v>19358.1</v>
      </c>
      <c r="J46" s="129">
        <v>15089.6</v>
      </c>
      <c r="K46" s="129"/>
      <c r="L46" s="129"/>
      <c r="M46" s="129">
        <v>0</v>
      </c>
      <c r="N46" s="129"/>
      <c r="O46" s="129">
        <v>0</v>
      </c>
      <c r="P46" s="129"/>
      <c r="Q46" s="129">
        <v>2800</v>
      </c>
      <c r="R46" s="129">
        <v>2800</v>
      </c>
      <c r="S46" s="129">
        <v>2000</v>
      </c>
      <c r="T46" s="129"/>
      <c r="U46" s="128">
        <f t="shared" si="4"/>
        <v>48875.1</v>
      </c>
      <c r="V46" s="128">
        <f t="shared" si="4"/>
        <v>42413.7</v>
      </c>
      <c r="W46" s="129">
        <v>16473.7</v>
      </c>
      <c r="X46" s="129">
        <v>260.5</v>
      </c>
      <c r="Y46" s="141"/>
      <c r="Z46" s="129"/>
      <c r="AA46" s="129"/>
      <c r="AB46" s="129"/>
      <c r="AC46" s="129">
        <v>0</v>
      </c>
      <c r="AD46" s="129"/>
      <c r="AE46" s="129"/>
      <c r="AF46" s="129">
        <v>-4578.6</v>
      </c>
      <c r="AG46" s="128"/>
      <c r="AH46" s="129"/>
      <c r="AI46" s="129"/>
      <c r="AJ46" s="129"/>
      <c r="AK46" s="129">
        <v>0</v>
      </c>
      <c r="AL46" s="129"/>
      <c r="AM46" s="128">
        <f t="shared" si="5"/>
        <v>16473.7</v>
      </c>
      <c r="AN46" s="128">
        <f t="shared" si="5"/>
        <v>-4318.1</v>
      </c>
      <c r="AP46" s="130"/>
      <c r="AQ46" s="130"/>
      <c r="AR46" s="138"/>
      <c r="AS46" s="135"/>
    </row>
    <row r="47" spans="1:45" ht="18" customHeight="1">
      <c r="A47" s="126">
        <v>37</v>
      </c>
      <c r="B47" s="127" t="s">
        <v>398</v>
      </c>
      <c r="C47" s="128">
        <f t="shared" si="3"/>
        <v>35182.7</v>
      </c>
      <c r="D47" s="128">
        <f t="shared" si="3"/>
        <v>33301.3</v>
      </c>
      <c r="E47" s="129">
        <v>17900</v>
      </c>
      <c r="F47" s="134">
        <v>17894.5</v>
      </c>
      <c r="G47" s="129">
        <v>4191.2</v>
      </c>
      <c r="H47" s="134">
        <v>4190.8</v>
      </c>
      <c r="I47" s="129">
        <v>8204.5</v>
      </c>
      <c r="J47" s="129">
        <v>6749</v>
      </c>
      <c r="K47" s="129"/>
      <c r="L47" s="129"/>
      <c r="M47" s="129">
        <v>0</v>
      </c>
      <c r="N47" s="129"/>
      <c r="O47" s="129">
        <v>0</v>
      </c>
      <c r="P47" s="129"/>
      <c r="Q47" s="129">
        <v>1750</v>
      </c>
      <c r="R47" s="129">
        <v>1750</v>
      </c>
      <c r="S47" s="129">
        <v>0</v>
      </c>
      <c r="T47" s="129"/>
      <c r="U47" s="128">
        <f t="shared" si="4"/>
        <v>32045.7</v>
      </c>
      <c r="V47" s="128">
        <f t="shared" si="4"/>
        <v>30584.3</v>
      </c>
      <c r="W47" s="129">
        <v>1794</v>
      </c>
      <c r="X47" s="129">
        <v>1374</v>
      </c>
      <c r="Y47" s="141"/>
      <c r="Z47" s="129"/>
      <c r="AA47" s="136">
        <v>1343</v>
      </c>
      <c r="AB47" s="129">
        <v>1343</v>
      </c>
      <c r="AC47" s="129">
        <v>0</v>
      </c>
      <c r="AD47" s="129"/>
      <c r="AE47" s="129"/>
      <c r="AF47" s="129"/>
      <c r="AG47" s="128"/>
      <c r="AH47" s="129"/>
      <c r="AI47" s="129">
        <v>1343</v>
      </c>
      <c r="AJ47" s="129">
        <v>964</v>
      </c>
      <c r="AK47" s="129">
        <v>0</v>
      </c>
      <c r="AL47" s="129"/>
      <c r="AM47" s="128">
        <f t="shared" si="5"/>
        <v>3137</v>
      </c>
      <c r="AN47" s="128">
        <f t="shared" si="5"/>
        <v>2717</v>
      </c>
      <c r="AP47" s="130"/>
      <c r="AQ47" s="130"/>
      <c r="AR47" s="138"/>
      <c r="AS47" s="135"/>
    </row>
    <row r="48" spans="1:45" ht="18" customHeight="1">
      <c r="A48" s="126">
        <v>38</v>
      </c>
      <c r="B48" s="127" t="s">
        <v>399</v>
      </c>
      <c r="C48" s="128">
        <f t="shared" si="3"/>
        <v>46021.1</v>
      </c>
      <c r="D48" s="128">
        <f t="shared" si="3"/>
        <v>43521.2</v>
      </c>
      <c r="E48" s="129">
        <v>21642</v>
      </c>
      <c r="F48" s="134">
        <v>21087.4</v>
      </c>
      <c r="G48" s="129">
        <v>4459.1</v>
      </c>
      <c r="H48" s="134">
        <v>4372.5</v>
      </c>
      <c r="I48" s="129">
        <v>15299.9</v>
      </c>
      <c r="J48" s="129">
        <v>13566.3</v>
      </c>
      <c r="K48" s="129"/>
      <c r="L48" s="129"/>
      <c r="M48" s="129">
        <v>0</v>
      </c>
      <c r="N48" s="129"/>
      <c r="O48" s="129">
        <v>0</v>
      </c>
      <c r="P48" s="129"/>
      <c r="Q48" s="129">
        <v>3000</v>
      </c>
      <c r="R48" s="129">
        <v>3000</v>
      </c>
      <c r="S48" s="129">
        <v>300</v>
      </c>
      <c r="T48" s="129">
        <v>300</v>
      </c>
      <c r="U48" s="128">
        <f t="shared" si="4"/>
        <v>44701</v>
      </c>
      <c r="V48" s="128">
        <f t="shared" si="4"/>
        <v>42326.2</v>
      </c>
      <c r="W48" s="129">
        <v>5365.5</v>
      </c>
      <c r="X48" s="129">
        <v>5283.2</v>
      </c>
      <c r="Y48" s="141"/>
      <c r="Z48" s="129"/>
      <c r="AA48" s="129"/>
      <c r="AB48" s="129"/>
      <c r="AC48" s="129">
        <v>0</v>
      </c>
      <c r="AD48" s="129"/>
      <c r="AE48" s="129">
        <v>-4045.4</v>
      </c>
      <c r="AF48" s="129">
        <v>-4088.2</v>
      </c>
      <c r="AG48" s="128"/>
      <c r="AH48" s="129"/>
      <c r="AI48" s="129">
        <v>400</v>
      </c>
      <c r="AJ48" s="129">
        <v>400</v>
      </c>
      <c r="AK48" s="129">
        <v>0</v>
      </c>
      <c r="AL48" s="129"/>
      <c r="AM48" s="128">
        <f t="shared" si="5"/>
        <v>1320.1</v>
      </c>
      <c r="AN48" s="128">
        <f t="shared" si="5"/>
        <v>1195</v>
      </c>
      <c r="AP48" s="130"/>
      <c r="AQ48" s="130"/>
      <c r="AR48" s="138"/>
      <c r="AS48" s="135"/>
    </row>
    <row r="49" spans="1:45" ht="18" customHeight="1">
      <c r="A49" s="126">
        <v>39</v>
      </c>
      <c r="B49" s="127" t="s">
        <v>400</v>
      </c>
      <c r="C49" s="128">
        <f t="shared" si="3"/>
        <v>30938.300000000003</v>
      </c>
      <c r="D49" s="128">
        <f t="shared" si="3"/>
        <v>27765.399999999998</v>
      </c>
      <c r="E49" s="129">
        <v>11700</v>
      </c>
      <c r="F49" s="134">
        <v>10175.6</v>
      </c>
      <c r="G49" s="129">
        <v>2690</v>
      </c>
      <c r="H49" s="134">
        <v>2121.7</v>
      </c>
      <c r="I49" s="129">
        <v>8865.9</v>
      </c>
      <c r="J49" s="129">
        <v>7929.2</v>
      </c>
      <c r="K49" s="129"/>
      <c r="L49" s="129"/>
      <c r="M49" s="129">
        <v>0</v>
      </c>
      <c r="N49" s="129"/>
      <c r="O49" s="129">
        <v>0</v>
      </c>
      <c r="P49" s="129"/>
      <c r="Q49" s="129">
        <v>1900</v>
      </c>
      <c r="R49" s="129">
        <v>1896.2</v>
      </c>
      <c r="S49" s="129">
        <v>250</v>
      </c>
      <c r="T49" s="129">
        <v>185</v>
      </c>
      <c r="U49" s="128">
        <f t="shared" si="4"/>
        <v>25405.9</v>
      </c>
      <c r="V49" s="128">
        <f t="shared" si="4"/>
        <v>22307.699999999997</v>
      </c>
      <c r="W49" s="129">
        <v>5532.4</v>
      </c>
      <c r="X49" s="129">
        <v>5457.7</v>
      </c>
      <c r="Y49" s="141"/>
      <c r="Z49" s="129"/>
      <c r="AA49" s="129"/>
      <c r="AB49" s="129"/>
      <c r="AC49" s="129">
        <v>0</v>
      </c>
      <c r="AD49" s="129"/>
      <c r="AE49" s="129"/>
      <c r="AF49" s="129"/>
      <c r="AG49" s="128"/>
      <c r="AH49" s="129"/>
      <c r="AI49" s="129"/>
      <c r="AJ49" s="129"/>
      <c r="AK49" s="129">
        <v>0</v>
      </c>
      <c r="AL49" s="129"/>
      <c r="AM49" s="128">
        <f t="shared" si="5"/>
        <v>5532.4</v>
      </c>
      <c r="AN49" s="128">
        <f t="shared" si="5"/>
        <v>5457.7</v>
      </c>
      <c r="AP49" s="130"/>
      <c r="AQ49" s="130"/>
      <c r="AR49" s="138"/>
      <c r="AS49" s="135"/>
    </row>
    <row r="50" spans="1:45" ht="18" customHeight="1">
      <c r="A50" s="126">
        <v>40</v>
      </c>
      <c r="B50" s="127" t="s">
        <v>401</v>
      </c>
      <c r="C50" s="128">
        <f t="shared" si="3"/>
        <v>45355.9</v>
      </c>
      <c r="D50" s="128">
        <f t="shared" si="3"/>
        <v>45009.299999999996</v>
      </c>
      <c r="E50" s="129">
        <v>16534.2</v>
      </c>
      <c r="F50" s="134">
        <v>16457.6</v>
      </c>
      <c r="G50" s="129">
        <v>3268.2</v>
      </c>
      <c r="H50" s="134">
        <v>3256.6</v>
      </c>
      <c r="I50" s="129">
        <v>9907.9</v>
      </c>
      <c r="J50" s="129">
        <v>9704.8</v>
      </c>
      <c r="K50" s="129"/>
      <c r="L50" s="129"/>
      <c r="M50" s="129">
        <v>0</v>
      </c>
      <c r="N50" s="129"/>
      <c r="O50" s="129">
        <v>10075</v>
      </c>
      <c r="P50" s="129">
        <v>10075</v>
      </c>
      <c r="Q50" s="129">
        <v>5430</v>
      </c>
      <c r="R50" s="129">
        <v>5430</v>
      </c>
      <c r="S50" s="129">
        <v>35.8</v>
      </c>
      <c r="T50" s="129">
        <v>35.7</v>
      </c>
      <c r="U50" s="128">
        <f t="shared" si="4"/>
        <v>45251.1</v>
      </c>
      <c r="V50" s="128">
        <f t="shared" si="4"/>
        <v>44959.7</v>
      </c>
      <c r="W50" s="129">
        <v>4104.8</v>
      </c>
      <c r="X50" s="129">
        <v>500</v>
      </c>
      <c r="Y50" s="141"/>
      <c r="Z50" s="129"/>
      <c r="AA50" s="129"/>
      <c r="AB50" s="129"/>
      <c r="AC50" s="129">
        <v>0</v>
      </c>
      <c r="AD50" s="129"/>
      <c r="AE50" s="129">
        <v>-4000</v>
      </c>
      <c r="AF50" s="129">
        <v>-450.4</v>
      </c>
      <c r="AG50" s="128"/>
      <c r="AH50" s="129"/>
      <c r="AI50" s="129"/>
      <c r="AJ50" s="129"/>
      <c r="AK50" s="129">
        <v>0</v>
      </c>
      <c r="AL50" s="129"/>
      <c r="AM50" s="128">
        <f t="shared" si="5"/>
        <v>104.80000000000018</v>
      </c>
      <c r="AN50" s="128">
        <f t="shared" si="5"/>
        <v>49.60000000000002</v>
      </c>
      <c r="AP50" s="130"/>
      <c r="AQ50" s="130"/>
      <c r="AR50" s="138"/>
      <c r="AS50" s="135"/>
    </row>
    <row r="51" spans="1:45" ht="18" customHeight="1">
      <c r="A51" s="126">
        <v>41</v>
      </c>
      <c r="B51" s="127" t="s">
        <v>402</v>
      </c>
      <c r="C51" s="128">
        <f t="shared" si="3"/>
        <v>46762.4</v>
      </c>
      <c r="D51" s="128">
        <f t="shared" si="3"/>
        <v>42326.3</v>
      </c>
      <c r="E51" s="129">
        <v>12832</v>
      </c>
      <c r="F51" s="134">
        <v>12773</v>
      </c>
      <c r="G51" s="129">
        <v>2780</v>
      </c>
      <c r="H51" s="134">
        <v>2778.4</v>
      </c>
      <c r="I51" s="129">
        <v>21138.9</v>
      </c>
      <c r="J51" s="129">
        <v>19798.9</v>
      </c>
      <c r="K51" s="129"/>
      <c r="L51" s="129"/>
      <c r="M51" s="129">
        <v>0</v>
      </c>
      <c r="N51" s="129"/>
      <c r="O51" s="129">
        <v>5201</v>
      </c>
      <c r="P51" s="129">
        <v>5201</v>
      </c>
      <c r="Q51" s="129">
        <v>2200</v>
      </c>
      <c r="R51" s="129">
        <v>1315</v>
      </c>
      <c r="S51" s="129">
        <v>2149</v>
      </c>
      <c r="T51" s="129"/>
      <c r="U51" s="128">
        <f t="shared" si="4"/>
        <v>46300.9</v>
      </c>
      <c r="V51" s="128">
        <f t="shared" si="4"/>
        <v>41866.3</v>
      </c>
      <c r="W51" s="129">
        <v>841.5</v>
      </c>
      <c r="X51" s="129">
        <v>460</v>
      </c>
      <c r="Y51" s="141"/>
      <c r="Z51" s="129"/>
      <c r="AA51" s="129"/>
      <c r="AB51" s="129"/>
      <c r="AC51" s="129">
        <v>0</v>
      </c>
      <c r="AD51" s="129"/>
      <c r="AE51" s="129">
        <v>-380</v>
      </c>
      <c r="AF51" s="129"/>
      <c r="AG51" s="128"/>
      <c r="AH51" s="129"/>
      <c r="AI51" s="129"/>
      <c r="AJ51" s="129"/>
      <c r="AK51" s="129">
        <v>0</v>
      </c>
      <c r="AL51" s="129"/>
      <c r="AM51" s="128">
        <f t="shared" si="5"/>
        <v>461.5</v>
      </c>
      <c r="AN51" s="128">
        <f t="shared" si="5"/>
        <v>460</v>
      </c>
      <c r="AP51" s="130"/>
      <c r="AQ51" s="130"/>
      <c r="AR51" s="138"/>
      <c r="AS51" s="135"/>
    </row>
    <row r="52" spans="1:45" ht="18" customHeight="1">
      <c r="A52" s="126">
        <v>42</v>
      </c>
      <c r="B52" s="142" t="s">
        <v>403</v>
      </c>
      <c r="C52" s="128">
        <f t="shared" si="3"/>
        <v>180481.9</v>
      </c>
      <c r="D52" s="128">
        <f t="shared" si="3"/>
        <v>167957.8</v>
      </c>
      <c r="E52" s="129">
        <v>53416.1</v>
      </c>
      <c r="F52" s="134">
        <v>50207</v>
      </c>
      <c r="G52" s="129">
        <v>10275.9</v>
      </c>
      <c r="H52" s="134">
        <v>10184.9</v>
      </c>
      <c r="I52" s="129">
        <v>78488</v>
      </c>
      <c r="J52" s="129">
        <v>72764.7</v>
      </c>
      <c r="K52" s="129"/>
      <c r="L52" s="129"/>
      <c r="M52" s="129">
        <v>0</v>
      </c>
      <c r="N52" s="129"/>
      <c r="O52" s="129">
        <v>0</v>
      </c>
      <c r="P52" s="129"/>
      <c r="Q52" s="129">
        <v>11300</v>
      </c>
      <c r="R52" s="129">
        <v>11016.5</v>
      </c>
      <c r="S52" s="129">
        <v>520</v>
      </c>
      <c r="T52" s="129">
        <v>470.8</v>
      </c>
      <c r="U52" s="128">
        <f t="shared" si="4"/>
        <v>154000</v>
      </c>
      <c r="V52" s="128">
        <f t="shared" si="4"/>
        <v>144643.9</v>
      </c>
      <c r="W52" s="129">
        <v>28311</v>
      </c>
      <c r="X52" s="129">
        <v>28310.4</v>
      </c>
      <c r="Y52" s="140">
        <v>689</v>
      </c>
      <c r="Z52" s="129">
        <v>689</v>
      </c>
      <c r="AA52" s="136">
        <v>3000</v>
      </c>
      <c r="AB52" s="129">
        <v>3000</v>
      </c>
      <c r="AC52" s="129">
        <v>0</v>
      </c>
      <c r="AD52" s="129"/>
      <c r="AE52" s="129">
        <v>-5518.1</v>
      </c>
      <c r="AF52" s="129">
        <v>-8685.5</v>
      </c>
      <c r="AG52" s="128"/>
      <c r="AH52" s="129"/>
      <c r="AI52" s="129"/>
      <c r="AJ52" s="129"/>
      <c r="AK52" s="129">
        <v>0</v>
      </c>
      <c r="AL52" s="129"/>
      <c r="AM52" s="128">
        <f t="shared" si="5"/>
        <v>26481.9</v>
      </c>
      <c r="AN52" s="128">
        <f t="shared" si="5"/>
        <v>23313.9</v>
      </c>
      <c r="AP52" s="130"/>
      <c r="AQ52" s="130"/>
      <c r="AR52" s="138"/>
      <c r="AS52" s="135"/>
    </row>
    <row r="53" spans="1:45" ht="18" customHeight="1">
      <c r="A53" s="126">
        <v>43</v>
      </c>
      <c r="B53" s="127" t="s">
        <v>404</v>
      </c>
      <c r="C53" s="128">
        <f t="shared" si="3"/>
        <v>7127.7</v>
      </c>
      <c r="D53" s="128">
        <f t="shared" si="3"/>
        <v>5591.8</v>
      </c>
      <c r="E53" s="129">
        <v>3850</v>
      </c>
      <c r="F53" s="129">
        <v>3694.8</v>
      </c>
      <c r="G53" s="129">
        <v>850</v>
      </c>
      <c r="H53" s="129">
        <v>803</v>
      </c>
      <c r="I53" s="129">
        <v>710</v>
      </c>
      <c r="J53" s="129">
        <v>544</v>
      </c>
      <c r="K53" s="129"/>
      <c r="L53" s="129"/>
      <c r="M53" s="129">
        <v>0</v>
      </c>
      <c r="N53" s="129"/>
      <c r="O53" s="129">
        <v>500</v>
      </c>
      <c r="P53" s="129">
        <v>500</v>
      </c>
      <c r="Q53" s="129">
        <v>100</v>
      </c>
      <c r="R53" s="129">
        <v>50</v>
      </c>
      <c r="S53" s="129">
        <v>0</v>
      </c>
      <c r="T53" s="129"/>
      <c r="U53" s="128">
        <f t="shared" si="4"/>
        <v>6010</v>
      </c>
      <c r="V53" s="128">
        <f t="shared" si="4"/>
        <v>5591.8</v>
      </c>
      <c r="W53" s="129">
        <v>1117.7</v>
      </c>
      <c r="X53" s="129"/>
      <c r="Y53" s="141"/>
      <c r="Z53" s="129"/>
      <c r="AA53" s="129"/>
      <c r="AB53" s="129"/>
      <c r="AC53" s="129">
        <v>0</v>
      </c>
      <c r="AD53" s="129"/>
      <c r="AE53" s="129"/>
      <c r="AF53" s="129"/>
      <c r="AG53" s="128"/>
      <c r="AH53" s="129"/>
      <c r="AI53" s="129"/>
      <c r="AJ53" s="129"/>
      <c r="AK53" s="129">
        <v>0</v>
      </c>
      <c r="AL53" s="129"/>
      <c r="AM53" s="128">
        <f t="shared" si="5"/>
        <v>1117.7</v>
      </c>
      <c r="AN53" s="128">
        <f t="shared" si="5"/>
        <v>0</v>
      </c>
      <c r="AP53" s="130"/>
      <c r="AQ53" s="130"/>
      <c r="AR53" s="138"/>
      <c r="AS53" s="135"/>
    </row>
    <row r="54" spans="1:45" ht="18" customHeight="1">
      <c r="A54" s="126">
        <v>44</v>
      </c>
      <c r="B54" s="127" t="s">
        <v>405</v>
      </c>
      <c r="C54" s="128">
        <f t="shared" si="3"/>
        <v>718808</v>
      </c>
      <c r="D54" s="128">
        <f t="shared" si="3"/>
        <v>646759.8</v>
      </c>
      <c r="E54" s="129">
        <v>172229.9</v>
      </c>
      <c r="F54" s="134">
        <v>167145.9</v>
      </c>
      <c r="G54" s="129">
        <v>40988.7</v>
      </c>
      <c r="H54" s="134">
        <v>39208.4</v>
      </c>
      <c r="I54" s="129">
        <v>186637.3</v>
      </c>
      <c r="J54" s="129">
        <v>170825.6</v>
      </c>
      <c r="K54" s="129"/>
      <c r="L54" s="129"/>
      <c r="M54" s="129">
        <v>172091.8</v>
      </c>
      <c r="N54" s="129">
        <v>142924.7</v>
      </c>
      <c r="O54" s="129">
        <v>50300</v>
      </c>
      <c r="P54" s="129">
        <v>50300</v>
      </c>
      <c r="Q54" s="129">
        <v>11090.8</v>
      </c>
      <c r="R54" s="129">
        <v>10769.3</v>
      </c>
      <c r="S54" s="129">
        <v>11490.5</v>
      </c>
      <c r="T54" s="129">
        <v>8421.5</v>
      </c>
      <c r="U54" s="128">
        <f t="shared" si="4"/>
        <v>644829</v>
      </c>
      <c r="V54" s="128">
        <f t="shared" si="4"/>
        <v>589595.4</v>
      </c>
      <c r="W54" s="129">
        <v>95551.4</v>
      </c>
      <c r="X54" s="129">
        <v>89573.4</v>
      </c>
      <c r="Y54" s="141"/>
      <c r="Z54" s="129"/>
      <c r="AA54" s="129"/>
      <c r="AB54" s="129"/>
      <c r="AC54" s="129">
        <v>-1572.4</v>
      </c>
      <c r="AD54" s="129">
        <v>-5718.9</v>
      </c>
      <c r="AE54" s="129">
        <v>-20000</v>
      </c>
      <c r="AF54" s="129">
        <v>-26690.1</v>
      </c>
      <c r="AG54" s="128"/>
      <c r="AH54" s="129"/>
      <c r="AI54" s="129">
        <v>5774.6</v>
      </c>
      <c r="AJ54" s="129"/>
      <c r="AK54" s="129">
        <v>0</v>
      </c>
      <c r="AL54" s="129"/>
      <c r="AM54" s="128">
        <f t="shared" si="5"/>
        <v>73979</v>
      </c>
      <c r="AN54" s="128">
        <f t="shared" si="5"/>
        <v>57164.399999999994</v>
      </c>
      <c r="AP54" s="130"/>
      <c r="AQ54" s="130"/>
      <c r="AR54" s="138"/>
      <c r="AS54" s="135"/>
    </row>
    <row r="55" spans="1:45" ht="18" customHeight="1">
      <c r="A55" s="126">
        <v>45</v>
      </c>
      <c r="B55" s="127" t="s">
        <v>406</v>
      </c>
      <c r="C55" s="128">
        <f t="shared" si="3"/>
        <v>177448.9</v>
      </c>
      <c r="D55" s="128">
        <f t="shared" si="3"/>
        <v>162338.2</v>
      </c>
      <c r="E55" s="129">
        <v>57174.5</v>
      </c>
      <c r="F55" s="134">
        <v>55993.8</v>
      </c>
      <c r="G55" s="129">
        <v>14374.1</v>
      </c>
      <c r="H55" s="134">
        <v>13724.7</v>
      </c>
      <c r="I55" s="129">
        <v>25139.1</v>
      </c>
      <c r="J55" s="129">
        <v>23665.4</v>
      </c>
      <c r="K55" s="129"/>
      <c r="L55" s="129"/>
      <c r="M55" s="129">
        <v>63797.2</v>
      </c>
      <c r="N55" s="129">
        <v>63646.1</v>
      </c>
      <c r="O55" s="129">
        <v>0</v>
      </c>
      <c r="P55" s="129"/>
      <c r="Q55" s="129">
        <v>1810</v>
      </c>
      <c r="R55" s="129">
        <v>1809.1</v>
      </c>
      <c r="S55" s="129">
        <v>105</v>
      </c>
      <c r="T55" s="129">
        <v>30</v>
      </c>
      <c r="U55" s="128">
        <f t="shared" si="4"/>
        <v>162399.9</v>
      </c>
      <c r="V55" s="128">
        <f t="shared" si="4"/>
        <v>158869.1</v>
      </c>
      <c r="W55" s="129">
        <v>34549</v>
      </c>
      <c r="X55" s="129">
        <v>26045</v>
      </c>
      <c r="Y55" s="141"/>
      <c r="Z55" s="129"/>
      <c r="AA55" s="129"/>
      <c r="AB55" s="129"/>
      <c r="AC55" s="129">
        <v>0</v>
      </c>
      <c r="AD55" s="129"/>
      <c r="AE55" s="129">
        <v>-19500</v>
      </c>
      <c r="AF55" s="129">
        <v>-22575.9</v>
      </c>
      <c r="AG55" s="128"/>
      <c r="AH55" s="129"/>
      <c r="AI55" s="129">
        <v>1500</v>
      </c>
      <c r="AJ55" s="129">
        <v>1500</v>
      </c>
      <c r="AK55" s="129">
        <v>0</v>
      </c>
      <c r="AL55" s="129"/>
      <c r="AM55" s="128">
        <f t="shared" si="5"/>
        <v>15049</v>
      </c>
      <c r="AN55" s="128">
        <f t="shared" si="5"/>
        <v>3469.0999999999985</v>
      </c>
      <c r="AO55" s="111"/>
      <c r="AP55" s="130"/>
      <c r="AQ55" s="130"/>
      <c r="AR55" s="138"/>
      <c r="AS55" s="135"/>
    </row>
    <row r="56" spans="1:45" ht="18" customHeight="1">
      <c r="A56" s="126">
        <v>46</v>
      </c>
      <c r="B56" s="127" t="s">
        <v>407</v>
      </c>
      <c r="C56" s="128">
        <f t="shared" si="3"/>
        <v>18210.899999999998</v>
      </c>
      <c r="D56" s="128">
        <f t="shared" si="3"/>
        <v>16126.4</v>
      </c>
      <c r="E56" s="129">
        <v>11977.8</v>
      </c>
      <c r="F56" s="129">
        <v>10662.1</v>
      </c>
      <c r="G56" s="129">
        <v>3024.5</v>
      </c>
      <c r="H56" s="129">
        <v>2593.7</v>
      </c>
      <c r="I56" s="129">
        <v>3002.3</v>
      </c>
      <c r="J56" s="129">
        <v>2700.6</v>
      </c>
      <c r="K56" s="129"/>
      <c r="L56" s="129"/>
      <c r="M56" s="129">
        <v>0</v>
      </c>
      <c r="N56" s="129"/>
      <c r="O56" s="129">
        <v>0</v>
      </c>
      <c r="P56" s="129"/>
      <c r="Q56" s="129">
        <v>200</v>
      </c>
      <c r="R56" s="129">
        <v>170</v>
      </c>
      <c r="S56" s="129">
        <v>0</v>
      </c>
      <c r="T56" s="129"/>
      <c r="U56" s="128">
        <f t="shared" si="4"/>
        <v>18204.6</v>
      </c>
      <c r="V56" s="128">
        <f t="shared" si="4"/>
        <v>16126.4</v>
      </c>
      <c r="W56" s="129">
        <v>6.3</v>
      </c>
      <c r="X56" s="129"/>
      <c r="Y56" s="141"/>
      <c r="Z56" s="129"/>
      <c r="AA56" s="129"/>
      <c r="AB56" s="129"/>
      <c r="AC56" s="129">
        <v>0</v>
      </c>
      <c r="AD56" s="129"/>
      <c r="AE56" s="129"/>
      <c r="AF56" s="129"/>
      <c r="AG56" s="128"/>
      <c r="AH56" s="129"/>
      <c r="AI56" s="129"/>
      <c r="AJ56" s="129"/>
      <c r="AK56" s="129">
        <v>0</v>
      </c>
      <c r="AL56" s="129"/>
      <c r="AM56" s="128">
        <f t="shared" si="5"/>
        <v>6.3</v>
      </c>
      <c r="AN56" s="128">
        <f t="shared" si="5"/>
        <v>0</v>
      </c>
      <c r="AO56" s="111"/>
      <c r="AP56" s="130"/>
      <c r="AQ56" s="130"/>
      <c r="AR56" s="138"/>
      <c r="AS56" s="135"/>
    </row>
    <row r="57" spans="1:45" ht="18" customHeight="1">
      <c r="A57" s="126">
        <v>47</v>
      </c>
      <c r="B57" s="127" t="s">
        <v>368</v>
      </c>
      <c r="C57" s="128">
        <f t="shared" si="3"/>
        <v>32917.7</v>
      </c>
      <c r="D57" s="128">
        <f t="shared" si="3"/>
        <v>30990.8</v>
      </c>
      <c r="E57" s="129">
        <v>18985.5</v>
      </c>
      <c r="F57" s="129">
        <v>18922.1</v>
      </c>
      <c r="G57" s="129">
        <v>2123.7</v>
      </c>
      <c r="H57" s="129">
        <v>2108.3</v>
      </c>
      <c r="I57" s="129">
        <v>9065</v>
      </c>
      <c r="J57" s="129">
        <v>7603.8</v>
      </c>
      <c r="K57" s="129"/>
      <c r="L57" s="129"/>
      <c r="M57" s="129">
        <v>0</v>
      </c>
      <c r="N57" s="129"/>
      <c r="O57" s="129">
        <v>0</v>
      </c>
      <c r="P57" s="129"/>
      <c r="Q57" s="129">
        <v>600</v>
      </c>
      <c r="R57" s="129">
        <v>500</v>
      </c>
      <c r="S57" s="129">
        <v>1038</v>
      </c>
      <c r="T57" s="129">
        <v>316.6</v>
      </c>
      <c r="U57" s="128">
        <f t="shared" si="4"/>
        <v>31812.2</v>
      </c>
      <c r="V57" s="128">
        <f t="shared" si="4"/>
        <v>29450.8</v>
      </c>
      <c r="W57" s="129">
        <v>10105.5</v>
      </c>
      <c r="X57" s="129">
        <v>1540</v>
      </c>
      <c r="Y57" s="141"/>
      <c r="Z57" s="129"/>
      <c r="AA57" s="129"/>
      <c r="AB57" s="129"/>
      <c r="AC57" s="129">
        <v>0</v>
      </c>
      <c r="AD57" s="129"/>
      <c r="AE57" s="129">
        <v>-9000</v>
      </c>
      <c r="AF57" s="129"/>
      <c r="AG57" s="128"/>
      <c r="AH57" s="129"/>
      <c r="AI57" s="129"/>
      <c r="AJ57" s="129"/>
      <c r="AK57" s="129">
        <v>0</v>
      </c>
      <c r="AL57" s="129"/>
      <c r="AM57" s="128">
        <f t="shared" si="5"/>
        <v>1105.5</v>
      </c>
      <c r="AN57" s="128">
        <f t="shared" si="5"/>
        <v>1540</v>
      </c>
      <c r="AO57" s="111"/>
      <c r="AP57" s="130"/>
      <c r="AQ57" s="130"/>
      <c r="AR57" s="138"/>
      <c r="AS57" s="135"/>
    </row>
    <row r="58" spans="1:45" ht="18" customHeight="1">
      <c r="A58" s="126">
        <v>48</v>
      </c>
      <c r="B58" s="127" t="s">
        <v>408</v>
      </c>
      <c r="C58" s="128">
        <f t="shared" si="3"/>
        <v>36520.7</v>
      </c>
      <c r="D58" s="128">
        <f t="shared" si="3"/>
        <v>18761.7</v>
      </c>
      <c r="E58" s="129">
        <v>11080</v>
      </c>
      <c r="F58" s="134">
        <v>10345.9</v>
      </c>
      <c r="G58" s="129">
        <v>2126.5</v>
      </c>
      <c r="H58" s="134">
        <v>1914.4</v>
      </c>
      <c r="I58" s="129">
        <v>11131.6</v>
      </c>
      <c r="J58" s="129">
        <v>7746.1</v>
      </c>
      <c r="K58" s="129"/>
      <c r="L58" s="129"/>
      <c r="M58" s="129">
        <v>0</v>
      </c>
      <c r="N58" s="129"/>
      <c r="O58" s="129">
        <v>0</v>
      </c>
      <c r="P58" s="129"/>
      <c r="Q58" s="129">
        <v>830</v>
      </c>
      <c r="R58" s="129">
        <v>830</v>
      </c>
      <c r="S58" s="129">
        <v>1758.4</v>
      </c>
      <c r="T58" s="129">
        <v>1240.1</v>
      </c>
      <c r="U58" s="128">
        <f t="shared" si="4"/>
        <v>26926.5</v>
      </c>
      <c r="V58" s="128">
        <f t="shared" si="4"/>
        <v>22076.5</v>
      </c>
      <c r="W58" s="129">
        <v>9594.2</v>
      </c>
      <c r="X58" s="129">
        <v>1750</v>
      </c>
      <c r="Y58" s="141"/>
      <c r="Z58" s="129"/>
      <c r="AA58" s="129"/>
      <c r="AB58" s="129"/>
      <c r="AC58" s="129">
        <v>0</v>
      </c>
      <c r="AD58" s="129"/>
      <c r="AE58" s="129"/>
      <c r="AF58" s="129">
        <v>-5064.8</v>
      </c>
      <c r="AG58" s="128"/>
      <c r="AH58" s="129"/>
      <c r="AI58" s="129"/>
      <c r="AJ58" s="129"/>
      <c r="AK58" s="129">
        <v>0</v>
      </c>
      <c r="AL58" s="129"/>
      <c r="AM58" s="128">
        <f t="shared" si="5"/>
        <v>9594.2</v>
      </c>
      <c r="AN58" s="128">
        <f t="shared" si="5"/>
        <v>-3314.8</v>
      </c>
      <c r="AO58" s="111"/>
      <c r="AP58" s="130"/>
      <c r="AQ58" s="130"/>
      <c r="AR58" s="138"/>
      <c r="AS58" s="135"/>
    </row>
    <row r="59" spans="1:45" ht="18" customHeight="1">
      <c r="A59" s="126">
        <v>49</v>
      </c>
      <c r="B59" s="127" t="s">
        <v>372</v>
      </c>
      <c r="C59" s="128">
        <f t="shared" si="3"/>
        <v>25357.300000000003</v>
      </c>
      <c r="D59" s="128">
        <f t="shared" si="3"/>
        <v>24756.2</v>
      </c>
      <c r="E59" s="129">
        <v>7947</v>
      </c>
      <c r="F59" s="129">
        <v>7879.9</v>
      </c>
      <c r="G59" s="129">
        <v>2685.7</v>
      </c>
      <c r="H59" s="129">
        <v>2596</v>
      </c>
      <c r="I59" s="129">
        <v>9360</v>
      </c>
      <c r="J59" s="129">
        <v>9344.4</v>
      </c>
      <c r="K59" s="129"/>
      <c r="L59" s="129"/>
      <c r="M59" s="129">
        <v>0</v>
      </c>
      <c r="N59" s="129"/>
      <c r="O59" s="129">
        <v>2258.2</v>
      </c>
      <c r="P59" s="129">
        <v>2258.2</v>
      </c>
      <c r="Q59" s="129">
        <v>2200</v>
      </c>
      <c r="R59" s="129">
        <v>2040</v>
      </c>
      <c r="S59" s="129">
        <v>0</v>
      </c>
      <c r="T59" s="129"/>
      <c r="U59" s="128">
        <f t="shared" si="4"/>
        <v>24450.9</v>
      </c>
      <c r="V59" s="128">
        <f t="shared" si="4"/>
        <v>24118.5</v>
      </c>
      <c r="W59" s="129">
        <v>1906.4</v>
      </c>
      <c r="X59" s="129">
        <v>1899</v>
      </c>
      <c r="Y59" s="141"/>
      <c r="Z59" s="129"/>
      <c r="AA59" s="129"/>
      <c r="AB59" s="129"/>
      <c r="AC59" s="129">
        <v>0</v>
      </c>
      <c r="AD59" s="129"/>
      <c r="AE59" s="129">
        <v>-1000</v>
      </c>
      <c r="AF59" s="129">
        <v>-1261.3</v>
      </c>
      <c r="AG59" s="128"/>
      <c r="AH59" s="129"/>
      <c r="AI59" s="129">
        <v>450</v>
      </c>
      <c r="AJ59" s="129">
        <v>329.5</v>
      </c>
      <c r="AK59" s="129">
        <v>0</v>
      </c>
      <c r="AL59" s="129"/>
      <c r="AM59" s="128">
        <f t="shared" si="5"/>
        <v>906.4000000000001</v>
      </c>
      <c r="AN59" s="128">
        <f t="shared" si="5"/>
        <v>637.7</v>
      </c>
      <c r="AO59" s="111"/>
      <c r="AP59" s="130"/>
      <c r="AQ59" s="130"/>
      <c r="AR59" s="138"/>
      <c r="AS59" s="135"/>
    </row>
    <row r="60" spans="1:45" ht="18" customHeight="1">
      <c r="A60" s="126">
        <v>50</v>
      </c>
      <c r="B60" s="127" t="s">
        <v>409</v>
      </c>
      <c r="C60" s="128">
        <f t="shared" si="3"/>
        <v>45701.5</v>
      </c>
      <c r="D60" s="128">
        <f t="shared" si="3"/>
        <v>41114.100000000006</v>
      </c>
      <c r="E60" s="129">
        <v>18939.2</v>
      </c>
      <c r="F60" s="134">
        <v>18063.5</v>
      </c>
      <c r="G60" s="129">
        <v>3950</v>
      </c>
      <c r="H60" s="134">
        <v>3364.9</v>
      </c>
      <c r="I60" s="129">
        <v>12260</v>
      </c>
      <c r="J60" s="129">
        <v>10358.9</v>
      </c>
      <c r="K60" s="129"/>
      <c r="L60" s="129"/>
      <c r="M60" s="129">
        <v>3212.8</v>
      </c>
      <c r="N60" s="129">
        <v>3006.6</v>
      </c>
      <c r="O60" s="129">
        <v>0</v>
      </c>
      <c r="P60" s="129"/>
      <c r="Q60" s="129">
        <v>974</v>
      </c>
      <c r="R60" s="129">
        <v>974</v>
      </c>
      <c r="S60" s="129">
        <v>840</v>
      </c>
      <c r="T60" s="129">
        <v>0</v>
      </c>
      <c r="U60" s="128">
        <f t="shared" si="4"/>
        <v>40176</v>
      </c>
      <c r="V60" s="128">
        <f t="shared" si="4"/>
        <v>35767.9</v>
      </c>
      <c r="W60" s="129">
        <v>18925.5</v>
      </c>
      <c r="X60" s="129">
        <v>8937.1</v>
      </c>
      <c r="Y60" s="141"/>
      <c r="Z60" s="129"/>
      <c r="AA60" s="129"/>
      <c r="AB60" s="129"/>
      <c r="AC60" s="129">
        <v>0</v>
      </c>
      <c r="AD60" s="129"/>
      <c r="AE60" s="129">
        <v>-13400</v>
      </c>
      <c r="AF60" s="129">
        <v>-3590.9</v>
      </c>
      <c r="AG60" s="128"/>
      <c r="AH60" s="129"/>
      <c r="AI60" s="129"/>
      <c r="AJ60" s="129"/>
      <c r="AK60" s="129">
        <v>0</v>
      </c>
      <c r="AL60" s="129"/>
      <c r="AM60" s="128">
        <f t="shared" si="5"/>
        <v>5525.5</v>
      </c>
      <c r="AN60" s="128">
        <f t="shared" si="5"/>
        <v>5346.200000000001</v>
      </c>
      <c r="AO60" s="111"/>
      <c r="AP60" s="130"/>
      <c r="AQ60" s="130"/>
      <c r="AR60" s="138"/>
      <c r="AS60" s="135"/>
    </row>
    <row r="61" spans="1:45" ht="18" customHeight="1">
      <c r="A61" s="126">
        <v>51</v>
      </c>
      <c r="B61" s="127" t="s">
        <v>410</v>
      </c>
      <c r="C61" s="128">
        <f t="shared" si="3"/>
        <v>61306.2</v>
      </c>
      <c r="D61" s="128">
        <f t="shared" si="3"/>
        <v>55850.6</v>
      </c>
      <c r="E61" s="129">
        <v>21008</v>
      </c>
      <c r="F61" s="129">
        <v>20200.1</v>
      </c>
      <c r="G61" s="129">
        <v>4840.1</v>
      </c>
      <c r="H61" s="134">
        <v>4304.7</v>
      </c>
      <c r="I61" s="129">
        <v>23225.3</v>
      </c>
      <c r="J61" s="129">
        <v>19815.8</v>
      </c>
      <c r="K61" s="129"/>
      <c r="L61" s="129"/>
      <c r="M61" s="129">
        <v>0</v>
      </c>
      <c r="N61" s="129"/>
      <c r="O61" s="129">
        <v>0</v>
      </c>
      <c r="P61" s="129"/>
      <c r="Q61" s="129">
        <v>3700</v>
      </c>
      <c r="R61" s="129">
        <v>3490</v>
      </c>
      <c r="S61" s="129">
        <v>490</v>
      </c>
      <c r="T61" s="129">
        <v>300</v>
      </c>
      <c r="U61" s="128">
        <f t="shared" si="4"/>
        <v>53263.4</v>
      </c>
      <c r="V61" s="128">
        <f t="shared" si="4"/>
        <v>48110.6</v>
      </c>
      <c r="W61" s="129">
        <v>17042.8</v>
      </c>
      <c r="X61" s="129">
        <v>7740</v>
      </c>
      <c r="Y61" s="141"/>
      <c r="Z61" s="129"/>
      <c r="AA61" s="129"/>
      <c r="AB61" s="129"/>
      <c r="AC61" s="129">
        <v>0</v>
      </c>
      <c r="AD61" s="129"/>
      <c r="AE61" s="129">
        <v>-9000</v>
      </c>
      <c r="AF61" s="129"/>
      <c r="AG61" s="128"/>
      <c r="AH61" s="129"/>
      <c r="AI61" s="129">
        <v>2500</v>
      </c>
      <c r="AJ61" s="129">
        <v>2197.1</v>
      </c>
      <c r="AK61" s="129">
        <v>0</v>
      </c>
      <c r="AL61" s="129"/>
      <c r="AM61" s="128">
        <f t="shared" si="5"/>
        <v>8042.799999999999</v>
      </c>
      <c r="AN61" s="128">
        <f t="shared" si="5"/>
        <v>7740</v>
      </c>
      <c r="AO61" s="111"/>
      <c r="AP61" s="130"/>
      <c r="AQ61" s="130"/>
      <c r="AR61" s="138"/>
      <c r="AS61" s="135"/>
    </row>
    <row r="62" spans="1:45" ht="18" customHeight="1">
      <c r="A62" s="126">
        <v>52</v>
      </c>
      <c r="B62" s="127" t="s">
        <v>411</v>
      </c>
      <c r="C62" s="128">
        <f t="shared" si="3"/>
        <v>21773.2</v>
      </c>
      <c r="D62" s="128">
        <f t="shared" si="3"/>
        <v>21747.899999999998</v>
      </c>
      <c r="E62" s="129">
        <v>9900</v>
      </c>
      <c r="F62" s="129">
        <v>9895.9</v>
      </c>
      <c r="G62" s="129">
        <v>1933</v>
      </c>
      <c r="H62" s="129">
        <v>1915.5</v>
      </c>
      <c r="I62" s="129">
        <v>2848</v>
      </c>
      <c r="J62" s="129">
        <v>2844.4</v>
      </c>
      <c r="K62" s="129"/>
      <c r="L62" s="129"/>
      <c r="M62" s="129">
        <v>0</v>
      </c>
      <c r="N62" s="129"/>
      <c r="O62" s="129">
        <v>0</v>
      </c>
      <c r="P62" s="129"/>
      <c r="Q62" s="129">
        <v>954.8</v>
      </c>
      <c r="R62" s="129">
        <v>854.8</v>
      </c>
      <c r="S62" s="129">
        <v>0</v>
      </c>
      <c r="T62" s="129">
        <v>100</v>
      </c>
      <c r="U62" s="128">
        <f t="shared" si="4"/>
        <v>15635.8</v>
      </c>
      <c r="V62" s="128">
        <f t="shared" si="4"/>
        <v>15610.599999999999</v>
      </c>
      <c r="W62" s="129">
        <v>6280.3</v>
      </c>
      <c r="X62" s="129">
        <v>6280.2</v>
      </c>
      <c r="Y62" s="141"/>
      <c r="Z62" s="129"/>
      <c r="AA62" s="129"/>
      <c r="AB62" s="129"/>
      <c r="AC62" s="129">
        <v>0</v>
      </c>
      <c r="AD62" s="129"/>
      <c r="AE62" s="129">
        <v>-142.9</v>
      </c>
      <c r="AF62" s="129">
        <v>-142.9</v>
      </c>
      <c r="AG62" s="128"/>
      <c r="AH62" s="129"/>
      <c r="AI62" s="129">
        <v>5777</v>
      </c>
      <c r="AJ62" s="129">
        <v>5777</v>
      </c>
      <c r="AK62" s="129">
        <v>0</v>
      </c>
      <c r="AL62" s="129"/>
      <c r="AM62" s="128">
        <f t="shared" si="5"/>
        <v>6137.400000000001</v>
      </c>
      <c r="AN62" s="128">
        <f t="shared" si="5"/>
        <v>6137.3</v>
      </c>
      <c r="AO62" s="111"/>
      <c r="AP62" s="130"/>
      <c r="AQ62" s="130"/>
      <c r="AR62" s="138"/>
      <c r="AS62" s="135"/>
    </row>
    <row r="63" spans="1:45" ht="18" customHeight="1">
      <c r="A63" s="126">
        <v>53</v>
      </c>
      <c r="B63" s="127" t="s">
        <v>412</v>
      </c>
      <c r="C63" s="128">
        <f t="shared" si="3"/>
        <v>46314.8</v>
      </c>
      <c r="D63" s="128">
        <f t="shared" si="3"/>
        <v>38261.100000000006</v>
      </c>
      <c r="E63" s="129">
        <v>19446.4</v>
      </c>
      <c r="F63" s="134">
        <v>19222.9</v>
      </c>
      <c r="G63" s="129">
        <v>4349.8</v>
      </c>
      <c r="H63" s="134">
        <v>4127.6</v>
      </c>
      <c r="I63" s="129">
        <v>15003</v>
      </c>
      <c r="J63" s="129">
        <v>14175.9</v>
      </c>
      <c r="K63" s="129"/>
      <c r="L63" s="129"/>
      <c r="M63" s="129">
        <v>200</v>
      </c>
      <c r="N63" s="129">
        <v>100</v>
      </c>
      <c r="O63" s="129">
        <v>0</v>
      </c>
      <c r="P63" s="129"/>
      <c r="Q63" s="129">
        <v>2900</v>
      </c>
      <c r="R63" s="129">
        <v>2855</v>
      </c>
      <c r="S63" s="129">
        <v>1838.1</v>
      </c>
      <c r="T63" s="129">
        <v>226.8</v>
      </c>
      <c r="U63" s="128">
        <f t="shared" si="4"/>
        <v>43737.3</v>
      </c>
      <c r="V63" s="128">
        <f t="shared" si="4"/>
        <v>40708.200000000004</v>
      </c>
      <c r="W63" s="129">
        <v>12821.5</v>
      </c>
      <c r="X63" s="129">
        <v>6756.3</v>
      </c>
      <c r="Y63" s="141"/>
      <c r="Z63" s="129"/>
      <c r="AA63" s="129"/>
      <c r="AB63" s="129"/>
      <c r="AC63" s="129">
        <v>0</v>
      </c>
      <c r="AD63" s="129"/>
      <c r="AE63" s="129">
        <v>-10244</v>
      </c>
      <c r="AF63" s="129">
        <v>-9203.4</v>
      </c>
      <c r="AG63" s="128"/>
      <c r="AH63" s="129"/>
      <c r="AI63" s="129"/>
      <c r="AJ63" s="129"/>
      <c r="AK63" s="129">
        <v>0</v>
      </c>
      <c r="AL63" s="129"/>
      <c r="AM63" s="128">
        <f t="shared" si="5"/>
        <v>2577.5</v>
      </c>
      <c r="AN63" s="128">
        <f t="shared" si="5"/>
        <v>-2447.0999999999995</v>
      </c>
      <c r="AO63" s="111"/>
      <c r="AP63" s="130"/>
      <c r="AQ63" s="130"/>
      <c r="AR63" s="138"/>
      <c r="AS63" s="135"/>
    </row>
    <row r="64" spans="1:45" ht="18" customHeight="1">
      <c r="A64" s="126">
        <v>54</v>
      </c>
      <c r="B64" s="127" t="s">
        <v>413</v>
      </c>
      <c r="C64" s="128">
        <f t="shared" si="3"/>
        <v>58385.2</v>
      </c>
      <c r="D64" s="128">
        <f t="shared" si="3"/>
        <v>36553.7</v>
      </c>
      <c r="E64" s="129">
        <v>11526</v>
      </c>
      <c r="F64" s="134">
        <v>10411.4</v>
      </c>
      <c r="G64" s="129">
        <v>2674.6</v>
      </c>
      <c r="H64" s="134">
        <v>2526.7</v>
      </c>
      <c r="I64" s="129">
        <v>27049.4</v>
      </c>
      <c r="J64" s="129">
        <v>14819</v>
      </c>
      <c r="K64" s="129"/>
      <c r="L64" s="129"/>
      <c r="M64" s="129">
        <v>0</v>
      </c>
      <c r="N64" s="129"/>
      <c r="O64" s="129">
        <v>0</v>
      </c>
      <c r="P64" s="129"/>
      <c r="Q64" s="129">
        <v>6300</v>
      </c>
      <c r="R64" s="129">
        <v>5945</v>
      </c>
      <c r="S64" s="129">
        <v>660</v>
      </c>
      <c r="T64" s="129">
        <v>300</v>
      </c>
      <c r="U64" s="128">
        <f t="shared" si="4"/>
        <v>48210</v>
      </c>
      <c r="V64" s="128">
        <f t="shared" si="4"/>
        <v>34002.1</v>
      </c>
      <c r="W64" s="129">
        <v>21175.2</v>
      </c>
      <c r="X64" s="129">
        <v>3072</v>
      </c>
      <c r="Y64" s="141"/>
      <c r="Z64" s="129"/>
      <c r="AA64" s="129"/>
      <c r="AB64" s="129"/>
      <c r="AC64" s="129">
        <v>0</v>
      </c>
      <c r="AD64" s="129"/>
      <c r="AE64" s="129">
        <v>-11000</v>
      </c>
      <c r="AF64" s="129">
        <v>-520.4</v>
      </c>
      <c r="AG64" s="128"/>
      <c r="AH64" s="129"/>
      <c r="AI64" s="129"/>
      <c r="AJ64" s="129"/>
      <c r="AK64" s="129">
        <v>0</v>
      </c>
      <c r="AL64" s="129"/>
      <c r="AM64" s="128">
        <f t="shared" si="5"/>
        <v>10175.2</v>
      </c>
      <c r="AN64" s="128">
        <f t="shared" si="5"/>
        <v>2551.6</v>
      </c>
      <c r="AP64" s="130"/>
      <c r="AQ64" s="130"/>
      <c r="AR64" s="138"/>
      <c r="AS64" s="135"/>
    </row>
    <row r="65" spans="1:45" ht="18" customHeight="1">
      <c r="A65" s="126">
        <v>55</v>
      </c>
      <c r="B65" s="127" t="s">
        <v>414</v>
      </c>
      <c r="C65" s="128">
        <f t="shared" si="3"/>
        <v>9786</v>
      </c>
      <c r="D65" s="128">
        <f t="shared" si="3"/>
        <v>8810.5</v>
      </c>
      <c r="E65" s="129">
        <v>5836</v>
      </c>
      <c r="F65" s="134">
        <v>5766.6</v>
      </c>
      <c r="G65" s="129">
        <v>1650</v>
      </c>
      <c r="H65" s="134">
        <v>860.7</v>
      </c>
      <c r="I65" s="129">
        <v>2300</v>
      </c>
      <c r="J65" s="129">
        <v>2183.2</v>
      </c>
      <c r="K65" s="129"/>
      <c r="L65" s="129"/>
      <c r="M65" s="129">
        <v>0</v>
      </c>
      <c r="N65" s="129"/>
      <c r="O65" s="129">
        <v>0</v>
      </c>
      <c r="P65" s="129"/>
      <c r="Q65" s="129">
        <v>0</v>
      </c>
      <c r="R65" s="129"/>
      <c r="S65" s="129">
        <v>0</v>
      </c>
      <c r="T65" s="129"/>
      <c r="U65" s="128">
        <f t="shared" si="4"/>
        <v>9786</v>
      </c>
      <c r="V65" s="128">
        <f t="shared" si="4"/>
        <v>8810.5</v>
      </c>
      <c r="W65" s="129">
        <v>0</v>
      </c>
      <c r="X65" s="129"/>
      <c r="Y65" s="141"/>
      <c r="Z65" s="129"/>
      <c r="AA65" s="129"/>
      <c r="AB65" s="129"/>
      <c r="AC65" s="129">
        <v>0</v>
      </c>
      <c r="AD65" s="129"/>
      <c r="AE65" s="129"/>
      <c r="AF65" s="129"/>
      <c r="AG65" s="128"/>
      <c r="AH65" s="129"/>
      <c r="AI65" s="129"/>
      <c r="AJ65" s="129"/>
      <c r="AK65" s="129">
        <v>0</v>
      </c>
      <c r="AL65" s="129"/>
      <c r="AM65" s="128">
        <f t="shared" si="5"/>
        <v>0</v>
      </c>
      <c r="AN65" s="128">
        <f t="shared" si="5"/>
        <v>0</v>
      </c>
      <c r="AP65" s="130"/>
      <c r="AQ65" s="130"/>
      <c r="AR65" s="138"/>
      <c r="AS65" s="135"/>
    </row>
    <row r="66" spans="1:45" ht="18" customHeight="1">
      <c r="A66" s="126">
        <v>56</v>
      </c>
      <c r="B66" s="127" t="s">
        <v>415</v>
      </c>
      <c r="C66" s="128">
        <f t="shared" si="3"/>
        <v>44142</v>
      </c>
      <c r="D66" s="128">
        <f t="shared" si="3"/>
        <v>38627.6</v>
      </c>
      <c r="E66" s="129">
        <v>15330</v>
      </c>
      <c r="F66" s="129">
        <v>14699.1</v>
      </c>
      <c r="G66" s="129">
        <v>3922</v>
      </c>
      <c r="H66" s="129">
        <v>3336.8</v>
      </c>
      <c r="I66" s="129">
        <v>10289</v>
      </c>
      <c r="J66" s="129">
        <v>8279.7</v>
      </c>
      <c r="K66" s="129"/>
      <c r="L66" s="129"/>
      <c r="M66" s="129">
        <v>0</v>
      </c>
      <c r="N66" s="129"/>
      <c r="O66" s="129">
        <v>0</v>
      </c>
      <c r="P66" s="129"/>
      <c r="Q66" s="129">
        <v>2531</v>
      </c>
      <c r="R66" s="129">
        <v>2370</v>
      </c>
      <c r="S66" s="129">
        <v>300</v>
      </c>
      <c r="T66" s="129"/>
      <c r="U66" s="128">
        <f t="shared" si="4"/>
        <v>32372</v>
      </c>
      <c r="V66" s="128">
        <f t="shared" si="4"/>
        <v>28685.6</v>
      </c>
      <c r="W66" s="129">
        <v>13570</v>
      </c>
      <c r="X66" s="129">
        <v>12450</v>
      </c>
      <c r="Y66" s="141"/>
      <c r="Z66" s="129"/>
      <c r="AA66" s="129"/>
      <c r="AB66" s="129"/>
      <c r="AC66" s="129">
        <v>0</v>
      </c>
      <c r="AD66" s="129"/>
      <c r="AE66" s="129">
        <v>-1800</v>
      </c>
      <c r="AF66" s="129">
        <v>-2508</v>
      </c>
      <c r="AG66" s="128"/>
      <c r="AH66" s="129"/>
      <c r="AI66" s="129">
        <v>11770</v>
      </c>
      <c r="AJ66" s="129">
        <v>9942</v>
      </c>
      <c r="AK66" s="129">
        <v>0</v>
      </c>
      <c r="AL66" s="129"/>
      <c r="AM66" s="128">
        <f t="shared" si="5"/>
        <v>11770</v>
      </c>
      <c r="AN66" s="128">
        <f t="shared" si="5"/>
        <v>9942</v>
      </c>
      <c r="AP66" s="130"/>
      <c r="AQ66" s="130"/>
      <c r="AR66" s="138"/>
      <c r="AS66" s="135"/>
    </row>
    <row r="67" spans="1:45" ht="18" customHeight="1">
      <c r="A67" s="126">
        <v>57</v>
      </c>
      <c r="B67" s="127" t="s">
        <v>416</v>
      </c>
      <c r="C67" s="128">
        <f t="shared" si="3"/>
        <v>38328.3</v>
      </c>
      <c r="D67" s="128">
        <f t="shared" si="3"/>
        <v>26062.399999999998</v>
      </c>
      <c r="E67" s="129">
        <v>12580</v>
      </c>
      <c r="F67" s="134">
        <v>11721.8</v>
      </c>
      <c r="G67" s="129">
        <v>2406</v>
      </c>
      <c r="H67" s="134">
        <v>2017.5</v>
      </c>
      <c r="I67" s="129">
        <v>7450</v>
      </c>
      <c r="J67" s="129">
        <v>5868.3</v>
      </c>
      <c r="K67" s="129"/>
      <c r="L67" s="129"/>
      <c r="M67" s="129">
        <v>0</v>
      </c>
      <c r="N67" s="129"/>
      <c r="O67" s="129">
        <v>9000</v>
      </c>
      <c r="P67" s="129">
        <v>0</v>
      </c>
      <c r="Q67" s="129">
        <v>700</v>
      </c>
      <c r="R67" s="129">
        <v>610</v>
      </c>
      <c r="S67" s="129">
        <v>346.9</v>
      </c>
      <c r="T67" s="129"/>
      <c r="U67" s="128">
        <f t="shared" si="4"/>
        <v>32482.9</v>
      </c>
      <c r="V67" s="128">
        <f t="shared" si="4"/>
        <v>20217.6</v>
      </c>
      <c r="W67" s="129">
        <v>6845.4</v>
      </c>
      <c r="X67" s="129">
        <v>6414</v>
      </c>
      <c r="Y67" s="141"/>
      <c r="Z67" s="129"/>
      <c r="AA67" s="129"/>
      <c r="AB67" s="129"/>
      <c r="AC67" s="129">
        <v>0</v>
      </c>
      <c r="AD67" s="129"/>
      <c r="AE67" s="129">
        <v>-1000</v>
      </c>
      <c r="AF67" s="129">
        <v>-569.2</v>
      </c>
      <c r="AG67" s="128"/>
      <c r="AH67" s="129"/>
      <c r="AI67" s="129"/>
      <c r="AJ67" s="129"/>
      <c r="AK67" s="129">
        <v>0</v>
      </c>
      <c r="AL67" s="129"/>
      <c r="AM67" s="128">
        <f t="shared" si="5"/>
        <v>5845.4</v>
      </c>
      <c r="AN67" s="128">
        <f t="shared" si="5"/>
        <v>5844.8</v>
      </c>
      <c r="AP67" s="130"/>
      <c r="AQ67" s="130"/>
      <c r="AR67" s="138"/>
      <c r="AS67" s="135"/>
    </row>
    <row r="68" spans="1:45" ht="18" customHeight="1">
      <c r="A68" s="126">
        <v>58</v>
      </c>
      <c r="B68" s="127" t="s">
        <v>417</v>
      </c>
      <c r="C68" s="128">
        <f t="shared" si="3"/>
        <v>47152.899999999994</v>
      </c>
      <c r="D68" s="128">
        <f t="shared" si="3"/>
        <v>26554.6</v>
      </c>
      <c r="E68" s="129">
        <v>15627</v>
      </c>
      <c r="F68" s="134">
        <v>15495.9</v>
      </c>
      <c r="G68" s="129">
        <v>2920</v>
      </c>
      <c r="H68" s="134">
        <v>2770.4</v>
      </c>
      <c r="I68" s="129">
        <v>6491.9</v>
      </c>
      <c r="J68" s="129">
        <v>2579.3</v>
      </c>
      <c r="K68" s="129"/>
      <c r="L68" s="129"/>
      <c r="M68" s="129">
        <v>0</v>
      </c>
      <c r="N68" s="129"/>
      <c r="O68" s="129">
        <v>2000</v>
      </c>
      <c r="P68" s="129"/>
      <c r="Q68" s="129">
        <v>2500</v>
      </c>
      <c r="R68" s="129">
        <v>1490</v>
      </c>
      <c r="S68" s="129">
        <v>1801.7</v>
      </c>
      <c r="T68" s="129"/>
      <c r="U68" s="128">
        <f t="shared" si="4"/>
        <v>31340.6</v>
      </c>
      <c r="V68" s="128">
        <f t="shared" si="4"/>
        <v>22335.6</v>
      </c>
      <c r="W68" s="129">
        <v>15812.3</v>
      </c>
      <c r="X68" s="129">
        <v>4340</v>
      </c>
      <c r="Y68" s="141"/>
      <c r="Z68" s="129"/>
      <c r="AA68" s="129"/>
      <c r="AB68" s="129"/>
      <c r="AC68" s="129">
        <v>0</v>
      </c>
      <c r="AD68" s="129"/>
      <c r="AE68" s="129"/>
      <c r="AF68" s="129">
        <v>-121</v>
      </c>
      <c r="AG68" s="128"/>
      <c r="AH68" s="129"/>
      <c r="AI68" s="129"/>
      <c r="AJ68" s="129"/>
      <c r="AK68" s="129">
        <v>0</v>
      </c>
      <c r="AL68" s="129"/>
      <c r="AM68" s="128">
        <f t="shared" si="5"/>
        <v>15812.3</v>
      </c>
      <c r="AN68" s="128">
        <f t="shared" si="5"/>
        <v>4219</v>
      </c>
      <c r="AP68" s="130"/>
      <c r="AQ68" s="130"/>
      <c r="AR68" s="138"/>
      <c r="AS68" s="135"/>
    </row>
    <row r="69" spans="1:45" ht="18" customHeight="1">
      <c r="A69" s="126">
        <v>59</v>
      </c>
      <c r="B69" s="127" t="s">
        <v>418</v>
      </c>
      <c r="C69" s="128">
        <f t="shared" si="3"/>
        <v>18879.6</v>
      </c>
      <c r="D69" s="128">
        <f t="shared" si="3"/>
        <v>17330.7</v>
      </c>
      <c r="E69" s="129">
        <v>8680</v>
      </c>
      <c r="F69" s="134">
        <v>8503.6</v>
      </c>
      <c r="G69" s="129">
        <v>1943</v>
      </c>
      <c r="H69" s="134">
        <v>1864.7</v>
      </c>
      <c r="I69" s="129">
        <v>5631.7</v>
      </c>
      <c r="J69" s="129">
        <v>4546.7</v>
      </c>
      <c r="K69" s="129"/>
      <c r="L69" s="129"/>
      <c r="M69" s="129">
        <v>0</v>
      </c>
      <c r="N69" s="129"/>
      <c r="O69" s="129">
        <v>0</v>
      </c>
      <c r="P69" s="129"/>
      <c r="Q69" s="129">
        <v>800</v>
      </c>
      <c r="R69" s="129">
        <v>600</v>
      </c>
      <c r="S69" s="129">
        <v>0</v>
      </c>
      <c r="T69" s="129"/>
      <c r="U69" s="128">
        <f t="shared" si="4"/>
        <v>17054.7</v>
      </c>
      <c r="V69" s="128">
        <f t="shared" si="4"/>
        <v>15515</v>
      </c>
      <c r="W69" s="129">
        <v>14324.9</v>
      </c>
      <c r="X69" s="129">
        <v>1940</v>
      </c>
      <c r="Y69" s="141"/>
      <c r="Z69" s="129"/>
      <c r="AA69" s="129"/>
      <c r="AB69" s="129"/>
      <c r="AC69" s="129">
        <v>0</v>
      </c>
      <c r="AD69" s="129"/>
      <c r="AE69" s="129">
        <v>-12500</v>
      </c>
      <c r="AF69" s="129">
        <v>-124.3</v>
      </c>
      <c r="AG69" s="128"/>
      <c r="AH69" s="129"/>
      <c r="AI69" s="129"/>
      <c r="AJ69" s="129"/>
      <c r="AK69" s="129">
        <v>0</v>
      </c>
      <c r="AL69" s="129"/>
      <c r="AM69" s="128">
        <f t="shared" si="5"/>
        <v>1824.8999999999996</v>
      </c>
      <c r="AN69" s="128">
        <f t="shared" si="5"/>
        <v>1815.7</v>
      </c>
      <c r="AP69" s="130"/>
      <c r="AQ69" s="130"/>
      <c r="AR69" s="138"/>
      <c r="AS69" s="135"/>
    </row>
    <row r="70" spans="1:45" ht="18" customHeight="1">
      <c r="A70" s="126">
        <v>60</v>
      </c>
      <c r="B70" s="127" t="s">
        <v>419</v>
      </c>
      <c r="C70" s="128">
        <f t="shared" si="3"/>
        <v>35630.6</v>
      </c>
      <c r="D70" s="128">
        <f t="shared" si="3"/>
        <v>32958.6</v>
      </c>
      <c r="E70" s="129">
        <v>13590</v>
      </c>
      <c r="F70" s="134">
        <v>13257.9</v>
      </c>
      <c r="G70" s="129">
        <v>2680</v>
      </c>
      <c r="H70" s="134">
        <v>2558.1</v>
      </c>
      <c r="I70" s="129">
        <v>7943.6</v>
      </c>
      <c r="J70" s="129">
        <v>5875.5</v>
      </c>
      <c r="K70" s="129"/>
      <c r="L70" s="129"/>
      <c r="M70" s="129">
        <v>0</v>
      </c>
      <c r="N70" s="129"/>
      <c r="O70" s="129">
        <v>3533.2</v>
      </c>
      <c r="P70" s="129">
        <v>3533.2</v>
      </c>
      <c r="Q70" s="129">
        <v>1580</v>
      </c>
      <c r="R70" s="129">
        <v>1580</v>
      </c>
      <c r="S70" s="129">
        <v>333</v>
      </c>
      <c r="T70" s="129">
        <v>247</v>
      </c>
      <c r="U70" s="128">
        <f t="shared" si="4"/>
        <v>29659.8</v>
      </c>
      <c r="V70" s="128">
        <f t="shared" si="4"/>
        <v>27051.7</v>
      </c>
      <c r="W70" s="129">
        <v>6214.4</v>
      </c>
      <c r="X70" s="129">
        <v>6150.5</v>
      </c>
      <c r="Y70" s="141"/>
      <c r="Z70" s="129"/>
      <c r="AA70" s="129"/>
      <c r="AB70" s="129"/>
      <c r="AC70" s="129">
        <v>0</v>
      </c>
      <c r="AD70" s="129"/>
      <c r="AE70" s="129">
        <v>-243.6</v>
      </c>
      <c r="AF70" s="129">
        <v>-243.6</v>
      </c>
      <c r="AG70" s="128"/>
      <c r="AH70" s="129"/>
      <c r="AI70" s="129">
        <v>3683.8</v>
      </c>
      <c r="AJ70" s="129">
        <v>3620</v>
      </c>
      <c r="AK70" s="129">
        <v>0</v>
      </c>
      <c r="AL70" s="129"/>
      <c r="AM70" s="128">
        <f t="shared" si="5"/>
        <v>5970.799999999999</v>
      </c>
      <c r="AN70" s="128">
        <f t="shared" si="5"/>
        <v>5906.9</v>
      </c>
      <c r="AP70" s="130"/>
      <c r="AQ70" s="130"/>
      <c r="AR70" s="139"/>
      <c r="AS70" s="135"/>
    </row>
    <row r="71" spans="1:45" ht="18" customHeight="1">
      <c r="A71" s="126">
        <v>61</v>
      </c>
      <c r="B71" s="127" t="s">
        <v>420</v>
      </c>
      <c r="C71" s="128">
        <f t="shared" si="3"/>
        <v>32325.9</v>
      </c>
      <c r="D71" s="128">
        <f t="shared" si="3"/>
        <v>27197</v>
      </c>
      <c r="E71" s="129">
        <v>12120</v>
      </c>
      <c r="F71" s="134">
        <v>11813.8</v>
      </c>
      <c r="G71" s="129">
        <v>2678</v>
      </c>
      <c r="H71" s="134">
        <v>2399.9</v>
      </c>
      <c r="I71" s="129">
        <v>8820</v>
      </c>
      <c r="J71" s="129">
        <v>5003.1</v>
      </c>
      <c r="K71" s="129"/>
      <c r="L71" s="129"/>
      <c r="M71" s="129">
        <v>0</v>
      </c>
      <c r="N71" s="129"/>
      <c r="O71" s="129">
        <v>0</v>
      </c>
      <c r="P71" s="129"/>
      <c r="Q71" s="129">
        <v>3150</v>
      </c>
      <c r="R71" s="129">
        <v>3150</v>
      </c>
      <c r="S71" s="129">
        <v>200</v>
      </c>
      <c r="T71" s="129">
        <v>187.6</v>
      </c>
      <c r="U71" s="128">
        <f t="shared" si="4"/>
        <v>26968</v>
      </c>
      <c r="V71" s="128">
        <f t="shared" si="4"/>
        <v>22554.4</v>
      </c>
      <c r="W71" s="129">
        <v>13357.9</v>
      </c>
      <c r="X71" s="129">
        <v>5013.6</v>
      </c>
      <c r="Y71" s="141"/>
      <c r="Z71" s="129"/>
      <c r="AA71" s="129"/>
      <c r="AB71" s="129"/>
      <c r="AC71" s="129">
        <v>0</v>
      </c>
      <c r="AD71" s="129"/>
      <c r="AE71" s="129">
        <v>-8000</v>
      </c>
      <c r="AF71" s="129">
        <v>-371</v>
      </c>
      <c r="AG71" s="128"/>
      <c r="AH71" s="129"/>
      <c r="AI71" s="129"/>
      <c r="AJ71" s="129"/>
      <c r="AK71" s="129">
        <v>0</v>
      </c>
      <c r="AL71" s="129"/>
      <c r="AM71" s="128">
        <f t="shared" si="5"/>
        <v>5357.9</v>
      </c>
      <c r="AN71" s="128">
        <f t="shared" si="5"/>
        <v>4642.6</v>
      </c>
      <c r="AP71" s="130"/>
      <c r="AQ71" s="130"/>
      <c r="AR71" s="138"/>
      <c r="AS71" s="135"/>
    </row>
    <row r="72" spans="1:45" ht="18" customHeight="1">
      <c r="A72" s="126">
        <v>62</v>
      </c>
      <c r="B72" s="127" t="s">
        <v>421</v>
      </c>
      <c r="C72" s="128">
        <f t="shared" si="3"/>
        <v>44247.2</v>
      </c>
      <c r="D72" s="128">
        <f t="shared" si="3"/>
        <v>29770.1</v>
      </c>
      <c r="E72" s="129">
        <v>15900</v>
      </c>
      <c r="F72" s="129">
        <v>11910.9</v>
      </c>
      <c r="G72" s="129">
        <v>2370</v>
      </c>
      <c r="H72" s="129">
        <v>0</v>
      </c>
      <c r="I72" s="129">
        <v>10607.2</v>
      </c>
      <c r="J72" s="129">
        <v>5955.3</v>
      </c>
      <c r="K72" s="129"/>
      <c r="L72" s="129"/>
      <c r="M72" s="129">
        <v>0</v>
      </c>
      <c r="N72" s="129"/>
      <c r="O72" s="129">
        <v>0</v>
      </c>
      <c r="P72" s="129"/>
      <c r="Q72" s="129">
        <v>6220</v>
      </c>
      <c r="R72" s="129">
        <v>6219.4</v>
      </c>
      <c r="S72" s="129">
        <v>650</v>
      </c>
      <c r="T72" s="129">
        <v>0</v>
      </c>
      <c r="U72" s="128">
        <f t="shared" si="4"/>
        <v>35747.2</v>
      </c>
      <c r="V72" s="128">
        <f t="shared" si="4"/>
        <v>24085.6</v>
      </c>
      <c r="W72" s="129">
        <v>11312</v>
      </c>
      <c r="X72" s="129">
        <v>8497</v>
      </c>
      <c r="Y72" s="141"/>
      <c r="Z72" s="129"/>
      <c r="AA72" s="129"/>
      <c r="AB72" s="129"/>
      <c r="AC72" s="129">
        <v>0</v>
      </c>
      <c r="AD72" s="129"/>
      <c r="AE72" s="129">
        <v>-2812</v>
      </c>
      <c r="AF72" s="129">
        <v>-2812.5</v>
      </c>
      <c r="AG72" s="128"/>
      <c r="AH72" s="129"/>
      <c r="AI72" s="129">
        <v>8500</v>
      </c>
      <c r="AJ72" s="129">
        <v>6463</v>
      </c>
      <c r="AK72" s="129">
        <v>0</v>
      </c>
      <c r="AL72" s="129"/>
      <c r="AM72" s="128">
        <f t="shared" si="5"/>
        <v>8500</v>
      </c>
      <c r="AN72" s="128">
        <f t="shared" si="5"/>
        <v>5684.5</v>
      </c>
      <c r="AP72" s="130"/>
      <c r="AQ72" s="130"/>
      <c r="AR72" s="138"/>
      <c r="AS72" s="135"/>
    </row>
    <row r="73" spans="1:45" ht="18" customHeight="1">
      <c r="A73" s="126">
        <v>63</v>
      </c>
      <c r="B73" s="127" t="s">
        <v>422</v>
      </c>
      <c r="C73" s="128">
        <f t="shared" si="3"/>
        <v>27895.1</v>
      </c>
      <c r="D73" s="128">
        <f t="shared" si="3"/>
        <v>27663.899999999998</v>
      </c>
      <c r="E73" s="129">
        <v>11690</v>
      </c>
      <c r="F73" s="134">
        <v>11689.9</v>
      </c>
      <c r="G73" s="129">
        <v>2480</v>
      </c>
      <c r="H73" s="134">
        <v>2476.2</v>
      </c>
      <c r="I73" s="129">
        <v>8064.5</v>
      </c>
      <c r="J73" s="129">
        <v>8008</v>
      </c>
      <c r="K73" s="129"/>
      <c r="L73" s="129"/>
      <c r="M73" s="129">
        <v>0</v>
      </c>
      <c r="N73" s="129"/>
      <c r="O73" s="129">
        <v>2135.5</v>
      </c>
      <c r="P73" s="129">
        <v>2135.5</v>
      </c>
      <c r="Q73" s="129">
        <v>1700</v>
      </c>
      <c r="R73" s="129">
        <v>1700</v>
      </c>
      <c r="S73" s="129">
        <v>325</v>
      </c>
      <c r="T73" s="129">
        <v>300</v>
      </c>
      <c r="U73" s="128">
        <f t="shared" si="4"/>
        <v>26395</v>
      </c>
      <c r="V73" s="128">
        <f t="shared" si="4"/>
        <v>26309.6</v>
      </c>
      <c r="W73" s="129">
        <v>1500.1</v>
      </c>
      <c r="X73" s="129">
        <v>1444</v>
      </c>
      <c r="Y73" s="141"/>
      <c r="Z73" s="129"/>
      <c r="AA73" s="129"/>
      <c r="AB73" s="129"/>
      <c r="AC73" s="129">
        <v>0</v>
      </c>
      <c r="AD73" s="129"/>
      <c r="AE73" s="129"/>
      <c r="AF73" s="129">
        <v>-89.7</v>
      </c>
      <c r="AG73" s="128"/>
      <c r="AH73" s="129"/>
      <c r="AI73" s="129">
        <v>1176.3</v>
      </c>
      <c r="AJ73" s="129">
        <v>1056.5</v>
      </c>
      <c r="AK73" s="129">
        <v>0</v>
      </c>
      <c r="AL73" s="129"/>
      <c r="AM73" s="128">
        <f t="shared" si="5"/>
        <v>1500.1</v>
      </c>
      <c r="AN73" s="128">
        <f t="shared" si="5"/>
        <v>1354.3</v>
      </c>
      <c r="AP73" s="130"/>
      <c r="AQ73" s="130"/>
      <c r="AR73" s="138"/>
      <c r="AS73" s="135"/>
    </row>
    <row r="74" spans="1:45" ht="18" customHeight="1">
      <c r="A74" s="126">
        <v>64</v>
      </c>
      <c r="B74" s="127" t="s">
        <v>423</v>
      </c>
      <c r="C74" s="128">
        <f t="shared" si="3"/>
        <v>19410.6</v>
      </c>
      <c r="D74" s="128">
        <f t="shared" si="3"/>
        <v>17244.7</v>
      </c>
      <c r="E74" s="129">
        <v>8943.3</v>
      </c>
      <c r="F74" s="134">
        <v>8820.6</v>
      </c>
      <c r="G74" s="129">
        <v>1977.1</v>
      </c>
      <c r="H74" s="134">
        <v>1941.8</v>
      </c>
      <c r="I74" s="129">
        <v>6910.2</v>
      </c>
      <c r="J74" s="129">
        <v>6510.3</v>
      </c>
      <c r="K74" s="129"/>
      <c r="L74" s="129"/>
      <c r="M74" s="129">
        <v>0</v>
      </c>
      <c r="N74" s="129"/>
      <c r="O74" s="129">
        <v>0</v>
      </c>
      <c r="P74" s="129"/>
      <c r="Q74" s="129">
        <v>360</v>
      </c>
      <c r="R74" s="129">
        <v>360</v>
      </c>
      <c r="S74" s="129">
        <v>20</v>
      </c>
      <c r="T74" s="129"/>
      <c r="U74" s="128">
        <f t="shared" si="4"/>
        <v>18210.6</v>
      </c>
      <c r="V74" s="128">
        <f t="shared" si="4"/>
        <v>17632.7</v>
      </c>
      <c r="W74" s="129">
        <v>1200</v>
      </c>
      <c r="X74" s="129">
        <v>1200</v>
      </c>
      <c r="Y74" s="141"/>
      <c r="Z74" s="129"/>
      <c r="AA74" s="129"/>
      <c r="AB74" s="129"/>
      <c r="AC74" s="129">
        <v>0</v>
      </c>
      <c r="AD74" s="129"/>
      <c r="AE74" s="129"/>
      <c r="AF74" s="129">
        <v>-1588</v>
      </c>
      <c r="AG74" s="128"/>
      <c r="AH74" s="129"/>
      <c r="AI74" s="129">
        <v>1200</v>
      </c>
      <c r="AJ74" s="129">
        <v>310</v>
      </c>
      <c r="AK74" s="129">
        <v>0</v>
      </c>
      <c r="AL74" s="129"/>
      <c r="AM74" s="128">
        <f t="shared" si="5"/>
        <v>1200</v>
      </c>
      <c r="AN74" s="128">
        <f t="shared" si="5"/>
        <v>-388</v>
      </c>
      <c r="AP74" s="130"/>
      <c r="AQ74" s="130"/>
      <c r="AR74" s="139"/>
      <c r="AS74" s="135"/>
    </row>
    <row r="75" spans="1:45" ht="18" customHeight="1">
      <c r="A75" s="126">
        <v>65</v>
      </c>
      <c r="B75" s="127" t="s">
        <v>424</v>
      </c>
      <c r="C75" s="128">
        <f aca="true" t="shared" si="6" ref="C75:D107">U75+AM75</f>
        <v>35122.700000000004</v>
      </c>
      <c r="D75" s="128">
        <f t="shared" si="6"/>
        <v>30316.5</v>
      </c>
      <c r="E75" s="129">
        <v>10715.6</v>
      </c>
      <c r="F75" s="134">
        <v>10637.4</v>
      </c>
      <c r="G75" s="129">
        <v>2359</v>
      </c>
      <c r="H75" s="134">
        <v>2327.8</v>
      </c>
      <c r="I75" s="129">
        <v>9234.8</v>
      </c>
      <c r="J75" s="129">
        <v>9138.8</v>
      </c>
      <c r="K75" s="129"/>
      <c r="L75" s="129"/>
      <c r="M75" s="129">
        <v>0</v>
      </c>
      <c r="N75" s="129"/>
      <c r="O75" s="129">
        <v>0</v>
      </c>
      <c r="P75" s="129"/>
      <c r="Q75" s="129">
        <v>5730</v>
      </c>
      <c r="R75" s="129">
        <v>5730</v>
      </c>
      <c r="S75" s="129">
        <v>170</v>
      </c>
      <c r="T75" s="129">
        <v>150</v>
      </c>
      <c r="U75" s="128">
        <f aca="true" t="shared" si="7" ref="U75:V92">S75+Q75+O75+M75+K75+I75+G75+E75</f>
        <v>28209.4</v>
      </c>
      <c r="V75" s="128">
        <f t="shared" si="7"/>
        <v>27984</v>
      </c>
      <c r="W75" s="129">
        <v>6913.3</v>
      </c>
      <c r="X75" s="129">
        <v>2596.6</v>
      </c>
      <c r="Y75" s="141"/>
      <c r="Z75" s="129"/>
      <c r="AA75" s="129"/>
      <c r="AB75" s="129"/>
      <c r="AC75" s="129">
        <v>0</v>
      </c>
      <c r="AD75" s="129"/>
      <c r="AE75" s="129"/>
      <c r="AF75" s="129">
        <v>-264.1</v>
      </c>
      <c r="AG75" s="128"/>
      <c r="AH75" s="129"/>
      <c r="AI75" s="129">
        <v>6300</v>
      </c>
      <c r="AJ75" s="129">
        <v>1719.2</v>
      </c>
      <c r="AK75" s="129">
        <v>0</v>
      </c>
      <c r="AL75" s="129"/>
      <c r="AM75" s="128">
        <f aca="true" t="shared" si="8" ref="AM75:AN107">AG75+AE75+AC75+AA75+Y75+W75+AK75</f>
        <v>6913.3</v>
      </c>
      <c r="AN75" s="128">
        <f t="shared" si="8"/>
        <v>2332.5</v>
      </c>
      <c r="AP75" s="130"/>
      <c r="AQ75" s="130"/>
      <c r="AR75" s="138"/>
      <c r="AS75" s="135"/>
    </row>
    <row r="76" spans="1:45" ht="18" customHeight="1">
      <c r="A76" s="126">
        <v>66</v>
      </c>
      <c r="B76" s="127" t="s">
        <v>425</v>
      </c>
      <c r="C76" s="128">
        <f t="shared" si="6"/>
        <v>83131</v>
      </c>
      <c r="D76" s="128">
        <f t="shared" si="6"/>
        <v>81358.6</v>
      </c>
      <c r="E76" s="129">
        <v>18510</v>
      </c>
      <c r="F76" s="134">
        <v>24640</v>
      </c>
      <c r="G76" s="129">
        <v>3810</v>
      </c>
      <c r="H76" s="134">
        <v>2560</v>
      </c>
      <c r="I76" s="129">
        <v>36147.6</v>
      </c>
      <c r="J76" s="129">
        <v>33508.5</v>
      </c>
      <c r="K76" s="129"/>
      <c r="L76" s="129"/>
      <c r="M76" s="129">
        <v>0</v>
      </c>
      <c r="N76" s="129"/>
      <c r="O76" s="129">
        <v>0</v>
      </c>
      <c r="P76" s="129"/>
      <c r="Q76" s="129">
        <v>3000</v>
      </c>
      <c r="R76" s="129">
        <v>7807.5</v>
      </c>
      <c r="S76" s="129">
        <v>0</v>
      </c>
      <c r="T76" s="129">
        <v>600</v>
      </c>
      <c r="U76" s="128">
        <f t="shared" si="7"/>
        <v>61467.6</v>
      </c>
      <c r="V76" s="128">
        <f t="shared" si="7"/>
        <v>69116</v>
      </c>
      <c r="W76" s="129">
        <v>35163.4</v>
      </c>
      <c r="X76" s="129">
        <v>19077</v>
      </c>
      <c r="Y76" s="141"/>
      <c r="Z76" s="129"/>
      <c r="AA76" s="129"/>
      <c r="AB76" s="129"/>
      <c r="AC76" s="129">
        <v>0</v>
      </c>
      <c r="AD76" s="129"/>
      <c r="AE76" s="129">
        <v>-13500</v>
      </c>
      <c r="AF76" s="129">
        <v>-6834.4</v>
      </c>
      <c r="AG76" s="128"/>
      <c r="AH76" s="129"/>
      <c r="AI76" s="129">
        <v>15360</v>
      </c>
      <c r="AJ76" s="129">
        <v>5940</v>
      </c>
      <c r="AK76" s="129">
        <v>0</v>
      </c>
      <c r="AL76" s="129"/>
      <c r="AM76" s="128">
        <f t="shared" si="8"/>
        <v>21663.4</v>
      </c>
      <c r="AN76" s="128">
        <f t="shared" si="8"/>
        <v>12242.6</v>
      </c>
      <c r="AP76" s="130"/>
      <c r="AQ76" s="130"/>
      <c r="AR76" s="138"/>
      <c r="AS76" s="135"/>
    </row>
    <row r="77" spans="1:45" ht="18" customHeight="1">
      <c r="A77" s="126">
        <v>67</v>
      </c>
      <c r="B77" s="127" t="s">
        <v>426</v>
      </c>
      <c r="C77" s="128">
        <f t="shared" si="6"/>
        <v>27056.899999999998</v>
      </c>
      <c r="D77" s="128">
        <f t="shared" si="6"/>
        <v>24560.100000000002</v>
      </c>
      <c r="E77" s="129">
        <v>8037.3</v>
      </c>
      <c r="F77" s="134">
        <v>7995.3</v>
      </c>
      <c r="G77" s="129">
        <v>3234.8</v>
      </c>
      <c r="H77" s="134">
        <v>2034.1</v>
      </c>
      <c r="I77" s="129">
        <v>6534.8</v>
      </c>
      <c r="J77" s="129">
        <v>5481.7</v>
      </c>
      <c r="K77" s="129"/>
      <c r="L77" s="129"/>
      <c r="M77" s="129">
        <v>0</v>
      </c>
      <c r="N77" s="129"/>
      <c r="O77" s="129">
        <v>0</v>
      </c>
      <c r="P77" s="129"/>
      <c r="Q77" s="129">
        <v>3160</v>
      </c>
      <c r="R77" s="129">
        <v>3160</v>
      </c>
      <c r="S77" s="129">
        <v>200</v>
      </c>
      <c r="T77" s="129"/>
      <c r="U77" s="128">
        <f t="shared" si="7"/>
        <v>21166.899999999998</v>
      </c>
      <c r="V77" s="128">
        <f t="shared" si="7"/>
        <v>18671.100000000002</v>
      </c>
      <c r="W77" s="129">
        <v>9890</v>
      </c>
      <c r="X77" s="129">
        <v>5889</v>
      </c>
      <c r="Y77" s="141"/>
      <c r="Z77" s="129"/>
      <c r="AA77" s="129"/>
      <c r="AB77" s="129"/>
      <c r="AC77" s="129">
        <v>0</v>
      </c>
      <c r="AD77" s="129"/>
      <c r="AE77" s="129">
        <v>-4000</v>
      </c>
      <c r="AF77" s="129">
        <v>0</v>
      </c>
      <c r="AG77" s="128"/>
      <c r="AH77" s="129"/>
      <c r="AI77" s="129">
        <v>4806</v>
      </c>
      <c r="AJ77" s="129">
        <v>4805</v>
      </c>
      <c r="AK77" s="129">
        <v>0</v>
      </c>
      <c r="AL77" s="129"/>
      <c r="AM77" s="128">
        <f t="shared" si="8"/>
        <v>5890</v>
      </c>
      <c r="AN77" s="128">
        <f t="shared" si="8"/>
        <v>5889</v>
      </c>
      <c r="AP77" s="130"/>
      <c r="AQ77" s="130"/>
      <c r="AR77" s="139"/>
      <c r="AS77" s="135"/>
    </row>
    <row r="78" spans="1:45" ht="18" customHeight="1">
      <c r="A78" s="126">
        <v>68</v>
      </c>
      <c r="B78" s="127" t="s">
        <v>427</v>
      </c>
      <c r="C78" s="128">
        <f t="shared" si="6"/>
        <v>33548.3</v>
      </c>
      <c r="D78" s="128">
        <f t="shared" si="6"/>
        <v>25500.9</v>
      </c>
      <c r="E78" s="129">
        <v>12710</v>
      </c>
      <c r="F78" s="134">
        <v>12096.2</v>
      </c>
      <c r="G78" s="129">
        <v>2660</v>
      </c>
      <c r="H78" s="134">
        <v>2659.7</v>
      </c>
      <c r="I78" s="129">
        <v>11180.1</v>
      </c>
      <c r="J78" s="129">
        <v>5748.6</v>
      </c>
      <c r="K78" s="129"/>
      <c r="L78" s="129"/>
      <c r="M78" s="129">
        <v>0</v>
      </c>
      <c r="N78" s="129"/>
      <c r="O78" s="129">
        <v>0</v>
      </c>
      <c r="P78" s="129"/>
      <c r="Q78" s="129">
        <v>4000</v>
      </c>
      <c r="R78" s="129">
        <v>4000</v>
      </c>
      <c r="S78" s="129">
        <v>1300</v>
      </c>
      <c r="T78" s="129">
        <v>0</v>
      </c>
      <c r="U78" s="128">
        <f t="shared" si="7"/>
        <v>31850.1</v>
      </c>
      <c r="V78" s="128">
        <f t="shared" si="7"/>
        <v>24504.5</v>
      </c>
      <c r="W78" s="129">
        <v>21348.2</v>
      </c>
      <c r="X78" s="129">
        <v>10432.7</v>
      </c>
      <c r="Y78" s="141"/>
      <c r="Z78" s="129"/>
      <c r="AA78" s="129"/>
      <c r="AB78" s="129"/>
      <c r="AC78" s="129">
        <v>0</v>
      </c>
      <c r="AD78" s="129"/>
      <c r="AE78" s="129">
        <v>-19650</v>
      </c>
      <c r="AF78" s="129">
        <v>-9436.3</v>
      </c>
      <c r="AG78" s="128"/>
      <c r="AH78" s="129"/>
      <c r="AI78" s="129"/>
      <c r="AJ78" s="129"/>
      <c r="AK78" s="129">
        <v>0</v>
      </c>
      <c r="AL78" s="129"/>
      <c r="AM78" s="128">
        <f t="shared" si="8"/>
        <v>1698.2000000000007</v>
      </c>
      <c r="AN78" s="128">
        <f t="shared" si="8"/>
        <v>996.4000000000015</v>
      </c>
      <c r="AP78" s="130"/>
      <c r="AQ78" s="130"/>
      <c r="AR78" s="138"/>
      <c r="AS78" s="135"/>
    </row>
    <row r="79" spans="1:45" ht="18" customHeight="1">
      <c r="A79" s="126">
        <v>69</v>
      </c>
      <c r="B79" s="127" t="s">
        <v>428</v>
      </c>
      <c r="C79" s="128">
        <f t="shared" si="6"/>
        <v>26566.9</v>
      </c>
      <c r="D79" s="128">
        <f t="shared" si="6"/>
        <v>19000.8</v>
      </c>
      <c r="E79" s="129">
        <v>10014</v>
      </c>
      <c r="F79" s="134">
        <v>8582.1</v>
      </c>
      <c r="G79" s="129">
        <v>2026</v>
      </c>
      <c r="H79" s="134">
        <v>1601.1</v>
      </c>
      <c r="I79" s="129">
        <v>5197.2</v>
      </c>
      <c r="J79" s="129">
        <v>4214</v>
      </c>
      <c r="K79" s="129"/>
      <c r="L79" s="129"/>
      <c r="M79" s="129">
        <v>0</v>
      </c>
      <c r="N79" s="129"/>
      <c r="O79" s="129">
        <v>4788</v>
      </c>
      <c r="P79" s="129">
        <v>4787</v>
      </c>
      <c r="Q79" s="129">
        <v>800</v>
      </c>
      <c r="R79" s="129">
        <v>800</v>
      </c>
      <c r="S79" s="129">
        <v>14.8</v>
      </c>
      <c r="T79" s="129">
        <v>14.8</v>
      </c>
      <c r="U79" s="128">
        <f t="shared" si="7"/>
        <v>22840</v>
      </c>
      <c r="V79" s="128">
        <f t="shared" si="7"/>
        <v>19999</v>
      </c>
      <c r="W79" s="129">
        <v>3726.9</v>
      </c>
      <c r="X79" s="129">
        <v>940</v>
      </c>
      <c r="Y79" s="141"/>
      <c r="Z79" s="129"/>
      <c r="AA79" s="129"/>
      <c r="AB79" s="129"/>
      <c r="AC79" s="129">
        <v>0</v>
      </c>
      <c r="AD79" s="129"/>
      <c r="AE79" s="129"/>
      <c r="AF79" s="129">
        <v>-1938.2</v>
      </c>
      <c r="AG79" s="128"/>
      <c r="AH79" s="129"/>
      <c r="AI79" s="129"/>
      <c r="AJ79" s="129"/>
      <c r="AK79" s="129">
        <v>0</v>
      </c>
      <c r="AL79" s="129"/>
      <c r="AM79" s="128">
        <f t="shared" si="8"/>
        <v>3726.9</v>
      </c>
      <c r="AN79" s="128">
        <f t="shared" si="8"/>
        <v>-998.2</v>
      </c>
      <c r="AP79" s="130"/>
      <c r="AQ79" s="130"/>
      <c r="AR79" s="138"/>
      <c r="AS79" s="135"/>
    </row>
    <row r="80" spans="1:45" ht="18" customHeight="1">
      <c r="A80" s="126">
        <v>70</v>
      </c>
      <c r="B80" s="127" t="s">
        <v>429</v>
      </c>
      <c r="C80" s="128">
        <f t="shared" si="6"/>
        <v>92951</v>
      </c>
      <c r="D80" s="128">
        <f t="shared" si="6"/>
        <v>85484.8</v>
      </c>
      <c r="E80" s="129">
        <v>37110.4</v>
      </c>
      <c r="F80" s="134">
        <v>35225.3</v>
      </c>
      <c r="G80" s="129">
        <v>6650</v>
      </c>
      <c r="H80" s="134">
        <v>5961.2</v>
      </c>
      <c r="I80" s="129">
        <v>18311.3</v>
      </c>
      <c r="J80" s="129">
        <v>15996.9</v>
      </c>
      <c r="K80" s="129"/>
      <c r="L80" s="129"/>
      <c r="M80" s="129">
        <v>9765.3</v>
      </c>
      <c r="N80" s="129">
        <v>9007</v>
      </c>
      <c r="O80" s="129">
        <v>1000</v>
      </c>
      <c r="P80" s="129"/>
      <c r="Q80" s="129">
        <v>7000</v>
      </c>
      <c r="R80" s="129">
        <v>6880</v>
      </c>
      <c r="S80" s="129">
        <v>864</v>
      </c>
      <c r="T80" s="129">
        <v>863.6</v>
      </c>
      <c r="U80" s="128">
        <f t="shared" si="7"/>
        <v>80701</v>
      </c>
      <c r="V80" s="128">
        <f t="shared" si="7"/>
        <v>73934</v>
      </c>
      <c r="W80" s="129">
        <v>12250</v>
      </c>
      <c r="X80" s="129">
        <v>12168.9</v>
      </c>
      <c r="Y80" s="141"/>
      <c r="Z80" s="129"/>
      <c r="AA80" s="129"/>
      <c r="AB80" s="129"/>
      <c r="AC80" s="129">
        <v>0</v>
      </c>
      <c r="AD80" s="129"/>
      <c r="AE80" s="129"/>
      <c r="AF80" s="129">
        <v>-618.1</v>
      </c>
      <c r="AG80" s="128"/>
      <c r="AH80" s="129"/>
      <c r="AI80" s="129">
        <v>5705</v>
      </c>
      <c r="AJ80" s="129">
        <v>5623.9</v>
      </c>
      <c r="AK80" s="129">
        <v>0</v>
      </c>
      <c r="AL80" s="129"/>
      <c r="AM80" s="128">
        <f t="shared" si="8"/>
        <v>12250</v>
      </c>
      <c r="AN80" s="128">
        <f t="shared" si="8"/>
        <v>11550.8</v>
      </c>
      <c r="AP80" s="130"/>
      <c r="AQ80" s="130"/>
      <c r="AR80" s="139"/>
      <c r="AS80" s="135"/>
    </row>
    <row r="81" spans="1:45" ht="18" customHeight="1">
      <c r="A81" s="126">
        <v>71</v>
      </c>
      <c r="B81" s="127" t="s">
        <v>430</v>
      </c>
      <c r="C81" s="128">
        <f t="shared" si="6"/>
        <v>71701.29999999999</v>
      </c>
      <c r="D81" s="128">
        <f t="shared" si="6"/>
        <v>66394.8</v>
      </c>
      <c r="E81" s="129">
        <v>30248</v>
      </c>
      <c r="F81" s="134">
        <v>28704.4</v>
      </c>
      <c r="G81" s="129">
        <v>6713</v>
      </c>
      <c r="H81" s="134">
        <v>6068.4</v>
      </c>
      <c r="I81" s="129">
        <v>18283.2</v>
      </c>
      <c r="J81" s="129">
        <v>15819.2</v>
      </c>
      <c r="K81" s="129"/>
      <c r="L81" s="129"/>
      <c r="M81" s="129">
        <v>5569</v>
      </c>
      <c r="N81" s="129">
        <v>5205</v>
      </c>
      <c r="O81" s="129">
        <v>0</v>
      </c>
      <c r="P81" s="129"/>
      <c r="Q81" s="129">
        <v>4500</v>
      </c>
      <c r="R81" s="129">
        <v>4500</v>
      </c>
      <c r="S81" s="129">
        <v>502</v>
      </c>
      <c r="T81" s="129">
        <v>500</v>
      </c>
      <c r="U81" s="128">
        <f t="shared" si="7"/>
        <v>65815.2</v>
      </c>
      <c r="V81" s="128">
        <f t="shared" si="7"/>
        <v>60797</v>
      </c>
      <c r="W81" s="129">
        <v>18036.1</v>
      </c>
      <c r="X81" s="129">
        <v>5679.8</v>
      </c>
      <c r="Y81" s="141"/>
      <c r="Z81" s="129"/>
      <c r="AA81" s="129"/>
      <c r="AB81" s="129"/>
      <c r="AC81" s="129">
        <v>0</v>
      </c>
      <c r="AD81" s="129"/>
      <c r="AE81" s="129">
        <v>-12150</v>
      </c>
      <c r="AF81" s="129">
        <v>-82</v>
      </c>
      <c r="AG81" s="128"/>
      <c r="AH81" s="129"/>
      <c r="AI81" s="129">
        <v>550</v>
      </c>
      <c r="AJ81" s="129">
        <v>406.2</v>
      </c>
      <c r="AK81" s="129">
        <v>0</v>
      </c>
      <c r="AL81" s="129"/>
      <c r="AM81" s="128">
        <f t="shared" si="8"/>
        <v>5886.0999999999985</v>
      </c>
      <c r="AN81" s="128">
        <f t="shared" si="8"/>
        <v>5597.8</v>
      </c>
      <c r="AP81" s="130"/>
      <c r="AQ81" s="130"/>
      <c r="AR81" s="138"/>
      <c r="AS81" s="135"/>
    </row>
    <row r="82" spans="1:45" ht="18" customHeight="1">
      <c r="A82" s="126">
        <v>72</v>
      </c>
      <c r="B82" s="127" t="s">
        <v>431</v>
      </c>
      <c r="C82" s="128">
        <f t="shared" si="6"/>
        <v>28185</v>
      </c>
      <c r="D82" s="128">
        <f t="shared" si="6"/>
        <v>24449</v>
      </c>
      <c r="E82" s="129">
        <v>9555</v>
      </c>
      <c r="F82" s="134">
        <v>9551</v>
      </c>
      <c r="G82" s="129">
        <v>1870</v>
      </c>
      <c r="H82" s="134">
        <v>1867</v>
      </c>
      <c r="I82" s="129">
        <v>8480</v>
      </c>
      <c r="J82" s="129">
        <v>7481</v>
      </c>
      <c r="K82" s="129"/>
      <c r="L82" s="129"/>
      <c r="M82" s="129">
        <v>0</v>
      </c>
      <c r="N82" s="129"/>
      <c r="O82" s="129">
        <v>0</v>
      </c>
      <c r="P82" s="129"/>
      <c r="Q82" s="129">
        <v>2850</v>
      </c>
      <c r="R82" s="129">
        <v>2850</v>
      </c>
      <c r="S82" s="129">
        <v>500</v>
      </c>
      <c r="T82" s="129">
        <v>0</v>
      </c>
      <c r="U82" s="128">
        <f t="shared" si="7"/>
        <v>23255</v>
      </c>
      <c r="V82" s="128">
        <f t="shared" si="7"/>
        <v>21749</v>
      </c>
      <c r="W82" s="129">
        <v>4930</v>
      </c>
      <c r="X82" s="129">
        <v>2700</v>
      </c>
      <c r="Y82" s="141"/>
      <c r="Z82" s="129"/>
      <c r="AA82" s="129"/>
      <c r="AB82" s="129"/>
      <c r="AC82" s="129">
        <v>0</v>
      </c>
      <c r="AD82" s="129"/>
      <c r="AE82" s="129"/>
      <c r="AF82" s="129"/>
      <c r="AG82" s="128"/>
      <c r="AH82" s="129"/>
      <c r="AI82" s="129">
        <v>4200</v>
      </c>
      <c r="AJ82" s="129">
        <v>1970</v>
      </c>
      <c r="AK82" s="129">
        <v>0</v>
      </c>
      <c r="AL82" s="129"/>
      <c r="AM82" s="128">
        <f t="shared" si="8"/>
        <v>4930</v>
      </c>
      <c r="AN82" s="128">
        <f t="shared" si="8"/>
        <v>2700</v>
      </c>
      <c r="AP82" s="130"/>
      <c r="AQ82" s="130"/>
      <c r="AR82" s="139"/>
      <c r="AS82" s="135"/>
    </row>
    <row r="83" spans="1:45" ht="18" customHeight="1">
      <c r="A83" s="126">
        <v>73</v>
      </c>
      <c r="B83" s="127" t="s">
        <v>432</v>
      </c>
      <c r="C83" s="128">
        <f t="shared" si="6"/>
        <v>32020.2</v>
      </c>
      <c r="D83" s="128">
        <f t="shared" si="6"/>
        <v>26187.600000000002</v>
      </c>
      <c r="E83" s="129">
        <v>12750</v>
      </c>
      <c r="F83" s="134">
        <v>12710</v>
      </c>
      <c r="G83" s="129">
        <v>2716</v>
      </c>
      <c r="H83" s="134">
        <v>2515.1</v>
      </c>
      <c r="I83" s="129">
        <v>7661.1</v>
      </c>
      <c r="J83" s="129">
        <v>5378.1</v>
      </c>
      <c r="K83" s="129"/>
      <c r="L83" s="129"/>
      <c r="M83" s="129">
        <v>0</v>
      </c>
      <c r="N83" s="129"/>
      <c r="O83" s="129">
        <v>0</v>
      </c>
      <c r="P83" s="129"/>
      <c r="Q83" s="129">
        <v>2300</v>
      </c>
      <c r="R83" s="129">
        <v>2160</v>
      </c>
      <c r="S83" s="129">
        <v>1872.4</v>
      </c>
      <c r="T83" s="129">
        <v>180</v>
      </c>
      <c r="U83" s="128">
        <f t="shared" si="7"/>
        <v>27299.5</v>
      </c>
      <c r="V83" s="128">
        <f t="shared" si="7"/>
        <v>22943.2</v>
      </c>
      <c r="W83" s="129">
        <v>4720.7</v>
      </c>
      <c r="X83" s="129">
        <v>4719.5</v>
      </c>
      <c r="Y83" s="141"/>
      <c r="Z83" s="129"/>
      <c r="AA83" s="129"/>
      <c r="AB83" s="129"/>
      <c r="AC83" s="129">
        <v>0</v>
      </c>
      <c r="AD83" s="129"/>
      <c r="AE83" s="129"/>
      <c r="AF83" s="129">
        <v>-1475.1</v>
      </c>
      <c r="AG83" s="128"/>
      <c r="AH83" s="129"/>
      <c r="AI83" s="129"/>
      <c r="AJ83" s="129"/>
      <c r="AK83" s="129">
        <v>0</v>
      </c>
      <c r="AL83" s="129"/>
      <c r="AM83" s="128">
        <f t="shared" si="8"/>
        <v>4720.7</v>
      </c>
      <c r="AN83" s="128">
        <f t="shared" si="8"/>
        <v>3244.4</v>
      </c>
      <c r="AP83" s="130"/>
      <c r="AQ83" s="130"/>
      <c r="AR83" s="138"/>
      <c r="AS83" s="135"/>
    </row>
    <row r="84" spans="1:45" ht="18" customHeight="1">
      <c r="A84" s="126">
        <v>74</v>
      </c>
      <c r="B84" s="127" t="s">
        <v>433</v>
      </c>
      <c r="C84" s="128">
        <f t="shared" si="6"/>
        <v>43825.7</v>
      </c>
      <c r="D84" s="128">
        <f t="shared" si="6"/>
        <v>32395.4</v>
      </c>
      <c r="E84" s="129">
        <v>12263.2</v>
      </c>
      <c r="F84" s="134">
        <v>11889.9</v>
      </c>
      <c r="G84" s="129">
        <v>2605.2</v>
      </c>
      <c r="H84" s="134">
        <v>2432.4</v>
      </c>
      <c r="I84" s="129">
        <v>11408.5</v>
      </c>
      <c r="J84" s="129">
        <v>7572.2</v>
      </c>
      <c r="K84" s="129"/>
      <c r="L84" s="129"/>
      <c r="M84" s="129">
        <v>0</v>
      </c>
      <c r="N84" s="129"/>
      <c r="O84" s="129">
        <v>0</v>
      </c>
      <c r="P84" s="129"/>
      <c r="Q84" s="129">
        <v>2900</v>
      </c>
      <c r="R84" s="129">
        <v>2900</v>
      </c>
      <c r="S84" s="129">
        <v>5580</v>
      </c>
      <c r="T84" s="129"/>
      <c r="U84" s="128">
        <f t="shared" si="7"/>
        <v>34756.9</v>
      </c>
      <c r="V84" s="128">
        <f t="shared" si="7"/>
        <v>24794.5</v>
      </c>
      <c r="W84" s="129">
        <v>9068.8</v>
      </c>
      <c r="X84" s="129">
        <v>7600.9</v>
      </c>
      <c r="Y84" s="141"/>
      <c r="Z84" s="129"/>
      <c r="AA84" s="129"/>
      <c r="AB84" s="129"/>
      <c r="AC84" s="129">
        <v>0</v>
      </c>
      <c r="AD84" s="129"/>
      <c r="AE84" s="129"/>
      <c r="AF84" s="129"/>
      <c r="AG84" s="128"/>
      <c r="AH84" s="129"/>
      <c r="AI84" s="129"/>
      <c r="AJ84" s="129"/>
      <c r="AK84" s="129">
        <v>0</v>
      </c>
      <c r="AL84" s="129"/>
      <c r="AM84" s="128">
        <f t="shared" si="8"/>
        <v>9068.8</v>
      </c>
      <c r="AN84" s="128">
        <f t="shared" si="8"/>
        <v>7600.9</v>
      </c>
      <c r="AP84" s="130"/>
      <c r="AQ84" s="130"/>
      <c r="AR84" s="138"/>
      <c r="AS84" s="135"/>
    </row>
    <row r="85" spans="1:45" ht="18" customHeight="1">
      <c r="A85" s="126">
        <v>75</v>
      </c>
      <c r="B85" s="127" t="s">
        <v>434</v>
      </c>
      <c r="C85" s="128">
        <f t="shared" si="6"/>
        <v>37154.2</v>
      </c>
      <c r="D85" s="128">
        <f t="shared" si="6"/>
        <v>30039.699999999997</v>
      </c>
      <c r="E85" s="129">
        <v>14277</v>
      </c>
      <c r="F85" s="134">
        <v>14223.1</v>
      </c>
      <c r="G85" s="129">
        <v>3625</v>
      </c>
      <c r="H85" s="134">
        <v>2919</v>
      </c>
      <c r="I85" s="129">
        <v>11223.6</v>
      </c>
      <c r="J85" s="129">
        <v>7219</v>
      </c>
      <c r="K85" s="129"/>
      <c r="L85" s="129"/>
      <c r="M85" s="129">
        <v>0</v>
      </c>
      <c r="N85" s="129"/>
      <c r="O85" s="129">
        <v>0</v>
      </c>
      <c r="P85" s="129"/>
      <c r="Q85" s="129">
        <v>4000</v>
      </c>
      <c r="R85" s="129">
        <v>3250</v>
      </c>
      <c r="S85" s="129">
        <v>100</v>
      </c>
      <c r="T85" s="129">
        <v>150</v>
      </c>
      <c r="U85" s="128">
        <f t="shared" si="7"/>
        <v>33225.6</v>
      </c>
      <c r="V85" s="128">
        <f t="shared" si="7"/>
        <v>27761.1</v>
      </c>
      <c r="W85" s="129">
        <v>3928.6</v>
      </c>
      <c r="X85" s="129">
        <v>2278.6</v>
      </c>
      <c r="Y85" s="141"/>
      <c r="Z85" s="129"/>
      <c r="AA85" s="129"/>
      <c r="AB85" s="129"/>
      <c r="AC85" s="129">
        <v>0</v>
      </c>
      <c r="AD85" s="129"/>
      <c r="AE85" s="129"/>
      <c r="AF85" s="129"/>
      <c r="AG85" s="128"/>
      <c r="AH85" s="129"/>
      <c r="AI85" s="129"/>
      <c r="AJ85" s="129"/>
      <c r="AK85" s="129">
        <v>0</v>
      </c>
      <c r="AL85" s="129"/>
      <c r="AM85" s="128">
        <f t="shared" si="8"/>
        <v>3928.6</v>
      </c>
      <c r="AN85" s="128">
        <f t="shared" si="8"/>
        <v>2278.6</v>
      </c>
      <c r="AP85" s="130"/>
      <c r="AQ85" s="130"/>
      <c r="AR85" s="138"/>
      <c r="AS85" s="135"/>
    </row>
    <row r="86" spans="1:45" ht="18" customHeight="1">
      <c r="A86" s="126">
        <v>76</v>
      </c>
      <c r="B86" s="127" t="s">
        <v>435</v>
      </c>
      <c r="C86" s="128">
        <f t="shared" si="6"/>
        <v>17918.7</v>
      </c>
      <c r="D86" s="128">
        <f t="shared" si="6"/>
        <v>16714.5</v>
      </c>
      <c r="E86" s="129">
        <v>9360</v>
      </c>
      <c r="F86" s="134">
        <v>9344.6</v>
      </c>
      <c r="G86" s="129">
        <v>1851</v>
      </c>
      <c r="H86" s="134">
        <v>1830.3</v>
      </c>
      <c r="I86" s="129">
        <v>4350</v>
      </c>
      <c r="J86" s="129">
        <v>4119.6</v>
      </c>
      <c r="K86" s="129"/>
      <c r="L86" s="129"/>
      <c r="M86" s="129">
        <v>0</v>
      </c>
      <c r="N86" s="129"/>
      <c r="O86" s="129">
        <v>0</v>
      </c>
      <c r="P86" s="129"/>
      <c r="Q86" s="129">
        <v>1000</v>
      </c>
      <c r="R86" s="129">
        <v>1000</v>
      </c>
      <c r="S86" s="129">
        <v>914.7</v>
      </c>
      <c r="T86" s="129"/>
      <c r="U86" s="128">
        <f t="shared" si="7"/>
        <v>17475.7</v>
      </c>
      <c r="V86" s="128">
        <f t="shared" si="7"/>
        <v>16294.5</v>
      </c>
      <c r="W86" s="129">
        <v>3963</v>
      </c>
      <c r="X86" s="129">
        <v>420</v>
      </c>
      <c r="Y86" s="141"/>
      <c r="Z86" s="129"/>
      <c r="AA86" s="129"/>
      <c r="AB86" s="129"/>
      <c r="AC86" s="129">
        <v>0</v>
      </c>
      <c r="AD86" s="129"/>
      <c r="AE86" s="129">
        <v>-3520</v>
      </c>
      <c r="AF86" s="129"/>
      <c r="AG86" s="128"/>
      <c r="AH86" s="129"/>
      <c r="AI86" s="129"/>
      <c r="AJ86" s="129"/>
      <c r="AK86" s="129">
        <v>0</v>
      </c>
      <c r="AL86" s="129"/>
      <c r="AM86" s="128">
        <f t="shared" si="8"/>
        <v>443</v>
      </c>
      <c r="AN86" s="128">
        <f t="shared" si="8"/>
        <v>420</v>
      </c>
      <c r="AP86" s="130"/>
      <c r="AQ86" s="130"/>
      <c r="AR86" s="138"/>
      <c r="AS86" s="135"/>
    </row>
    <row r="87" spans="1:45" ht="18" customHeight="1">
      <c r="A87" s="126">
        <v>77</v>
      </c>
      <c r="B87" s="127" t="s">
        <v>436</v>
      </c>
      <c r="C87" s="128">
        <f t="shared" si="6"/>
        <v>26536.1</v>
      </c>
      <c r="D87" s="128">
        <f t="shared" si="6"/>
        <v>22654.7</v>
      </c>
      <c r="E87" s="129">
        <v>11725</v>
      </c>
      <c r="F87" s="134">
        <v>10486</v>
      </c>
      <c r="G87" s="129">
        <v>4814</v>
      </c>
      <c r="H87" s="129">
        <v>4142.9</v>
      </c>
      <c r="I87" s="129">
        <v>7497.1</v>
      </c>
      <c r="J87" s="129">
        <v>5636</v>
      </c>
      <c r="K87" s="129"/>
      <c r="L87" s="129"/>
      <c r="M87" s="129">
        <v>0</v>
      </c>
      <c r="N87" s="129"/>
      <c r="O87" s="129">
        <v>0</v>
      </c>
      <c r="P87" s="129"/>
      <c r="Q87" s="129">
        <v>1000</v>
      </c>
      <c r="R87" s="129">
        <v>1000</v>
      </c>
      <c r="S87" s="129"/>
      <c r="T87" s="129"/>
      <c r="U87" s="128">
        <f t="shared" si="7"/>
        <v>25036.1</v>
      </c>
      <c r="V87" s="128">
        <f t="shared" si="7"/>
        <v>21264.9</v>
      </c>
      <c r="W87" s="129">
        <v>1500</v>
      </c>
      <c r="X87" s="129">
        <v>1500</v>
      </c>
      <c r="Y87" s="141"/>
      <c r="Z87" s="129"/>
      <c r="AA87" s="129"/>
      <c r="AB87" s="129"/>
      <c r="AC87" s="129">
        <v>0</v>
      </c>
      <c r="AD87" s="129"/>
      <c r="AE87" s="129"/>
      <c r="AF87" s="129">
        <v>-110.2</v>
      </c>
      <c r="AG87" s="128"/>
      <c r="AH87" s="129"/>
      <c r="AI87" s="129">
        <v>1500</v>
      </c>
      <c r="AJ87" s="129">
        <v>1389.7</v>
      </c>
      <c r="AK87" s="129">
        <v>0</v>
      </c>
      <c r="AL87" s="129"/>
      <c r="AM87" s="128">
        <f t="shared" si="8"/>
        <v>1500</v>
      </c>
      <c r="AN87" s="128">
        <f t="shared" si="8"/>
        <v>1389.8</v>
      </c>
      <c r="AP87" s="130"/>
      <c r="AQ87" s="130"/>
      <c r="AR87" s="138"/>
      <c r="AS87" s="135"/>
    </row>
    <row r="88" spans="1:45" ht="18" customHeight="1">
      <c r="A88" s="126">
        <v>78</v>
      </c>
      <c r="B88" s="127" t="s">
        <v>437</v>
      </c>
      <c r="C88" s="128">
        <f t="shared" si="6"/>
        <v>45847</v>
      </c>
      <c r="D88" s="128">
        <f t="shared" si="6"/>
        <v>40884.299999999996</v>
      </c>
      <c r="E88" s="129">
        <v>16075</v>
      </c>
      <c r="F88" s="129">
        <v>15221.9</v>
      </c>
      <c r="G88" s="129">
        <v>2787.6</v>
      </c>
      <c r="H88" s="134">
        <v>2387.6</v>
      </c>
      <c r="I88" s="129">
        <v>14407.2</v>
      </c>
      <c r="J88" s="129">
        <v>13440.1</v>
      </c>
      <c r="K88" s="129"/>
      <c r="L88" s="129"/>
      <c r="M88" s="129">
        <v>5950</v>
      </c>
      <c r="N88" s="129">
        <v>6083</v>
      </c>
      <c r="O88" s="129">
        <v>0</v>
      </c>
      <c r="P88" s="129"/>
      <c r="Q88" s="129">
        <v>2200</v>
      </c>
      <c r="R88" s="129">
        <v>2250</v>
      </c>
      <c r="S88" s="129">
        <v>1500</v>
      </c>
      <c r="T88" s="129">
        <v>500</v>
      </c>
      <c r="U88" s="128">
        <f t="shared" si="7"/>
        <v>42919.8</v>
      </c>
      <c r="V88" s="128">
        <f t="shared" si="7"/>
        <v>39882.6</v>
      </c>
      <c r="W88" s="129">
        <v>8157.2</v>
      </c>
      <c r="X88" s="129">
        <v>1603</v>
      </c>
      <c r="Y88" s="141"/>
      <c r="Z88" s="129"/>
      <c r="AA88" s="129"/>
      <c r="AB88" s="129"/>
      <c r="AC88" s="129">
        <v>-5230</v>
      </c>
      <c r="AD88" s="129">
        <v>-601.3</v>
      </c>
      <c r="AE88" s="129"/>
      <c r="AF88" s="129"/>
      <c r="AG88" s="128"/>
      <c r="AH88" s="129"/>
      <c r="AI88" s="129">
        <v>2927.2</v>
      </c>
      <c r="AJ88" s="129">
        <v>1054.6</v>
      </c>
      <c r="AK88" s="129">
        <v>0</v>
      </c>
      <c r="AL88" s="129"/>
      <c r="AM88" s="128">
        <f t="shared" si="8"/>
        <v>2927.2</v>
      </c>
      <c r="AN88" s="128">
        <f t="shared" si="8"/>
        <v>1001.7</v>
      </c>
      <c r="AP88" s="130"/>
      <c r="AQ88" s="130"/>
      <c r="AR88" s="138"/>
      <c r="AS88" s="135"/>
    </row>
    <row r="89" spans="1:45" ht="18" customHeight="1">
      <c r="A89" s="126">
        <v>79</v>
      </c>
      <c r="B89" s="127" t="s">
        <v>438</v>
      </c>
      <c r="C89" s="128">
        <f t="shared" si="6"/>
        <v>13671</v>
      </c>
      <c r="D89" s="128">
        <f t="shared" si="6"/>
        <v>7257.9</v>
      </c>
      <c r="E89" s="129">
        <v>8995.6</v>
      </c>
      <c r="F89" s="129">
        <v>6403.7</v>
      </c>
      <c r="G89" s="129">
        <v>1475.4</v>
      </c>
      <c r="H89" s="129">
        <v>200</v>
      </c>
      <c r="I89" s="129">
        <v>2050</v>
      </c>
      <c r="J89" s="129">
        <v>654.2</v>
      </c>
      <c r="K89" s="129"/>
      <c r="L89" s="129"/>
      <c r="M89" s="129">
        <v>0</v>
      </c>
      <c r="N89" s="129"/>
      <c r="O89" s="129">
        <v>0</v>
      </c>
      <c r="P89" s="129"/>
      <c r="Q89" s="129">
        <v>0</v>
      </c>
      <c r="R89" s="129"/>
      <c r="S89" s="129">
        <v>1150</v>
      </c>
      <c r="T89" s="129"/>
      <c r="U89" s="128">
        <f t="shared" si="7"/>
        <v>13671</v>
      </c>
      <c r="V89" s="128">
        <f t="shared" si="7"/>
        <v>7257.9</v>
      </c>
      <c r="W89" s="129">
        <v>0</v>
      </c>
      <c r="X89" s="129"/>
      <c r="Y89" s="141"/>
      <c r="Z89" s="129"/>
      <c r="AA89" s="129"/>
      <c r="AB89" s="129"/>
      <c r="AC89" s="129">
        <v>0</v>
      </c>
      <c r="AD89" s="129"/>
      <c r="AE89" s="129">
        <v>-3000</v>
      </c>
      <c r="AF89" s="129"/>
      <c r="AG89" s="128"/>
      <c r="AH89" s="129"/>
      <c r="AI89" s="129"/>
      <c r="AJ89" s="129"/>
      <c r="AK89" s="129">
        <v>3000</v>
      </c>
      <c r="AL89" s="129"/>
      <c r="AM89" s="128">
        <f t="shared" si="8"/>
        <v>0</v>
      </c>
      <c r="AN89" s="128">
        <f t="shared" si="8"/>
        <v>0</v>
      </c>
      <c r="AP89" s="130"/>
      <c r="AQ89" s="130"/>
      <c r="AR89" s="138"/>
      <c r="AS89" s="135"/>
    </row>
    <row r="90" spans="1:45" ht="18" customHeight="1">
      <c r="A90" s="126">
        <v>80</v>
      </c>
      <c r="B90" s="127" t="s">
        <v>439</v>
      </c>
      <c r="C90" s="128">
        <f t="shared" si="6"/>
        <v>29173</v>
      </c>
      <c r="D90" s="128">
        <f t="shared" si="6"/>
        <v>28904.100000000002</v>
      </c>
      <c r="E90" s="129">
        <v>10363.5</v>
      </c>
      <c r="F90" s="134">
        <v>10325.6</v>
      </c>
      <c r="G90" s="129">
        <v>2421.1</v>
      </c>
      <c r="H90" s="134">
        <v>2262.1</v>
      </c>
      <c r="I90" s="129">
        <v>8902.8</v>
      </c>
      <c r="J90" s="129">
        <v>8867.8</v>
      </c>
      <c r="K90" s="129"/>
      <c r="L90" s="129"/>
      <c r="M90" s="129">
        <v>2412.2</v>
      </c>
      <c r="N90" s="129">
        <v>2388.9</v>
      </c>
      <c r="O90" s="129">
        <v>100</v>
      </c>
      <c r="P90" s="129">
        <v>100</v>
      </c>
      <c r="Q90" s="129">
        <v>2810</v>
      </c>
      <c r="R90" s="129">
        <v>2808</v>
      </c>
      <c r="S90" s="129">
        <v>150</v>
      </c>
      <c r="T90" s="129">
        <v>150</v>
      </c>
      <c r="U90" s="128">
        <f t="shared" si="7"/>
        <v>27159.6</v>
      </c>
      <c r="V90" s="128">
        <f t="shared" si="7"/>
        <v>26902.4</v>
      </c>
      <c r="W90" s="129">
        <v>6813.4</v>
      </c>
      <c r="X90" s="129">
        <v>3118.3</v>
      </c>
      <c r="Y90" s="141"/>
      <c r="Z90" s="129"/>
      <c r="AA90" s="129"/>
      <c r="AB90" s="129"/>
      <c r="AC90" s="129">
        <v>0</v>
      </c>
      <c r="AD90" s="129"/>
      <c r="AE90" s="129">
        <v>-4800</v>
      </c>
      <c r="AF90" s="129">
        <v>-1116.6</v>
      </c>
      <c r="AG90" s="128"/>
      <c r="AH90" s="129"/>
      <c r="AI90" s="129">
        <v>2000</v>
      </c>
      <c r="AJ90" s="129">
        <v>1988.2</v>
      </c>
      <c r="AK90" s="129">
        <v>0</v>
      </c>
      <c r="AL90" s="129"/>
      <c r="AM90" s="128">
        <f t="shared" si="8"/>
        <v>2013.3999999999996</v>
      </c>
      <c r="AN90" s="128">
        <f t="shared" si="8"/>
        <v>2001.7000000000003</v>
      </c>
      <c r="AP90" s="130"/>
      <c r="AQ90" s="130"/>
      <c r="AR90" s="139"/>
      <c r="AS90" s="135"/>
    </row>
    <row r="91" spans="1:45" ht="18" customHeight="1">
      <c r="A91" s="126">
        <v>81</v>
      </c>
      <c r="B91" s="127" t="s">
        <v>440</v>
      </c>
      <c r="C91" s="128">
        <f t="shared" si="6"/>
        <v>35297.4</v>
      </c>
      <c r="D91" s="128">
        <f t="shared" si="6"/>
        <v>30170.7</v>
      </c>
      <c r="E91" s="129">
        <v>18282.5</v>
      </c>
      <c r="F91" s="134">
        <v>17988.1</v>
      </c>
      <c r="G91" s="129">
        <v>3835</v>
      </c>
      <c r="H91" s="134">
        <v>3628.4</v>
      </c>
      <c r="I91" s="129">
        <v>8805</v>
      </c>
      <c r="J91" s="129">
        <v>6737.1</v>
      </c>
      <c r="K91" s="129"/>
      <c r="L91" s="129"/>
      <c r="M91" s="129">
        <v>0</v>
      </c>
      <c r="N91" s="129"/>
      <c r="O91" s="129">
        <v>300</v>
      </c>
      <c r="P91" s="129">
        <v>200</v>
      </c>
      <c r="Q91" s="129">
        <v>1000</v>
      </c>
      <c r="R91" s="129">
        <v>880</v>
      </c>
      <c r="S91" s="129">
        <v>360</v>
      </c>
      <c r="T91" s="129">
        <v>329.2</v>
      </c>
      <c r="U91" s="128">
        <f t="shared" si="7"/>
        <v>32582.5</v>
      </c>
      <c r="V91" s="128">
        <f t="shared" si="7"/>
        <v>29762.8</v>
      </c>
      <c r="W91" s="129">
        <v>4214.9</v>
      </c>
      <c r="X91" s="129">
        <v>1708.8</v>
      </c>
      <c r="Y91" s="141"/>
      <c r="Z91" s="129"/>
      <c r="AA91" s="129"/>
      <c r="AB91" s="129"/>
      <c r="AC91" s="129">
        <v>0</v>
      </c>
      <c r="AD91" s="129"/>
      <c r="AE91" s="129">
        <v>-1500</v>
      </c>
      <c r="AF91" s="129">
        <v>-1300.9</v>
      </c>
      <c r="AG91" s="128"/>
      <c r="AH91" s="129"/>
      <c r="AI91" s="129"/>
      <c r="AJ91" s="129"/>
      <c r="AK91" s="129">
        <v>0</v>
      </c>
      <c r="AL91" s="129"/>
      <c r="AM91" s="128">
        <f t="shared" si="8"/>
        <v>2714.8999999999996</v>
      </c>
      <c r="AN91" s="128">
        <f t="shared" si="8"/>
        <v>407.89999999999986</v>
      </c>
      <c r="AO91" s="143"/>
      <c r="AP91" s="130"/>
      <c r="AQ91" s="130"/>
      <c r="AR91" s="138"/>
      <c r="AS91" s="135"/>
    </row>
    <row r="92" spans="1:45" s="143" customFormat="1" ht="18" customHeight="1">
      <c r="A92" s="126">
        <v>82</v>
      </c>
      <c r="B92" s="127" t="s">
        <v>441</v>
      </c>
      <c r="C92" s="128">
        <f t="shared" si="6"/>
        <v>42694.600000000006</v>
      </c>
      <c r="D92" s="128">
        <f t="shared" si="6"/>
        <v>40666.799999999996</v>
      </c>
      <c r="E92" s="129">
        <v>15410.8</v>
      </c>
      <c r="F92" s="134">
        <v>15046.8</v>
      </c>
      <c r="G92" s="129">
        <v>2640</v>
      </c>
      <c r="H92" s="134">
        <v>2466.7</v>
      </c>
      <c r="I92" s="129">
        <v>14974.2</v>
      </c>
      <c r="J92" s="129">
        <v>14579.6</v>
      </c>
      <c r="K92" s="129"/>
      <c r="L92" s="129"/>
      <c r="M92" s="129">
        <v>0</v>
      </c>
      <c r="N92" s="129"/>
      <c r="O92" s="129">
        <v>1086</v>
      </c>
      <c r="P92" s="129">
        <v>1074</v>
      </c>
      <c r="Q92" s="129">
        <v>2670</v>
      </c>
      <c r="R92" s="129">
        <v>2670</v>
      </c>
      <c r="S92" s="129">
        <v>543.6</v>
      </c>
      <c r="T92" s="129">
        <v>400</v>
      </c>
      <c r="U92" s="128">
        <f t="shared" si="7"/>
        <v>37324.600000000006</v>
      </c>
      <c r="V92" s="128">
        <f t="shared" si="7"/>
        <v>36237.1</v>
      </c>
      <c r="W92" s="129">
        <v>5370</v>
      </c>
      <c r="X92" s="129">
        <v>4429.7</v>
      </c>
      <c r="Y92" s="141"/>
      <c r="Z92" s="129"/>
      <c r="AA92" s="129"/>
      <c r="AB92" s="129"/>
      <c r="AC92" s="129">
        <v>0</v>
      </c>
      <c r="AD92" s="129"/>
      <c r="AE92" s="129"/>
      <c r="AF92" s="129"/>
      <c r="AG92" s="128"/>
      <c r="AH92" s="129"/>
      <c r="AI92" s="129">
        <v>2891.6</v>
      </c>
      <c r="AJ92" s="129">
        <v>1951.4</v>
      </c>
      <c r="AK92" s="129">
        <v>0</v>
      </c>
      <c r="AL92" s="129"/>
      <c r="AM92" s="128">
        <f t="shared" si="8"/>
        <v>5370</v>
      </c>
      <c r="AN92" s="128">
        <f t="shared" si="8"/>
        <v>4429.7</v>
      </c>
      <c r="AP92" s="130"/>
      <c r="AQ92" s="130"/>
      <c r="AR92" s="139"/>
      <c r="AS92" s="135"/>
    </row>
    <row r="93" spans="1:40" s="148" customFormat="1" ht="18" customHeight="1">
      <c r="A93" s="144">
        <v>1</v>
      </c>
      <c r="B93" s="145" t="s">
        <v>442</v>
      </c>
      <c r="C93" s="146">
        <f t="shared" si="6"/>
        <v>70784</v>
      </c>
      <c r="D93" s="146">
        <f t="shared" si="6"/>
        <v>66099.5</v>
      </c>
      <c r="E93" s="147">
        <v>21592</v>
      </c>
      <c r="F93" s="147">
        <v>19039.9</v>
      </c>
      <c r="G93" s="147">
        <v>4405</v>
      </c>
      <c r="H93" s="147">
        <v>3597.5</v>
      </c>
      <c r="I93" s="147">
        <v>23079.5</v>
      </c>
      <c r="J93" s="147">
        <v>19640.2</v>
      </c>
      <c r="K93" s="147"/>
      <c r="L93" s="147"/>
      <c r="M93" s="147"/>
      <c r="N93" s="147"/>
      <c r="O93" s="147">
        <v>10236.9</v>
      </c>
      <c r="P93" s="147">
        <v>8311.9</v>
      </c>
      <c r="Q93" s="147">
        <v>2400</v>
      </c>
      <c r="R93" s="147">
        <v>2400</v>
      </c>
      <c r="S93" s="147">
        <v>3386.3</v>
      </c>
      <c r="T93" s="147">
        <v>3795</v>
      </c>
      <c r="U93" s="146">
        <f aca="true" t="shared" si="9" ref="U93:U107">S93+Q93+O93+M93+K93+I93+G93+E93</f>
        <v>65099.7</v>
      </c>
      <c r="V93" s="146">
        <f aca="true" t="shared" si="10" ref="V93:V107">F93+H93+J93+L93+N93+P93+R93+T93</f>
        <v>56784.50000000001</v>
      </c>
      <c r="W93" s="147">
        <v>15599.3</v>
      </c>
      <c r="X93" s="147">
        <v>9315</v>
      </c>
      <c r="Y93" s="147"/>
      <c r="Z93" s="147"/>
      <c r="AA93" s="147"/>
      <c r="AB93" s="147"/>
      <c r="AC93" s="147"/>
      <c r="AD93" s="147"/>
      <c r="AE93" s="147">
        <v>-9915</v>
      </c>
      <c r="AF93" s="147"/>
      <c r="AG93" s="146"/>
      <c r="AH93" s="147"/>
      <c r="AI93" s="146"/>
      <c r="AJ93" s="147"/>
      <c r="AK93" s="147"/>
      <c r="AL93" s="147"/>
      <c r="AM93" s="146">
        <f t="shared" si="8"/>
        <v>5684.299999999999</v>
      </c>
      <c r="AN93" s="146">
        <f t="shared" si="8"/>
        <v>9315</v>
      </c>
    </row>
    <row r="94" spans="1:40" s="148" customFormat="1" ht="18" customHeight="1">
      <c r="A94" s="144">
        <v>2</v>
      </c>
      <c r="B94" s="145" t="s">
        <v>376</v>
      </c>
      <c r="C94" s="146">
        <f t="shared" si="6"/>
        <v>22102.7</v>
      </c>
      <c r="D94" s="146">
        <f t="shared" si="6"/>
        <v>17224.2</v>
      </c>
      <c r="E94" s="147">
        <v>11150</v>
      </c>
      <c r="F94" s="147">
        <v>9476</v>
      </c>
      <c r="G94" s="147">
        <v>2900</v>
      </c>
      <c r="H94" s="147">
        <v>1899.6</v>
      </c>
      <c r="I94" s="147">
        <v>4800</v>
      </c>
      <c r="J94" s="147">
        <v>3556</v>
      </c>
      <c r="K94" s="147"/>
      <c r="L94" s="147"/>
      <c r="M94" s="147"/>
      <c r="N94" s="147"/>
      <c r="O94" s="147"/>
      <c r="P94" s="147"/>
      <c r="Q94" s="147">
        <v>500</v>
      </c>
      <c r="R94" s="147">
        <v>500</v>
      </c>
      <c r="S94" s="147">
        <v>150</v>
      </c>
      <c r="T94" s="147"/>
      <c r="U94" s="146">
        <f t="shared" si="9"/>
        <v>19500</v>
      </c>
      <c r="V94" s="146">
        <f t="shared" si="10"/>
        <v>15431.6</v>
      </c>
      <c r="W94" s="147">
        <v>6602</v>
      </c>
      <c r="X94" s="147">
        <v>1792.6</v>
      </c>
      <c r="Y94" s="147"/>
      <c r="Z94" s="147"/>
      <c r="AA94" s="147"/>
      <c r="AB94" s="147"/>
      <c r="AC94" s="147"/>
      <c r="AD94" s="147"/>
      <c r="AE94" s="147">
        <v>-3999.3</v>
      </c>
      <c r="AF94" s="147"/>
      <c r="AG94" s="146"/>
      <c r="AH94" s="147"/>
      <c r="AI94" s="146"/>
      <c r="AJ94" s="147"/>
      <c r="AK94" s="147"/>
      <c r="AL94" s="147"/>
      <c r="AM94" s="146">
        <f t="shared" si="8"/>
        <v>2602.7</v>
      </c>
      <c r="AN94" s="146">
        <f t="shared" si="8"/>
        <v>1792.6</v>
      </c>
    </row>
    <row r="95" spans="1:40" s="148" customFormat="1" ht="18" customHeight="1">
      <c r="A95" s="144">
        <v>3</v>
      </c>
      <c r="B95" s="145" t="s">
        <v>443</v>
      </c>
      <c r="C95" s="146">
        <f t="shared" si="6"/>
        <v>67487.7</v>
      </c>
      <c r="D95" s="146">
        <f t="shared" si="6"/>
        <v>61620.1</v>
      </c>
      <c r="E95" s="147">
        <v>22229</v>
      </c>
      <c r="F95" s="147">
        <v>21578.3</v>
      </c>
      <c r="G95" s="147">
        <v>4523.4</v>
      </c>
      <c r="H95" s="147">
        <v>4228.3</v>
      </c>
      <c r="I95" s="147">
        <v>20129.2</v>
      </c>
      <c r="J95" s="147">
        <v>19051.9</v>
      </c>
      <c r="K95" s="147"/>
      <c r="L95" s="147"/>
      <c r="M95" s="147"/>
      <c r="N95" s="147"/>
      <c r="O95" s="147">
        <v>1791</v>
      </c>
      <c r="P95" s="147">
        <v>1311</v>
      </c>
      <c r="Q95" s="147">
        <v>3080</v>
      </c>
      <c r="R95" s="147">
        <v>3080</v>
      </c>
      <c r="S95" s="147">
        <v>3814.5</v>
      </c>
      <c r="T95" s="147">
        <v>450</v>
      </c>
      <c r="U95" s="146">
        <f t="shared" si="9"/>
        <v>55567.1</v>
      </c>
      <c r="V95" s="146">
        <f t="shared" si="10"/>
        <v>49699.5</v>
      </c>
      <c r="W95" s="147">
        <v>11920.6</v>
      </c>
      <c r="X95" s="147">
        <v>11920.6</v>
      </c>
      <c r="Y95" s="147"/>
      <c r="Z95" s="147"/>
      <c r="AA95" s="147"/>
      <c r="AB95" s="147"/>
      <c r="AC95" s="147"/>
      <c r="AD95" s="147"/>
      <c r="AE95" s="147"/>
      <c r="AF95" s="147">
        <v>-266.4</v>
      </c>
      <c r="AG95" s="146"/>
      <c r="AH95" s="147"/>
      <c r="AI95" s="146">
        <v>3851.9</v>
      </c>
      <c r="AJ95" s="147">
        <v>3851.9</v>
      </c>
      <c r="AK95" s="147"/>
      <c r="AL95" s="147">
        <v>266.4</v>
      </c>
      <c r="AM95" s="146">
        <f t="shared" si="8"/>
        <v>11920.6</v>
      </c>
      <c r="AN95" s="146">
        <f t="shared" si="8"/>
        <v>11920.6</v>
      </c>
    </row>
    <row r="96" spans="1:40" s="148" customFormat="1" ht="18" customHeight="1">
      <c r="A96" s="144">
        <v>4</v>
      </c>
      <c r="B96" s="145" t="s">
        <v>444</v>
      </c>
      <c r="C96" s="146">
        <f t="shared" si="6"/>
        <v>23740</v>
      </c>
      <c r="D96" s="146">
        <f t="shared" si="6"/>
        <v>22470.4</v>
      </c>
      <c r="E96" s="147">
        <v>9345</v>
      </c>
      <c r="F96" s="147">
        <v>9334</v>
      </c>
      <c r="G96" s="147">
        <v>2425</v>
      </c>
      <c r="H96" s="147">
        <v>2425</v>
      </c>
      <c r="I96" s="147">
        <v>7603</v>
      </c>
      <c r="J96" s="147">
        <v>7600.4</v>
      </c>
      <c r="K96" s="147"/>
      <c r="L96" s="147"/>
      <c r="M96" s="147"/>
      <c r="N96" s="147"/>
      <c r="O96" s="147"/>
      <c r="P96" s="147"/>
      <c r="Q96" s="147">
        <v>1000</v>
      </c>
      <c r="R96" s="147">
        <v>1000</v>
      </c>
      <c r="S96" s="147">
        <v>346</v>
      </c>
      <c r="T96" s="147">
        <v>321</v>
      </c>
      <c r="U96" s="146">
        <f t="shared" si="9"/>
        <v>20719</v>
      </c>
      <c r="V96" s="146">
        <f t="shared" si="10"/>
        <v>20680.4</v>
      </c>
      <c r="W96" s="147">
        <v>4021</v>
      </c>
      <c r="X96" s="147">
        <v>1790</v>
      </c>
      <c r="Y96" s="147"/>
      <c r="Z96" s="147"/>
      <c r="AA96" s="147"/>
      <c r="AB96" s="147"/>
      <c r="AC96" s="147"/>
      <c r="AD96" s="147"/>
      <c r="AE96" s="147">
        <v>-1000</v>
      </c>
      <c r="AF96" s="147"/>
      <c r="AG96" s="146"/>
      <c r="AH96" s="147"/>
      <c r="AI96" s="146"/>
      <c r="AJ96" s="147"/>
      <c r="AK96" s="147"/>
      <c r="AL96" s="147"/>
      <c r="AM96" s="146">
        <f t="shared" si="8"/>
        <v>3021</v>
      </c>
      <c r="AN96" s="146">
        <f t="shared" si="8"/>
        <v>1790</v>
      </c>
    </row>
    <row r="97" spans="1:40" s="148" customFormat="1" ht="18" customHeight="1">
      <c r="A97" s="144">
        <v>5</v>
      </c>
      <c r="B97" s="145" t="s">
        <v>445</v>
      </c>
      <c r="C97" s="146">
        <f t="shared" si="6"/>
        <v>14759.7</v>
      </c>
      <c r="D97" s="146">
        <f t="shared" si="6"/>
        <v>14478.300000000001</v>
      </c>
      <c r="E97" s="147">
        <v>7150</v>
      </c>
      <c r="F97" s="147">
        <v>6990.9</v>
      </c>
      <c r="G97" s="147">
        <v>1372</v>
      </c>
      <c r="H97" s="147">
        <v>1360.1</v>
      </c>
      <c r="I97" s="147">
        <v>5743.6</v>
      </c>
      <c r="J97" s="147">
        <v>5733.2</v>
      </c>
      <c r="K97" s="147"/>
      <c r="L97" s="147"/>
      <c r="M97" s="147"/>
      <c r="N97" s="147"/>
      <c r="O97" s="147"/>
      <c r="P97" s="147"/>
      <c r="Q97" s="147">
        <v>100</v>
      </c>
      <c r="R97" s="147"/>
      <c r="S97" s="147">
        <v>40</v>
      </c>
      <c r="T97" s="147">
        <v>40</v>
      </c>
      <c r="U97" s="146">
        <f t="shared" si="9"/>
        <v>14405.6</v>
      </c>
      <c r="V97" s="146">
        <f t="shared" si="10"/>
        <v>14124.2</v>
      </c>
      <c r="W97" s="147">
        <v>354.1</v>
      </c>
      <c r="X97" s="147">
        <v>354.1</v>
      </c>
      <c r="Y97" s="147"/>
      <c r="Z97" s="147"/>
      <c r="AA97" s="147"/>
      <c r="AB97" s="147"/>
      <c r="AC97" s="147"/>
      <c r="AD97" s="147"/>
      <c r="AE97" s="147"/>
      <c r="AF97" s="147"/>
      <c r="AG97" s="146"/>
      <c r="AH97" s="147"/>
      <c r="AI97" s="146"/>
      <c r="AJ97" s="147"/>
      <c r="AK97" s="147"/>
      <c r="AL97" s="147"/>
      <c r="AM97" s="146">
        <f t="shared" si="8"/>
        <v>354.1</v>
      </c>
      <c r="AN97" s="146">
        <f t="shared" si="8"/>
        <v>354.1</v>
      </c>
    </row>
    <row r="98" spans="1:40" s="148" customFormat="1" ht="18" customHeight="1">
      <c r="A98" s="144">
        <v>6</v>
      </c>
      <c r="B98" s="145" t="s">
        <v>446</v>
      </c>
      <c r="C98" s="146">
        <f t="shared" si="6"/>
        <v>31638</v>
      </c>
      <c r="D98" s="146">
        <f t="shared" si="6"/>
        <v>31209</v>
      </c>
      <c r="E98" s="147">
        <v>13224.3</v>
      </c>
      <c r="F98" s="147">
        <v>13109.2</v>
      </c>
      <c r="G98" s="147">
        <v>2641</v>
      </c>
      <c r="H98" s="147">
        <v>2684</v>
      </c>
      <c r="I98" s="147">
        <v>13344.6</v>
      </c>
      <c r="J98" s="147">
        <v>13035.8</v>
      </c>
      <c r="K98" s="147"/>
      <c r="L98" s="147"/>
      <c r="M98" s="147"/>
      <c r="N98" s="147"/>
      <c r="O98" s="147">
        <v>100</v>
      </c>
      <c r="P98" s="147">
        <v>100</v>
      </c>
      <c r="Q98" s="147">
        <v>1500</v>
      </c>
      <c r="R98" s="147">
        <v>1500</v>
      </c>
      <c r="S98" s="147">
        <v>80</v>
      </c>
      <c r="T98" s="147">
        <v>80</v>
      </c>
      <c r="U98" s="146">
        <f t="shared" si="9"/>
        <v>30889.899999999998</v>
      </c>
      <c r="V98" s="146">
        <f t="shared" si="10"/>
        <v>30509</v>
      </c>
      <c r="W98" s="147">
        <v>4748.1</v>
      </c>
      <c r="X98" s="147">
        <v>700</v>
      </c>
      <c r="Y98" s="147"/>
      <c r="Z98" s="147"/>
      <c r="AA98" s="147"/>
      <c r="AB98" s="147"/>
      <c r="AC98" s="147"/>
      <c r="AD98" s="147"/>
      <c r="AE98" s="147">
        <v>-4000</v>
      </c>
      <c r="AF98" s="147"/>
      <c r="AG98" s="146"/>
      <c r="AH98" s="147"/>
      <c r="AI98" s="146"/>
      <c r="AJ98" s="147"/>
      <c r="AK98" s="147"/>
      <c r="AL98" s="147"/>
      <c r="AM98" s="146">
        <f t="shared" si="8"/>
        <v>748.1000000000004</v>
      </c>
      <c r="AN98" s="146">
        <f t="shared" si="8"/>
        <v>700</v>
      </c>
    </row>
    <row r="99" spans="1:40" s="148" customFormat="1" ht="18" customHeight="1">
      <c r="A99" s="144">
        <v>7</v>
      </c>
      <c r="B99" s="145" t="s">
        <v>447</v>
      </c>
      <c r="C99" s="146">
        <f t="shared" si="6"/>
        <v>68628.4</v>
      </c>
      <c r="D99" s="146">
        <f t="shared" si="6"/>
        <v>62869.99999999999</v>
      </c>
      <c r="E99" s="147">
        <v>24881.2</v>
      </c>
      <c r="F99" s="147">
        <v>18619.2</v>
      </c>
      <c r="G99" s="147">
        <v>12807.7</v>
      </c>
      <c r="H99" s="147">
        <v>7199.8</v>
      </c>
      <c r="I99" s="147">
        <v>25122.6</v>
      </c>
      <c r="J99" s="147">
        <v>25422.6</v>
      </c>
      <c r="K99" s="147"/>
      <c r="L99" s="147"/>
      <c r="M99" s="147"/>
      <c r="N99" s="147"/>
      <c r="O99" s="147"/>
      <c r="P99" s="147"/>
      <c r="Q99" s="147">
        <v>2800</v>
      </c>
      <c r="R99" s="147">
        <v>2800</v>
      </c>
      <c r="S99" s="147">
        <v>660</v>
      </c>
      <c r="T99" s="147">
        <v>6573.2</v>
      </c>
      <c r="U99" s="146">
        <f t="shared" si="9"/>
        <v>66271.5</v>
      </c>
      <c r="V99" s="146">
        <f t="shared" si="10"/>
        <v>60614.799999999996</v>
      </c>
      <c r="W99" s="147">
        <v>2856.9</v>
      </c>
      <c r="X99" s="147">
        <v>2255.2</v>
      </c>
      <c r="Y99" s="147"/>
      <c r="Z99" s="147"/>
      <c r="AA99" s="147"/>
      <c r="AB99" s="147"/>
      <c r="AC99" s="147"/>
      <c r="AD99" s="147"/>
      <c r="AE99" s="147">
        <v>-500</v>
      </c>
      <c r="AF99" s="147"/>
      <c r="AG99" s="146"/>
      <c r="AH99" s="147"/>
      <c r="AI99" s="146"/>
      <c r="AJ99" s="147"/>
      <c r="AK99" s="147"/>
      <c r="AL99" s="147"/>
      <c r="AM99" s="146">
        <f t="shared" si="8"/>
        <v>2356.9</v>
      </c>
      <c r="AN99" s="146">
        <f t="shared" si="8"/>
        <v>2255.2</v>
      </c>
    </row>
    <row r="100" spans="1:40" s="148" customFormat="1" ht="18" customHeight="1">
      <c r="A100" s="144">
        <v>8</v>
      </c>
      <c r="B100" s="145" t="s">
        <v>448</v>
      </c>
      <c r="C100" s="146">
        <f t="shared" si="6"/>
        <v>18080.100000000002</v>
      </c>
      <c r="D100" s="146">
        <f t="shared" si="6"/>
        <v>16506.8</v>
      </c>
      <c r="E100" s="147">
        <v>4036</v>
      </c>
      <c r="F100" s="147">
        <v>4036</v>
      </c>
      <c r="G100" s="147">
        <v>900.9</v>
      </c>
      <c r="H100" s="147">
        <v>900.9</v>
      </c>
      <c r="I100" s="147">
        <v>2668.1</v>
      </c>
      <c r="J100" s="147">
        <v>2581.4</v>
      </c>
      <c r="K100" s="147"/>
      <c r="L100" s="147"/>
      <c r="M100" s="147"/>
      <c r="N100" s="147"/>
      <c r="O100" s="147"/>
      <c r="P100" s="147"/>
      <c r="Q100" s="147">
        <v>4136</v>
      </c>
      <c r="R100" s="147">
        <v>4136</v>
      </c>
      <c r="S100" s="147"/>
      <c r="T100" s="147"/>
      <c r="U100" s="146">
        <f t="shared" si="9"/>
        <v>11741</v>
      </c>
      <c r="V100" s="146">
        <f t="shared" si="10"/>
        <v>11654.3</v>
      </c>
      <c r="W100" s="147">
        <v>19663.9</v>
      </c>
      <c r="X100" s="147">
        <v>4852.5</v>
      </c>
      <c r="Y100" s="147"/>
      <c r="Z100" s="147"/>
      <c r="AA100" s="147"/>
      <c r="AB100" s="147"/>
      <c r="AC100" s="147"/>
      <c r="AD100" s="147"/>
      <c r="AE100" s="147">
        <v>-13324.8</v>
      </c>
      <c r="AF100" s="147"/>
      <c r="AG100" s="146"/>
      <c r="AH100" s="147"/>
      <c r="AI100" s="146"/>
      <c r="AJ100" s="147"/>
      <c r="AK100" s="147"/>
      <c r="AL100" s="147"/>
      <c r="AM100" s="146">
        <f t="shared" si="8"/>
        <v>6339.100000000002</v>
      </c>
      <c r="AN100" s="146">
        <f t="shared" si="8"/>
        <v>4852.5</v>
      </c>
    </row>
    <row r="101" spans="1:40" s="148" customFormat="1" ht="18" customHeight="1">
      <c r="A101" s="144">
        <v>9</v>
      </c>
      <c r="B101" s="145" t="s">
        <v>449</v>
      </c>
      <c r="C101" s="146">
        <f t="shared" si="6"/>
        <v>27587.299999999996</v>
      </c>
      <c r="D101" s="146">
        <f t="shared" si="6"/>
        <v>33094.100000000006</v>
      </c>
      <c r="E101" s="147">
        <v>15410</v>
      </c>
      <c r="F101" s="147">
        <v>14072.7</v>
      </c>
      <c r="G101" s="147">
        <v>2968.5</v>
      </c>
      <c r="H101" s="147">
        <v>2754.2</v>
      </c>
      <c r="I101" s="147">
        <v>4280</v>
      </c>
      <c r="J101" s="147">
        <v>4133.2</v>
      </c>
      <c r="K101" s="147"/>
      <c r="L101" s="147"/>
      <c r="M101" s="147"/>
      <c r="N101" s="147"/>
      <c r="O101" s="147">
        <v>30</v>
      </c>
      <c r="P101" s="147">
        <v>30</v>
      </c>
      <c r="Q101" s="147">
        <v>2000</v>
      </c>
      <c r="R101" s="147">
        <v>2000</v>
      </c>
      <c r="S101" s="147">
        <v>1827.6</v>
      </c>
      <c r="T101" s="147">
        <v>60</v>
      </c>
      <c r="U101" s="146">
        <f t="shared" si="9"/>
        <v>26516.1</v>
      </c>
      <c r="V101" s="146">
        <f t="shared" si="10"/>
        <v>23050.100000000002</v>
      </c>
      <c r="W101" s="147">
        <v>16292.3</v>
      </c>
      <c r="X101" s="147">
        <v>10044</v>
      </c>
      <c r="Y101" s="147"/>
      <c r="Z101" s="147"/>
      <c r="AA101" s="147"/>
      <c r="AB101" s="147"/>
      <c r="AC101" s="147"/>
      <c r="AD101" s="147"/>
      <c r="AE101" s="147">
        <v>-15221.1</v>
      </c>
      <c r="AF101" s="147"/>
      <c r="AG101" s="146"/>
      <c r="AH101" s="147"/>
      <c r="AI101" s="146"/>
      <c r="AJ101" s="147"/>
      <c r="AK101" s="147"/>
      <c r="AL101" s="147"/>
      <c r="AM101" s="146">
        <f t="shared" si="8"/>
        <v>1071.199999999999</v>
      </c>
      <c r="AN101" s="146">
        <f t="shared" si="8"/>
        <v>10044</v>
      </c>
    </row>
    <row r="102" spans="1:40" s="148" customFormat="1" ht="18" customHeight="1">
      <c r="A102" s="144">
        <v>10</v>
      </c>
      <c r="B102" s="145" t="s">
        <v>450</v>
      </c>
      <c r="C102" s="146">
        <f t="shared" si="6"/>
        <v>11457.9</v>
      </c>
      <c r="D102" s="146">
        <f t="shared" si="6"/>
        <v>12127</v>
      </c>
      <c r="E102" s="147">
        <v>5140</v>
      </c>
      <c r="F102" s="147">
        <v>4963</v>
      </c>
      <c r="G102" s="147">
        <v>1058</v>
      </c>
      <c r="H102" s="147">
        <v>1012</v>
      </c>
      <c r="I102" s="147">
        <v>2380</v>
      </c>
      <c r="J102" s="147">
        <v>2246</v>
      </c>
      <c r="K102" s="147"/>
      <c r="L102" s="147"/>
      <c r="M102" s="147"/>
      <c r="N102" s="147"/>
      <c r="O102" s="147"/>
      <c r="P102" s="147"/>
      <c r="Q102" s="147">
        <v>400</v>
      </c>
      <c r="R102" s="147">
        <v>400</v>
      </c>
      <c r="S102" s="147">
        <v>100</v>
      </c>
      <c r="T102" s="147"/>
      <c r="U102" s="146">
        <f t="shared" si="9"/>
        <v>9078</v>
      </c>
      <c r="V102" s="146">
        <f t="shared" si="10"/>
        <v>8621</v>
      </c>
      <c r="W102" s="147">
        <v>5214.9</v>
      </c>
      <c r="X102" s="147">
        <v>3740.8</v>
      </c>
      <c r="Y102" s="147"/>
      <c r="Z102" s="147"/>
      <c r="AA102" s="147"/>
      <c r="AB102" s="147"/>
      <c r="AC102" s="147"/>
      <c r="AD102" s="147"/>
      <c r="AE102" s="147">
        <v>-2835</v>
      </c>
      <c r="AF102" s="147">
        <v>-234.8</v>
      </c>
      <c r="AG102" s="146"/>
      <c r="AH102" s="147"/>
      <c r="AI102" s="146"/>
      <c r="AJ102" s="147"/>
      <c r="AK102" s="147"/>
      <c r="AL102" s="147"/>
      <c r="AM102" s="146">
        <f t="shared" si="8"/>
        <v>2379.8999999999996</v>
      </c>
      <c r="AN102" s="146">
        <f t="shared" si="8"/>
        <v>3506</v>
      </c>
    </row>
    <row r="103" spans="1:40" s="148" customFormat="1" ht="18" customHeight="1">
      <c r="A103" s="144">
        <v>11</v>
      </c>
      <c r="B103" s="145" t="s">
        <v>451</v>
      </c>
      <c r="C103" s="146">
        <f t="shared" si="6"/>
        <v>11237.9</v>
      </c>
      <c r="D103" s="146">
        <f t="shared" si="6"/>
        <v>11721.2</v>
      </c>
      <c r="E103" s="147">
        <v>5627</v>
      </c>
      <c r="F103" s="147">
        <v>5567.5</v>
      </c>
      <c r="G103" s="147">
        <v>974.2</v>
      </c>
      <c r="H103" s="147">
        <v>937.2</v>
      </c>
      <c r="I103" s="147">
        <v>2236.7</v>
      </c>
      <c r="J103" s="147">
        <v>2216.5</v>
      </c>
      <c r="K103" s="147"/>
      <c r="L103" s="147"/>
      <c r="M103" s="147"/>
      <c r="N103" s="147"/>
      <c r="O103" s="147"/>
      <c r="P103" s="147"/>
      <c r="Q103" s="147">
        <v>1400</v>
      </c>
      <c r="R103" s="147">
        <v>1400</v>
      </c>
      <c r="S103" s="147"/>
      <c r="T103" s="147"/>
      <c r="U103" s="146">
        <f t="shared" si="9"/>
        <v>10237.9</v>
      </c>
      <c r="V103" s="146">
        <f t="shared" si="10"/>
        <v>10121.2</v>
      </c>
      <c r="W103" s="147">
        <v>4000</v>
      </c>
      <c r="X103" s="147">
        <v>3625</v>
      </c>
      <c r="Y103" s="147"/>
      <c r="Z103" s="147"/>
      <c r="AA103" s="147"/>
      <c r="AB103" s="147"/>
      <c r="AC103" s="147"/>
      <c r="AD103" s="147"/>
      <c r="AE103" s="147">
        <v>-3000</v>
      </c>
      <c r="AF103" s="147">
        <v>-2025</v>
      </c>
      <c r="AG103" s="146"/>
      <c r="AH103" s="147"/>
      <c r="AI103" s="146"/>
      <c r="AJ103" s="147"/>
      <c r="AK103" s="147"/>
      <c r="AL103" s="147"/>
      <c r="AM103" s="146">
        <f t="shared" si="8"/>
        <v>1000</v>
      </c>
      <c r="AN103" s="146">
        <f t="shared" si="8"/>
        <v>1600</v>
      </c>
    </row>
    <row r="104" spans="1:40" s="148" customFormat="1" ht="18" customHeight="1">
      <c r="A104" s="144">
        <v>12</v>
      </c>
      <c r="B104" s="145" t="s">
        <v>452</v>
      </c>
      <c r="C104" s="146">
        <f t="shared" si="6"/>
        <v>20784.1</v>
      </c>
      <c r="D104" s="146">
        <f t="shared" si="6"/>
        <v>15373</v>
      </c>
      <c r="E104" s="147">
        <v>7826</v>
      </c>
      <c r="F104" s="147">
        <v>6128.7</v>
      </c>
      <c r="G104" s="147">
        <v>1500</v>
      </c>
      <c r="H104" s="147">
        <v>1394.3</v>
      </c>
      <c r="I104" s="147">
        <v>6827</v>
      </c>
      <c r="J104" s="147">
        <v>3225</v>
      </c>
      <c r="K104" s="147"/>
      <c r="L104" s="147"/>
      <c r="M104" s="147"/>
      <c r="N104" s="147"/>
      <c r="O104" s="147"/>
      <c r="P104" s="147"/>
      <c r="Q104" s="147">
        <v>600</v>
      </c>
      <c r="R104" s="147">
        <v>600</v>
      </c>
      <c r="S104" s="147">
        <v>500</v>
      </c>
      <c r="T104" s="147">
        <v>1098.6</v>
      </c>
      <c r="U104" s="146">
        <f t="shared" si="9"/>
        <v>17253</v>
      </c>
      <c r="V104" s="146">
        <f t="shared" si="10"/>
        <v>12446.6</v>
      </c>
      <c r="W104" s="147">
        <v>15831.1</v>
      </c>
      <c r="X104" s="147">
        <v>2926.4</v>
      </c>
      <c r="Y104" s="147"/>
      <c r="Z104" s="147"/>
      <c r="AA104" s="147"/>
      <c r="AB104" s="147"/>
      <c r="AC104" s="147">
        <v>-5300</v>
      </c>
      <c r="AD104" s="147"/>
      <c r="AE104" s="147">
        <v>-7000</v>
      </c>
      <c r="AF104" s="147"/>
      <c r="AG104" s="146"/>
      <c r="AH104" s="147"/>
      <c r="AI104" s="146"/>
      <c r="AJ104" s="147"/>
      <c r="AK104" s="147"/>
      <c r="AL104" s="147"/>
      <c r="AM104" s="146">
        <f t="shared" si="8"/>
        <v>3531.1000000000004</v>
      </c>
      <c r="AN104" s="146">
        <f t="shared" si="8"/>
        <v>2926.4</v>
      </c>
    </row>
    <row r="105" spans="1:40" s="148" customFormat="1" ht="18" customHeight="1">
      <c r="A105" s="144">
        <v>13</v>
      </c>
      <c r="B105" s="145" t="s">
        <v>453</v>
      </c>
      <c r="C105" s="146">
        <f t="shared" si="6"/>
        <v>17953.2</v>
      </c>
      <c r="D105" s="146">
        <f t="shared" si="6"/>
        <v>11692.300000000001</v>
      </c>
      <c r="E105" s="147">
        <v>7300</v>
      </c>
      <c r="F105" s="147">
        <v>7066.1</v>
      </c>
      <c r="G105" s="147">
        <v>1623.2</v>
      </c>
      <c r="H105" s="147">
        <v>1228.2</v>
      </c>
      <c r="I105" s="147">
        <v>7340</v>
      </c>
      <c r="J105" s="147">
        <v>1922.9</v>
      </c>
      <c r="K105" s="147"/>
      <c r="L105" s="147"/>
      <c r="M105" s="147"/>
      <c r="N105" s="147"/>
      <c r="O105" s="147"/>
      <c r="P105" s="147"/>
      <c r="Q105" s="147">
        <v>800</v>
      </c>
      <c r="R105" s="147">
        <v>543</v>
      </c>
      <c r="S105" s="147">
        <v>890</v>
      </c>
      <c r="T105" s="147">
        <v>132.1</v>
      </c>
      <c r="U105" s="146">
        <f t="shared" si="9"/>
        <v>17953.2</v>
      </c>
      <c r="V105" s="146">
        <f t="shared" si="10"/>
        <v>10892.300000000001</v>
      </c>
      <c r="W105" s="147">
        <v>2000</v>
      </c>
      <c r="X105" s="147">
        <v>1622.4</v>
      </c>
      <c r="Y105" s="147"/>
      <c r="Z105" s="147"/>
      <c r="AA105" s="147"/>
      <c r="AB105" s="147"/>
      <c r="AC105" s="147">
        <v>-2000</v>
      </c>
      <c r="AD105" s="147"/>
      <c r="AE105" s="147"/>
      <c r="AF105" s="147">
        <v>-822.4</v>
      </c>
      <c r="AG105" s="146"/>
      <c r="AH105" s="147"/>
      <c r="AI105" s="146"/>
      <c r="AJ105" s="147"/>
      <c r="AK105" s="147"/>
      <c r="AL105" s="147"/>
      <c r="AM105" s="146">
        <f t="shared" si="8"/>
        <v>0</v>
      </c>
      <c r="AN105" s="146">
        <f t="shared" si="8"/>
        <v>800.0000000000001</v>
      </c>
    </row>
    <row r="106" spans="1:40" s="148" customFormat="1" ht="18" customHeight="1">
      <c r="A106" s="144">
        <v>14</v>
      </c>
      <c r="B106" s="145" t="s">
        <v>454</v>
      </c>
      <c r="C106" s="146">
        <f t="shared" si="6"/>
        <v>16692</v>
      </c>
      <c r="D106" s="146">
        <f t="shared" si="6"/>
        <v>13827.699999999999</v>
      </c>
      <c r="E106" s="147">
        <v>11240</v>
      </c>
      <c r="F106" s="147">
        <v>10737.8</v>
      </c>
      <c r="G106" s="147">
        <v>1647</v>
      </c>
      <c r="H106" s="147">
        <v>916.5</v>
      </c>
      <c r="I106" s="147">
        <v>2905</v>
      </c>
      <c r="J106" s="147">
        <v>2173.4</v>
      </c>
      <c r="K106" s="147"/>
      <c r="L106" s="147"/>
      <c r="M106" s="147"/>
      <c r="N106" s="147"/>
      <c r="O106" s="147"/>
      <c r="P106" s="147"/>
      <c r="Q106" s="147"/>
      <c r="R106" s="147"/>
      <c r="S106" s="147">
        <v>900</v>
      </c>
      <c r="T106" s="147"/>
      <c r="U106" s="146">
        <f t="shared" si="9"/>
        <v>16692</v>
      </c>
      <c r="V106" s="146">
        <f t="shared" si="10"/>
        <v>13827.699999999999</v>
      </c>
      <c r="W106" s="147">
        <v>4000</v>
      </c>
      <c r="X106" s="147"/>
      <c r="Y106" s="147"/>
      <c r="Z106" s="147"/>
      <c r="AA106" s="147"/>
      <c r="AB106" s="147"/>
      <c r="AC106" s="147"/>
      <c r="AD106" s="147"/>
      <c r="AE106" s="147">
        <v>-4000</v>
      </c>
      <c r="AF106" s="147"/>
      <c r="AG106" s="146"/>
      <c r="AH106" s="147"/>
      <c r="AI106" s="146"/>
      <c r="AJ106" s="147"/>
      <c r="AK106" s="147"/>
      <c r="AL106" s="147"/>
      <c r="AM106" s="146">
        <f t="shared" si="8"/>
        <v>0</v>
      </c>
      <c r="AN106" s="146">
        <f t="shared" si="8"/>
        <v>0</v>
      </c>
    </row>
    <row r="107" spans="1:40" s="148" customFormat="1" ht="18" customHeight="1">
      <c r="A107" s="144">
        <v>15</v>
      </c>
      <c r="B107" s="145" t="s">
        <v>455</v>
      </c>
      <c r="C107" s="146">
        <f t="shared" si="6"/>
        <v>37431.4</v>
      </c>
      <c r="D107" s="146">
        <f t="shared" si="6"/>
        <v>29353.5</v>
      </c>
      <c r="E107" s="147">
        <v>9067.2</v>
      </c>
      <c r="F107" s="147">
        <v>6351.4</v>
      </c>
      <c r="G107" s="147">
        <v>1880.4</v>
      </c>
      <c r="H107" s="147">
        <v>1265.3</v>
      </c>
      <c r="I107" s="147">
        <v>1132.2</v>
      </c>
      <c r="J107" s="147">
        <v>90</v>
      </c>
      <c r="K107" s="147"/>
      <c r="L107" s="147"/>
      <c r="M107" s="147"/>
      <c r="N107" s="147"/>
      <c r="O107" s="147"/>
      <c r="P107" s="147"/>
      <c r="Q107" s="147">
        <v>200</v>
      </c>
      <c r="R107" s="147"/>
      <c r="S107" s="147">
        <v>650</v>
      </c>
      <c r="T107" s="147"/>
      <c r="U107" s="146">
        <f t="shared" si="9"/>
        <v>12929.800000000001</v>
      </c>
      <c r="V107" s="146">
        <f t="shared" si="10"/>
        <v>7706.7</v>
      </c>
      <c r="W107" s="147">
        <v>24501.6</v>
      </c>
      <c r="X107" s="147">
        <v>21646.8</v>
      </c>
      <c r="Y107" s="147"/>
      <c r="Z107" s="147"/>
      <c r="AA107" s="147"/>
      <c r="AB107" s="147"/>
      <c r="AC107" s="147"/>
      <c r="AD107" s="147"/>
      <c r="AE107" s="147"/>
      <c r="AF107" s="147"/>
      <c r="AG107" s="146"/>
      <c r="AH107" s="147"/>
      <c r="AI107" s="146"/>
      <c r="AJ107" s="147"/>
      <c r="AK107" s="147"/>
      <c r="AL107" s="147"/>
      <c r="AM107" s="146">
        <f t="shared" si="8"/>
        <v>24501.6</v>
      </c>
      <c r="AN107" s="146">
        <f t="shared" si="8"/>
        <v>21646.8</v>
      </c>
    </row>
    <row r="108" spans="1:46" s="143" customFormat="1" ht="21.75" customHeight="1">
      <c r="A108" s="536" t="s">
        <v>456</v>
      </c>
      <c r="B108" s="537"/>
      <c r="C108" s="149">
        <f aca="true" t="shared" si="11" ref="C108:AN108">SUM(C11:C107)</f>
        <v>5503276.6000000015</v>
      </c>
      <c r="D108" s="149">
        <f t="shared" si="11"/>
        <v>4841044.800000001</v>
      </c>
      <c r="E108" s="149">
        <f t="shared" si="11"/>
        <v>2011155.4</v>
      </c>
      <c r="F108" s="149">
        <f t="shared" si="11"/>
        <v>1935768.3</v>
      </c>
      <c r="G108" s="149">
        <f t="shared" si="11"/>
        <v>448923.60000000003</v>
      </c>
      <c r="H108" s="149">
        <f t="shared" si="11"/>
        <v>408996.99999999994</v>
      </c>
      <c r="I108" s="149">
        <f t="shared" si="11"/>
        <v>1601519.3000000007</v>
      </c>
      <c r="J108" s="149">
        <f t="shared" si="11"/>
        <v>1401310.9000000001</v>
      </c>
      <c r="K108" s="149">
        <f t="shared" si="11"/>
        <v>0</v>
      </c>
      <c r="L108" s="149">
        <f t="shared" si="11"/>
        <v>0</v>
      </c>
      <c r="M108" s="149">
        <f t="shared" si="11"/>
        <v>272213.5</v>
      </c>
      <c r="N108" s="149">
        <f t="shared" si="11"/>
        <v>241406.50000000003</v>
      </c>
      <c r="O108" s="149">
        <f t="shared" si="11"/>
        <v>157000.6</v>
      </c>
      <c r="P108" s="149">
        <f t="shared" si="11"/>
        <v>135763.5</v>
      </c>
      <c r="Q108" s="149">
        <f t="shared" si="11"/>
        <v>272396.3</v>
      </c>
      <c r="R108" s="149">
        <f t="shared" si="11"/>
        <v>269378.79999999993</v>
      </c>
      <c r="S108" s="149">
        <f t="shared" si="11"/>
        <v>84500.30000000002</v>
      </c>
      <c r="T108" s="149">
        <f t="shared" si="11"/>
        <v>31486.6</v>
      </c>
      <c r="U108" s="149">
        <f t="shared" si="11"/>
        <v>4847708.999999999</v>
      </c>
      <c r="V108" s="149">
        <f t="shared" si="11"/>
        <v>4424111.6</v>
      </c>
      <c r="W108" s="149">
        <f t="shared" si="11"/>
        <v>1074612.9000000004</v>
      </c>
      <c r="X108" s="149">
        <f t="shared" si="11"/>
        <v>678681.1000000001</v>
      </c>
      <c r="Y108" s="149">
        <f t="shared" si="11"/>
        <v>9667</v>
      </c>
      <c r="Z108" s="149">
        <f t="shared" si="11"/>
        <v>9666.3</v>
      </c>
      <c r="AA108" s="149">
        <f t="shared" si="11"/>
        <v>4922.8</v>
      </c>
      <c r="AB108" s="149">
        <f t="shared" si="11"/>
        <v>4343</v>
      </c>
      <c r="AC108" s="149">
        <f t="shared" si="11"/>
        <v>-29111.100000000002</v>
      </c>
      <c r="AD108" s="149">
        <f t="shared" si="11"/>
        <v>-21605.600000000002</v>
      </c>
      <c r="AE108" s="149">
        <f t="shared" si="11"/>
        <v>-409273.99999999994</v>
      </c>
      <c r="AF108" s="149">
        <f t="shared" si="11"/>
        <v>-254417.99999999997</v>
      </c>
      <c r="AG108" s="149">
        <f t="shared" si="11"/>
        <v>0</v>
      </c>
      <c r="AH108" s="149">
        <f t="shared" si="11"/>
        <v>0</v>
      </c>
      <c r="AI108" s="149">
        <f t="shared" si="11"/>
        <v>159197.80000000002</v>
      </c>
      <c r="AJ108" s="149">
        <f t="shared" si="11"/>
        <v>107687.59999999998</v>
      </c>
      <c r="AK108" s="149">
        <f>SUM(AK11:AK107)</f>
        <v>4750</v>
      </c>
      <c r="AL108" s="149">
        <f>SUM(AL11:AL107)</f>
        <v>266.4</v>
      </c>
      <c r="AM108" s="149">
        <f t="shared" si="11"/>
        <v>655567.6</v>
      </c>
      <c r="AN108" s="149">
        <f t="shared" si="11"/>
        <v>416933.19999999995</v>
      </c>
      <c r="AP108" s="133"/>
      <c r="AQ108" s="133"/>
      <c r="AR108" s="133"/>
      <c r="AS108" s="135"/>
      <c r="AT108" s="133"/>
    </row>
    <row r="109" spans="1:46" s="143" customFormat="1" ht="21.7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50"/>
      <c r="AN109" s="124"/>
      <c r="AP109" s="133"/>
      <c r="AQ109" s="135"/>
      <c r="AR109" s="135"/>
      <c r="AS109" s="135"/>
      <c r="AT109" s="133"/>
    </row>
    <row r="110" spans="1:46" s="143" customFormat="1" ht="21.7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50"/>
      <c r="AN110" s="124"/>
      <c r="AP110" s="133"/>
      <c r="AQ110" s="133"/>
      <c r="AR110" s="133"/>
      <c r="AS110" s="133"/>
      <c r="AT110" s="133"/>
    </row>
    <row r="111" spans="39:46" ht="21.75" customHeight="1">
      <c r="AM111" s="150"/>
      <c r="AO111" s="143"/>
      <c r="AP111" s="133"/>
      <c r="AQ111" s="133"/>
      <c r="AR111" s="133"/>
      <c r="AS111" s="133"/>
      <c r="AT111" s="125"/>
    </row>
    <row r="112" spans="39:46" ht="21.75" customHeight="1">
      <c r="AM112" s="150"/>
      <c r="AN112" s="150"/>
      <c r="AO112" s="143"/>
      <c r="AP112" s="133"/>
      <c r="AQ112" s="133"/>
      <c r="AR112" s="133"/>
      <c r="AS112" s="133"/>
      <c r="AT112" s="125"/>
    </row>
    <row r="113" spans="39:46" ht="21.75" customHeight="1">
      <c r="AM113" s="150"/>
      <c r="AP113" s="133"/>
      <c r="AQ113" s="133"/>
      <c r="AR113" s="133"/>
      <c r="AS113" s="133"/>
      <c r="AT113" s="125"/>
    </row>
    <row r="114" spans="39:46" ht="21.75" customHeight="1">
      <c r="AM114" s="150"/>
      <c r="AP114" s="133"/>
      <c r="AQ114" s="133"/>
      <c r="AR114" s="133"/>
      <c r="AS114" s="133"/>
      <c r="AT114" s="125"/>
    </row>
    <row r="115" spans="39:46" ht="21.75" customHeight="1">
      <c r="AM115" s="150"/>
      <c r="AP115" s="133"/>
      <c r="AQ115" s="133"/>
      <c r="AR115" s="133"/>
      <c r="AS115" s="133"/>
      <c r="AT115" s="125"/>
    </row>
    <row r="116" spans="39:46" ht="21.75" customHeight="1">
      <c r="AM116" s="150"/>
      <c r="AP116" s="133"/>
      <c r="AQ116" s="133"/>
      <c r="AR116" s="133"/>
      <c r="AS116" s="133"/>
      <c r="AT116" s="125"/>
    </row>
    <row r="117" spans="39:46" ht="21.75" customHeight="1">
      <c r="AM117" s="150"/>
      <c r="AP117" s="133"/>
      <c r="AQ117" s="133"/>
      <c r="AR117" s="133"/>
      <c r="AS117" s="133"/>
      <c r="AT117" s="125"/>
    </row>
    <row r="118" spans="39:46" ht="21.75" customHeight="1">
      <c r="AM118" s="150"/>
      <c r="AP118" s="133"/>
      <c r="AQ118" s="133"/>
      <c r="AR118" s="133"/>
      <c r="AS118" s="133"/>
      <c r="AT118" s="125"/>
    </row>
    <row r="119" spans="39:46" ht="21.75" customHeight="1">
      <c r="AM119" s="150"/>
      <c r="AP119" s="133"/>
      <c r="AQ119" s="133"/>
      <c r="AR119" s="133"/>
      <c r="AS119" s="133"/>
      <c r="AT119" s="125"/>
    </row>
    <row r="120" spans="39:46" ht="21.75" customHeight="1">
      <c r="AM120" s="150"/>
      <c r="AP120" s="133"/>
      <c r="AQ120" s="133"/>
      <c r="AR120" s="133"/>
      <c r="AS120" s="133"/>
      <c r="AT120" s="125"/>
    </row>
    <row r="121" spans="39:46" ht="21.75" customHeight="1">
      <c r="AM121" s="150"/>
      <c r="AP121" s="133"/>
      <c r="AQ121" s="133"/>
      <c r="AR121" s="133"/>
      <c r="AS121" s="133"/>
      <c r="AT121" s="125"/>
    </row>
    <row r="122" spans="39:46" ht="21.75" customHeight="1">
      <c r="AM122" s="150"/>
      <c r="AP122" s="133"/>
      <c r="AQ122" s="133"/>
      <c r="AR122" s="133"/>
      <c r="AS122" s="133"/>
      <c r="AT122" s="125"/>
    </row>
    <row r="123" spans="39:46" ht="21.75" customHeight="1">
      <c r="AM123" s="150"/>
      <c r="AT123" s="125"/>
    </row>
    <row r="124" spans="39:46" ht="21.75" customHeight="1">
      <c r="AM124" s="150"/>
      <c r="AT124" s="125"/>
    </row>
    <row r="125" spans="39:46" ht="21.75" customHeight="1">
      <c r="AM125" s="150"/>
      <c r="AT125" s="125"/>
    </row>
    <row r="126" spans="39:46" ht="21.75" customHeight="1">
      <c r="AM126" s="150"/>
      <c r="AT126" s="125"/>
    </row>
    <row r="127" spans="39:46" ht="21.75" customHeight="1">
      <c r="AM127" s="150"/>
      <c r="AT127" s="125"/>
    </row>
    <row r="128" spans="39:46" ht="21.75" customHeight="1">
      <c r="AM128" s="150"/>
      <c r="AT128" s="125"/>
    </row>
    <row r="129" spans="39:46" ht="21.75" customHeight="1">
      <c r="AM129" s="150"/>
      <c r="AT129" s="125"/>
    </row>
    <row r="130" spans="39:46" ht="21.75" customHeight="1">
      <c r="AM130" s="150"/>
      <c r="AT130" s="125"/>
    </row>
    <row r="131" spans="39:46" ht="21.75" customHeight="1">
      <c r="AM131" s="150"/>
      <c r="AT131" s="125"/>
    </row>
    <row r="132" spans="39:46" ht="21.75" customHeight="1">
      <c r="AM132" s="150"/>
      <c r="AT132" s="125"/>
    </row>
    <row r="133" spans="39:46" ht="21.75" customHeight="1">
      <c r="AM133" s="150"/>
      <c r="AT133" s="125"/>
    </row>
    <row r="134" spans="39:46" ht="21.75" customHeight="1">
      <c r="AM134" s="150"/>
      <c r="AT134" s="125"/>
    </row>
    <row r="135" spans="39:46" ht="21.75" customHeight="1">
      <c r="AM135" s="150"/>
      <c r="AT135" s="125"/>
    </row>
    <row r="136" spans="39:46" ht="21.75" customHeight="1">
      <c r="AM136" s="150"/>
      <c r="AT136" s="125"/>
    </row>
    <row r="137" spans="39:46" ht="21.75" customHeight="1">
      <c r="AM137" s="150"/>
      <c r="AT137" s="125"/>
    </row>
    <row r="138" spans="39:46" ht="21.75" customHeight="1">
      <c r="AM138" s="150"/>
      <c r="AT138" s="125"/>
    </row>
    <row r="139" spans="39:46" ht="21.75" customHeight="1">
      <c r="AM139" s="150"/>
      <c r="AT139" s="125"/>
    </row>
    <row r="140" spans="39:46" ht="21.75" customHeight="1">
      <c r="AM140" s="150"/>
      <c r="AT140" s="125"/>
    </row>
    <row r="141" spans="39:46" ht="21.75" customHeight="1">
      <c r="AM141" s="150"/>
      <c r="AT141" s="125"/>
    </row>
    <row r="142" ht="21.75" customHeight="1">
      <c r="AM142" s="150"/>
    </row>
    <row r="143" ht="21.75" customHeight="1">
      <c r="AM143" s="150"/>
    </row>
    <row r="144" ht="21.75" customHeight="1">
      <c r="AM144" s="150"/>
    </row>
    <row r="145" ht="21.75" customHeight="1">
      <c r="AM145" s="150"/>
    </row>
    <row r="146" ht="21.75" customHeight="1">
      <c r="AM146" s="150"/>
    </row>
    <row r="147" ht="21.75" customHeight="1">
      <c r="AM147" s="150"/>
    </row>
    <row r="148" ht="21.75" customHeight="1">
      <c r="AM148" s="150"/>
    </row>
    <row r="149" ht="21.75" customHeight="1">
      <c r="AM149" s="150"/>
    </row>
    <row r="150" ht="21.75" customHeight="1">
      <c r="AM150" s="150"/>
    </row>
    <row r="151" ht="21.75" customHeight="1">
      <c r="AM151" s="150"/>
    </row>
    <row r="152" ht="21.75" customHeight="1">
      <c r="AM152" s="150"/>
    </row>
    <row r="153" ht="21.75" customHeight="1">
      <c r="AM153" s="150"/>
    </row>
    <row r="154" ht="21.75" customHeight="1">
      <c r="AM154" s="150"/>
    </row>
    <row r="155" ht="21.75" customHeight="1">
      <c r="AM155" s="150"/>
    </row>
    <row r="156" ht="21.75" customHeight="1">
      <c r="AM156" s="150"/>
    </row>
    <row r="157" ht="21.75" customHeight="1">
      <c r="AM157" s="150"/>
    </row>
    <row r="158" ht="21.75" customHeight="1">
      <c r="AM158" s="150"/>
    </row>
    <row r="159" ht="21.75" customHeight="1">
      <c r="AM159" s="150"/>
    </row>
    <row r="160" ht="21.75" customHeight="1">
      <c r="AM160" s="150"/>
    </row>
    <row r="161" ht="21.75" customHeight="1">
      <c r="AM161" s="150"/>
    </row>
    <row r="162" ht="21.75" customHeight="1">
      <c r="AM162" s="150"/>
    </row>
    <row r="163" ht="21.75" customHeight="1">
      <c r="AM163" s="150"/>
    </row>
    <row r="164" ht="21.75" customHeight="1">
      <c r="AM164" s="150"/>
    </row>
    <row r="165" ht="21.75" customHeight="1">
      <c r="AM165" s="150"/>
    </row>
    <row r="166" ht="21.75" customHeight="1">
      <c r="AM166" s="150"/>
    </row>
    <row r="167" ht="21.75" customHeight="1">
      <c r="AM167" s="150"/>
    </row>
    <row r="168" ht="21.75" customHeight="1">
      <c r="AM168" s="150"/>
    </row>
    <row r="169" ht="21.75" customHeight="1">
      <c r="AM169" s="150"/>
    </row>
    <row r="170" ht="21.75" customHeight="1">
      <c r="AM170" s="150"/>
    </row>
    <row r="171" ht="21.75" customHeight="1">
      <c r="AM171" s="150"/>
    </row>
    <row r="172" ht="21.75" customHeight="1">
      <c r="AM172" s="150"/>
    </row>
    <row r="173" ht="21.75" customHeight="1">
      <c r="AM173" s="150"/>
    </row>
    <row r="174" ht="21.75" customHeight="1">
      <c r="AM174" s="150"/>
    </row>
    <row r="175" ht="21.75" customHeight="1">
      <c r="AM175" s="150"/>
    </row>
    <row r="176" ht="21.75" customHeight="1">
      <c r="AM176" s="150"/>
    </row>
    <row r="177" ht="21.75" customHeight="1">
      <c r="AM177" s="150"/>
    </row>
    <row r="178" ht="21.75" customHeight="1">
      <c r="AM178" s="150"/>
    </row>
    <row r="179" ht="21.75" customHeight="1">
      <c r="AM179" s="150"/>
    </row>
    <row r="180" ht="21.75" customHeight="1">
      <c r="AM180" s="150"/>
    </row>
    <row r="181" ht="21.75" customHeight="1">
      <c r="AM181" s="150"/>
    </row>
    <row r="182" ht="21.75" customHeight="1">
      <c r="AM182" s="150"/>
    </row>
    <row r="183" ht="21.75" customHeight="1">
      <c r="AM183" s="150"/>
    </row>
    <row r="184" ht="21.75" customHeight="1">
      <c r="AM184" s="150"/>
    </row>
    <row r="185" ht="21.75" customHeight="1">
      <c r="AM185" s="150"/>
    </row>
    <row r="186" ht="21.75" customHeight="1">
      <c r="AM186" s="150"/>
    </row>
    <row r="187" ht="21.75" customHeight="1">
      <c r="AM187" s="150"/>
    </row>
    <row r="188" ht="21.75" customHeight="1">
      <c r="AM188" s="150"/>
    </row>
    <row r="189" ht="21.75" customHeight="1">
      <c r="AM189" s="150"/>
    </row>
    <row r="190" ht="21.75" customHeight="1">
      <c r="AM190" s="150"/>
    </row>
    <row r="191" ht="21.75" customHeight="1">
      <c r="AM191" s="150"/>
    </row>
    <row r="192" ht="21.75" customHeight="1">
      <c r="AM192" s="150"/>
    </row>
    <row r="193" ht="21.75" customHeight="1">
      <c r="AM193" s="150"/>
    </row>
    <row r="194" ht="21.75" customHeight="1">
      <c r="AM194" s="150"/>
    </row>
    <row r="195" ht="21.75" customHeight="1">
      <c r="AM195" s="150"/>
    </row>
    <row r="196" ht="21.75" customHeight="1">
      <c r="AM196" s="150"/>
    </row>
    <row r="197" ht="21.75" customHeight="1">
      <c r="AM197" s="150"/>
    </row>
    <row r="198" ht="21.75" customHeight="1">
      <c r="AM198" s="150"/>
    </row>
    <row r="199" ht="21.75" customHeight="1">
      <c r="AM199" s="150"/>
    </row>
    <row r="200" ht="21.75" customHeight="1">
      <c r="AM200" s="150"/>
    </row>
    <row r="201" ht="21.75" customHeight="1">
      <c r="AM201" s="150"/>
    </row>
    <row r="202" ht="21.75" customHeight="1">
      <c r="AM202" s="150"/>
    </row>
    <row r="203" ht="21.75" customHeight="1">
      <c r="AM203" s="150"/>
    </row>
    <row r="204" ht="21.75" customHeight="1">
      <c r="AM204" s="150"/>
    </row>
    <row r="205" ht="21.75" customHeight="1">
      <c r="AM205" s="150"/>
    </row>
    <row r="206" ht="21.75" customHeight="1">
      <c r="AM206" s="150"/>
    </row>
    <row r="207" ht="21.75" customHeight="1">
      <c r="AM207" s="150"/>
    </row>
    <row r="208" ht="21.75" customHeight="1">
      <c r="AM208" s="150"/>
    </row>
    <row r="209" ht="21.75" customHeight="1">
      <c r="AM209" s="150"/>
    </row>
    <row r="210" ht="21.75" customHeight="1">
      <c r="AM210" s="150"/>
    </row>
    <row r="211" ht="21.75" customHeight="1">
      <c r="AM211" s="150"/>
    </row>
    <row r="212" spans="1:39" s="125" customFormat="1" ht="21.75" customHeight="1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50"/>
    </row>
    <row r="213" spans="1:38" s="125" customFormat="1" ht="21.75" customHeight="1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</row>
    <row r="214" spans="1:38" s="125" customFormat="1" ht="21.75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</row>
    <row r="215" spans="1:38" s="125" customFormat="1" ht="21.75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</row>
  </sheetData>
  <sheetProtection/>
  <mergeCells count="34">
    <mergeCell ref="A108:B108"/>
    <mergeCell ref="AC6:AD8"/>
    <mergeCell ref="AE6:AH7"/>
    <mergeCell ref="E7:H7"/>
    <mergeCell ref="I7:J8"/>
    <mergeCell ref="O7:P8"/>
    <mergeCell ref="Q7:R8"/>
    <mergeCell ref="S7:T8"/>
    <mergeCell ref="AM4:AN4"/>
    <mergeCell ref="E5:T5"/>
    <mergeCell ref="U5:V8"/>
    <mergeCell ref="W5:AB5"/>
    <mergeCell ref="AC5:AH5"/>
    <mergeCell ref="AI5:AJ8"/>
    <mergeCell ref="AE8:AF8"/>
    <mergeCell ref="AG8:AH8"/>
    <mergeCell ref="K7:L8"/>
    <mergeCell ref="M7:N8"/>
    <mergeCell ref="A1:N1"/>
    <mergeCell ref="A2:N2"/>
    <mergeCell ref="U3:V3"/>
    <mergeCell ref="A4:A9"/>
    <mergeCell ref="B4:B9"/>
    <mergeCell ref="C4:D8"/>
    <mergeCell ref="E8:F8"/>
    <mergeCell ref="G8:H8"/>
    <mergeCell ref="E4:Z4"/>
    <mergeCell ref="Y7:Z8"/>
    <mergeCell ref="AK5:AL8"/>
    <mergeCell ref="AM5:AN8"/>
    <mergeCell ref="E6:T6"/>
    <mergeCell ref="W6:AB6"/>
    <mergeCell ref="W7:X8"/>
    <mergeCell ref="AA7:A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07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1" customWidth="1"/>
    <col min="2" max="2" width="19" style="1" customWidth="1"/>
    <col min="3" max="3" width="10.19921875" style="1" customWidth="1"/>
    <col min="4" max="4" width="9.69921875" style="1" customWidth="1"/>
    <col min="5" max="6" width="10.8984375" style="1" customWidth="1"/>
    <col min="7" max="7" width="8.8984375" style="1" customWidth="1"/>
    <col min="8" max="8" width="10" style="1" customWidth="1"/>
    <col min="9" max="9" width="9.59765625" style="1" customWidth="1"/>
    <col min="10" max="10" width="11.59765625" style="1" customWidth="1"/>
    <col min="11" max="11" width="10.69921875" style="1" customWidth="1"/>
    <col min="12" max="12" width="11.3984375" style="1" customWidth="1"/>
    <col min="13" max="13" width="9.5" style="1" customWidth="1"/>
    <col min="14" max="14" width="10.3984375" style="1" customWidth="1"/>
    <col min="15" max="15" width="8" style="1" customWidth="1"/>
    <col min="16" max="16" width="12.09765625" style="1" customWidth="1"/>
    <col min="17" max="17" width="9.09765625" style="1" customWidth="1"/>
    <col min="18" max="18" width="9.69921875" style="1" customWidth="1"/>
    <col min="19" max="19" width="9.5" style="1" customWidth="1"/>
    <col min="20" max="20" width="9.69921875" style="1" customWidth="1"/>
    <col min="21" max="21" width="11.59765625" style="1" customWidth="1"/>
    <col min="22" max="22" width="11.8984375" style="1" customWidth="1"/>
    <col min="23" max="23" width="11.69921875" style="1" customWidth="1"/>
    <col min="24" max="24" width="11.59765625" style="1" customWidth="1"/>
    <col min="25" max="25" width="13.3984375" style="1" customWidth="1"/>
    <col min="26" max="26" width="11.5" style="1" customWidth="1"/>
    <col min="27" max="27" width="10" style="1" customWidth="1"/>
    <col min="28" max="28" width="8" style="1" customWidth="1"/>
    <col min="29" max="30" width="12.09765625" style="1" customWidth="1"/>
    <col min="31" max="31" width="10.69921875" style="1" customWidth="1"/>
    <col min="32" max="32" width="12.69921875" style="1" customWidth="1"/>
    <col min="33" max="33" width="12.59765625" style="1" customWidth="1"/>
    <col min="34" max="34" width="10.09765625" style="1" customWidth="1"/>
    <col min="35" max="35" width="9.19921875" style="1" customWidth="1"/>
    <col min="36" max="36" width="10.3984375" style="1" customWidth="1"/>
    <col min="37" max="37" width="10.19921875" style="1" customWidth="1"/>
    <col min="38" max="38" width="11.09765625" style="1" customWidth="1"/>
    <col min="39" max="39" width="21.69921875" style="1" customWidth="1"/>
    <col min="40" max="16384" width="9" style="1" customWidth="1"/>
  </cols>
  <sheetData>
    <row r="1" spans="1:36" ht="19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10"/>
      <c r="P1" s="10"/>
      <c r="Q1" s="10"/>
      <c r="R1" s="10"/>
      <c r="S1" s="10"/>
      <c r="T1" s="10"/>
      <c r="U1" s="10"/>
      <c r="V1" s="1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9.25" customHeight="1">
      <c r="A2" s="424" t="s">
        <v>457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22" ht="12" customHeight="1">
      <c r="B3" s="4"/>
      <c r="M3" s="72"/>
      <c r="N3" s="72"/>
      <c r="U3" s="73"/>
      <c r="V3" s="73"/>
    </row>
    <row r="4" spans="1:38" ht="18" customHeight="1">
      <c r="A4" s="377" t="s">
        <v>2</v>
      </c>
      <c r="B4" s="378" t="s">
        <v>85</v>
      </c>
      <c r="C4" s="426" t="s">
        <v>25</v>
      </c>
      <c r="D4" s="427"/>
      <c r="E4" s="432" t="s">
        <v>1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7"/>
      <c r="AB4" s="7"/>
      <c r="AC4" s="7"/>
      <c r="AD4" s="7"/>
      <c r="AE4" s="7"/>
      <c r="AF4" s="7"/>
      <c r="AG4" s="7"/>
      <c r="AH4" s="7"/>
      <c r="AI4" s="7"/>
      <c r="AJ4" s="7"/>
      <c r="AK4" s="380"/>
      <c r="AL4" s="380"/>
    </row>
    <row r="5" spans="1:38" ht="33" customHeight="1">
      <c r="A5" s="377"/>
      <c r="B5" s="378"/>
      <c r="C5" s="428"/>
      <c r="D5" s="429"/>
      <c r="E5" s="434" t="s">
        <v>22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6"/>
      <c r="U5" s="415" t="s">
        <v>3</v>
      </c>
      <c r="V5" s="415"/>
      <c r="W5" s="413" t="s">
        <v>87</v>
      </c>
      <c r="X5" s="414"/>
      <c r="Y5" s="414"/>
      <c r="Z5" s="414"/>
      <c r="AA5" s="414"/>
      <c r="AB5" s="414"/>
      <c r="AC5" s="382" t="s">
        <v>13</v>
      </c>
      <c r="AD5" s="382"/>
      <c r="AE5" s="382"/>
      <c r="AF5" s="382"/>
      <c r="AG5" s="382"/>
      <c r="AH5" s="382"/>
      <c r="AI5" s="386" t="s">
        <v>20</v>
      </c>
      <c r="AJ5" s="387"/>
      <c r="AK5" s="415" t="s">
        <v>4</v>
      </c>
      <c r="AL5" s="415"/>
    </row>
    <row r="6" spans="1:38" ht="16.5" customHeight="1">
      <c r="A6" s="377"/>
      <c r="B6" s="378"/>
      <c r="C6" s="428"/>
      <c r="D6" s="429"/>
      <c r="E6" s="379" t="s">
        <v>5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415"/>
      <c r="V6" s="415"/>
      <c r="W6" s="420" t="s">
        <v>5</v>
      </c>
      <c r="X6" s="421"/>
      <c r="Y6" s="421"/>
      <c r="Z6" s="421"/>
      <c r="AA6" s="421"/>
      <c r="AB6" s="422"/>
      <c r="AC6" s="375" t="s">
        <v>14</v>
      </c>
      <c r="AD6" s="375"/>
      <c r="AE6" s="375" t="s">
        <v>15</v>
      </c>
      <c r="AF6" s="375"/>
      <c r="AG6" s="375"/>
      <c r="AH6" s="375"/>
      <c r="AI6" s="388"/>
      <c r="AJ6" s="389"/>
      <c r="AK6" s="415"/>
      <c r="AL6" s="415"/>
    </row>
    <row r="7" spans="1:38" ht="26.25" customHeight="1">
      <c r="A7" s="377"/>
      <c r="B7" s="378"/>
      <c r="C7" s="428"/>
      <c r="D7" s="429"/>
      <c r="E7" s="382" t="s">
        <v>9</v>
      </c>
      <c r="F7" s="375"/>
      <c r="G7" s="375"/>
      <c r="H7" s="375"/>
      <c r="I7" s="339" t="s">
        <v>11</v>
      </c>
      <c r="J7" s="339"/>
      <c r="K7" s="438" t="s">
        <v>89</v>
      </c>
      <c r="L7" s="438"/>
      <c r="M7" s="339" t="s">
        <v>6</v>
      </c>
      <c r="N7" s="339"/>
      <c r="O7" s="339" t="s">
        <v>7</v>
      </c>
      <c r="P7" s="339"/>
      <c r="Q7" s="339" t="s">
        <v>8</v>
      </c>
      <c r="R7" s="339"/>
      <c r="S7" s="339" t="s">
        <v>21</v>
      </c>
      <c r="T7" s="339"/>
      <c r="U7" s="415"/>
      <c r="V7" s="415"/>
      <c r="W7" s="416" t="s">
        <v>23</v>
      </c>
      <c r="X7" s="387"/>
      <c r="Y7" s="386" t="s">
        <v>24</v>
      </c>
      <c r="Z7" s="417"/>
      <c r="AA7" s="404" t="s">
        <v>12</v>
      </c>
      <c r="AB7" s="405"/>
      <c r="AC7" s="375"/>
      <c r="AD7" s="375"/>
      <c r="AE7" s="375"/>
      <c r="AF7" s="375"/>
      <c r="AG7" s="375"/>
      <c r="AH7" s="375"/>
      <c r="AI7" s="388"/>
      <c r="AJ7" s="389"/>
      <c r="AK7" s="415"/>
      <c r="AL7" s="415"/>
    </row>
    <row r="8" spans="1:38" ht="66.75" customHeight="1">
      <c r="A8" s="377"/>
      <c r="B8" s="378"/>
      <c r="C8" s="430"/>
      <c r="D8" s="431"/>
      <c r="E8" s="331" t="s">
        <v>16</v>
      </c>
      <c r="F8" s="331"/>
      <c r="G8" s="331" t="s">
        <v>10</v>
      </c>
      <c r="H8" s="331"/>
      <c r="I8" s="339"/>
      <c r="J8" s="339"/>
      <c r="K8" s="438"/>
      <c r="L8" s="438"/>
      <c r="M8" s="339"/>
      <c r="N8" s="339"/>
      <c r="O8" s="339"/>
      <c r="P8" s="339"/>
      <c r="Q8" s="339"/>
      <c r="R8" s="339"/>
      <c r="S8" s="339"/>
      <c r="T8" s="339"/>
      <c r="U8" s="415"/>
      <c r="V8" s="415"/>
      <c r="W8" s="390"/>
      <c r="X8" s="391"/>
      <c r="Y8" s="418"/>
      <c r="Z8" s="419"/>
      <c r="AA8" s="406"/>
      <c r="AB8" s="407"/>
      <c r="AC8" s="375"/>
      <c r="AD8" s="375"/>
      <c r="AE8" s="375" t="s">
        <v>17</v>
      </c>
      <c r="AF8" s="375"/>
      <c r="AG8" s="393" t="s">
        <v>18</v>
      </c>
      <c r="AH8" s="393"/>
      <c r="AI8" s="390"/>
      <c r="AJ8" s="391"/>
      <c r="AK8" s="415"/>
      <c r="AL8" s="415"/>
    </row>
    <row r="9" spans="1:38" ht="48.75" customHeight="1">
      <c r="A9" s="377"/>
      <c r="B9" s="378"/>
      <c r="C9" s="11" t="s">
        <v>90</v>
      </c>
      <c r="D9" s="77" t="s">
        <v>91</v>
      </c>
      <c r="E9" s="78" t="s">
        <v>90</v>
      </c>
      <c r="F9" s="11" t="s">
        <v>92</v>
      </c>
      <c r="G9" s="78" t="s">
        <v>90</v>
      </c>
      <c r="H9" s="11" t="s">
        <v>92</v>
      </c>
      <c r="I9" s="78" t="s">
        <v>90</v>
      </c>
      <c r="J9" s="11" t="s">
        <v>92</v>
      </c>
      <c r="K9" s="78" t="s">
        <v>90</v>
      </c>
      <c r="L9" s="11" t="s">
        <v>92</v>
      </c>
      <c r="M9" s="78" t="s">
        <v>90</v>
      </c>
      <c r="N9" s="11" t="s">
        <v>92</v>
      </c>
      <c r="O9" s="78" t="s">
        <v>90</v>
      </c>
      <c r="P9" s="11" t="s">
        <v>92</v>
      </c>
      <c r="Q9" s="78" t="s">
        <v>90</v>
      </c>
      <c r="R9" s="11" t="s">
        <v>92</v>
      </c>
      <c r="S9" s="78" t="s">
        <v>90</v>
      </c>
      <c r="T9" s="11" t="s">
        <v>92</v>
      </c>
      <c r="U9" s="78" t="s">
        <v>90</v>
      </c>
      <c r="V9" s="11" t="s">
        <v>92</v>
      </c>
      <c r="W9" s="78" t="s">
        <v>90</v>
      </c>
      <c r="X9" s="11" t="s">
        <v>92</v>
      </c>
      <c r="Y9" s="78" t="s">
        <v>90</v>
      </c>
      <c r="Z9" s="11" t="s">
        <v>92</v>
      </c>
      <c r="AA9" s="78" t="s">
        <v>90</v>
      </c>
      <c r="AB9" s="11" t="s">
        <v>92</v>
      </c>
      <c r="AC9" s="78" t="s">
        <v>90</v>
      </c>
      <c r="AD9" s="11" t="s">
        <v>92</v>
      </c>
      <c r="AE9" s="78" t="s">
        <v>90</v>
      </c>
      <c r="AF9" s="11" t="s">
        <v>92</v>
      </c>
      <c r="AG9" s="78" t="s">
        <v>90</v>
      </c>
      <c r="AH9" s="11" t="s">
        <v>92</v>
      </c>
      <c r="AI9" s="78" t="s">
        <v>90</v>
      </c>
      <c r="AJ9" s="11" t="s">
        <v>92</v>
      </c>
      <c r="AK9" s="78" t="s">
        <v>90</v>
      </c>
      <c r="AL9" s="11" t="s">
        <v>92</v>
      </c>
    </row>
    <row r="10" spans="1:38" ht="11.25" customHeight="1">
      <c r="A10" s="5"/>
      <c r="B10" s="80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0">
        <v>17</v>
      </c>
      <c r="S10" s="80">
        <v>18</v>
      </c>
      <c r="T10" s="80">
        <v>19</v>
      </c>
      <c r="U10" s="80">
        <v>20</v>
      </c>
      <c r="V10" s="80">
        <v>21</v>
      </c>
      <c r="W10" s="80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</row>
    <row r="11" spans="1:39" s="75" customFormat="1" ht="17.25" customHeight="1">
      <c r="A11" s="104">
        <v>1</v>
      </c>
      <c r="B11" s="151" t="s">
        <v>458</v>
      </c>
      <c r="C11" s="152">
        <f aca="true" t="shared" si="0" ref="C11:D42">U11+AK11</f>
        <v>207750.40000000002</v>
      </c>
      <c r="D11" s="152">
        <f t="shared" si="0"/>
        <v>204648.92999999996</v>
      </c>
      <c r="E11" s="153">
        <v>49101.3</v>
      </c>
      <c r="F11" s="153">
        <v>48975.8</v>
      </c>
      <c r="G11" s="153">
        <v>10338.9</v>
      </c>
      <c r="H11" s="153">
        <v>10338.3</v>
      </c>
      <c r="I11" s="153">
        <v>128170.2</v>
      </c>
      <c r="J11" s="153">
        <v>127393.2</v>
      </c>
      <c r="K11" s="153">
        <v>0</v>
      </c>
      <c r="L11" s="153">
        <v>0</v>
      </c>
      <c r="M11" s="153">
        <v>0</v>
      </c>
      <c r="N11" s="153">
        <v>0</v>
      </c>
      <c r="O11" s="154">
        <v>285</v>
      </c>
      <c r="P11" s="154">
        <v>235</v>
      </c>
      <c r="Q11" s="154">
        <v>5695</v>
      </c>
      <c r="R11" s="154">
        <v>5672</v>
      </c>
      <c r="S11" s="154">
        <v>150</v>
      </c>
      <c r="T11" s="154">
        <v>132.6</v>
      </c>
      <c r="U11" s="90">
        <f aca="true" t="shared" si="1" ref="U11:V42">S11+Q11+O11+M11+K11+I11+G11+E11</f>
        <v>193740.40000000002</v>
      </c>
      <c r="V11" s="90">
        <f t="shared" si="1"/>
        <v>192746.89999999997</v>
      </c>
      <c r="W11" s="154">
        <v>23910</v>
      </c>
      <c r="X11" s="154">
        <v>21506.7</v>
      </c>
      <c r="Y11" s="154">
        <v>0</v>
      </c>
      <c r="Z11" s="154">
        <v>0</v>
      </c>
      <c r="AA11" s="154">
        <v>0</v>
      </c>
      <c r="AB11" s="154">
        <v>0</v>
      </c>
      <c r="AC11" s="154">
        <v>-6400</v>
      </c>
      <c r="AD11" s="154">
        <v>-6392.9</v>
      </c>
      <c r="AE11" s="154">
        <v>-3500</v>
      </c>
      <c r="AF11" s="154">
        <v>-3211.77</v>
      </c>
      <c r="AG11" s="155"/>
      <c r="AH11" s="155"/>
      <c r="AI11" s="154">
        <v>5610</v>
      </c>
      <c r="AJ11" s="154">
        <v>5600</v>
      </c>
      <c r="AK11" s="156">
        <f aca="true" t="shared" si="2" ref="AK11:AL42">AI11+AG11+AE11+AC11+AA11+Y11+W11-AI11</f>
        <v>14010</v>
      </c>
      <c r="AL11" s="156">
        <f t="shared" si="2"/>
        <v>11902.030000000002</v>
      </c>
      <c r="AM11" s="157"/>
    </row>
    <row r="12" spans="1:38" s="75" customFormat="1" ht="17.25" customHeight="1">
      <c r="A12" s="104">
        <v>2</v>
      </c>
      <c r="B12" s="151" t="s">
        <v>459</v>
      </c>
      <c r="C12" s="152">
        <f t="shared" si="0"/>
        <v>53000.09999999999</v>
      </c>
      <c r="D12" s="152">
        <f t="shared" si="0"/>
        <v>34877.15</v>
      </c>
      <c r="E12" s="153">
        <v>13784.8</v>
      </c>
      <c r="F12" s="153">
        <v>12628.6</v>
      </c>
      <c r="G12" s="153">
        <v>2638.8</v>
      </c>
      <c r="H12" s="153">
        <v>2471</v>
      </c>
      <c r="I12" s="153">
        <v>11000</v>
      </c>
      <c r="J12" s="153">
        <v>7247.2</v>
      </c>
      <c r="K12" s="153">
        <v>0</v>
      </c>
      <c r="L12" s="153">
        <v>0</v>
      </c>
      <c r="M12" s="153">
        <v>0</v>
      </c>
      <c r="N12" s="153">
        <v>0</v>
      </c>
      <c r="O12" s="154">
        <v>9400</v>
      </c>
      <c r="P12" s="154">
        <v>2976</v>
      </c>
      <c r="Q12" s="154">
        <v>1800</v>
      </c>
      <c r="R12" s="154">
        <v>1785</v>
      </c>
      <c r="S12" s="154">
        <v>2457.3</v>
      </c>
      <c r="T12" s="154">
        <v>106</v>
      </c>
      <c r="U12" s="90">
        <f t="shared" si="1"/>
        <v>41080.899999999994</v>
      </c>
      <c r="V12" s="90">
        <f t="shared" si="1"/>
        <v>27213.800000000003</v>
      </c>
      <c r="W12" s="154">
        <v>11919.2</v>
      </c>
      <c r="X12" s="154">
        <v>7680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-16.65</v>
      </c>
      <c r="AG12" s="155"/>
      <c r="AH12" s="155"/>
      <c r="AI12" s="154">
        <v>0</v>
      </c>
      <c r="AJ12" s="154">
        <v>0</v>
      </c>
      <c r="AK12" s="156">
        <f t="shared" si="2"/>
        <v>11919.2</v>
      </c>
      <c r="AL12" s="156">
        <f t="shared" si="2"/>
        <v>7663.35</v>
      </c>
    </row>
    <row r="13" spans="1:38" s="75" customFormat="1" ht="17.25" customHeight="1">
      <c r="A13" s="104">
        <v>3</v>
      </c>
      <c r="B13" s="151" t="s">
        <v>460</v>
      </c>
      <c r="C13" s="152">
        <f t="shared" si="0"/>
        <v>9006.900000000001</v>
      </c>
      <c r="D13" s="152">
        <f t="shared" si="0"/>
        <v>8225.1</v>
      </c>
      <c r="E13" s="153">
        <v>6138.1</v>
      </c>
      <c r="F13" s="153">
        <v>6025.3</v>
      </c>
      <c r="G13" s="153">
        <v>1053.6</v>
      </c>
      <c r="H13" s="153">
        <v>969.8</v>
      </c>
      <c r="I13" s="153">
        <v>710</v>
      </c>
      <c r="J13" s="153">
        <v>540</v>
      </c>
      <c r="K13" s="153">
        <v>0</v>
      </c>
      <c r="L13" s="153">
        <v>0</v>
      </c>
      <c r="M13" s="153">
        <v>0</v>
      </c>
      <c r="N13" s="153">
        <v>0</v>
      </c>
      <c r="O13" s="154">
        <v>440</v>
      </c>
      <c r="P13" s="154">
        <v>440</v>
      </c>
      <c r="Q13" s="154">
        <v>250</v>
      </c>
      <c r="R13" s="154">
        <v>250</v>
      </c>
      <c r="S13" s="154">
        <v>0</v>
      </c>
      <c r="T13" s="154">
        <v>0</v>
      </c>
      <c r="U13" s="90">
        <f t="shared" si="1"/>
        <v>8591.7</v>
      </c>
      <c r="V13" s="90">
        <f t="shared" si="1"/>
        <v>8225.1</v>
      </c>
      <c r="W13" s="154">
        <v>415.2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5"/>
      <c r="AH13" s="155"/>
      <c r="AI13" s="154">
        <v>415.2</v>
      </c>
      <c r="AJ13" s="154">
        <v>415.2</v>
      </c>
      <c r="AK13" s="156">
        <f t="shared" si="2"/>
        <v>415.2</v>
      </c>
      <c r="AL13" s="156">
        <f t="shared" si="2"/>
        <v>0</v>
      </c>
    </row>
    <row r="14" spans="1:38" s="75" customFormat="1" ht="17.25" customHeight="1">
      <c r="A14" s="104">
        <v>4</v>
      </c>
      <c r="B14" s="151" t="s">
        <v>461</v>
      </c>
      <c r="C14" s="152">
        <f t="shared" si="0"/>
        <v>15142.699999999999</v>
      </c>
      <c r="D14" s="152">
        <f t="shared" si="0"/>
        <v>14118.6</v>
      </c>
      <c r="E14" s="153">
        <v>12843.9</v>
      </c>
      <c r="F14" s="153">
        <v>12731.1</v>
      </c>
      <c r="G14" s="153">
        <v>988.8</v>
      </c>
      <c r="H14" s="153">
        <v>972</v>
      </c>
      <c r="I14" s="153">
        <v>650</v>
      </c>
      <c r="J14" s="153">
        <v>415.5</v>
      </c>
      <c r="K14" s="153">
        <v>0</v>
      </c>
      <c r="L14" s="153">
        <v>0</v>
      </c>
      <c r="M14" s="153">
        <v>0</v>
      </c>
      <c r="N14" s="153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90">
        <f t="shared" si="1"/>
        <v>14482.699999999999</v>
      </c>
      <c r="V14" s="90">
        <f t="shared" si="1"/>
        <v>14118.6</v>
      </c>
      <c r="W14" s="154">
        <v>660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5"/>
      <c r="AH14" s="155"/>
      <c r="AI14" s="154">
        <v>0</v>
      </c>
      <c r="AJ14" s="154">
        <v>660</v>
      </c>
      <c r="AK14" s="156">
        <f t="shared" si="2"/>
        <v>660</v>
      </c>
      <c r="AL14" s="156">
        <f t="shared" si="2"/>
        <v>0</v>
      </c>
    </row>
    <row r="15" spans="1:38" s="75" customFormat="1" ht="17.25" customHeight="1">
      <c r="A15" s="104">
        <v>5</v>
      </c>
      <c r="B15" s="151" t="s">
        <v>462</v>
      </c>
      <c r="C15" s="152">
        <f t="shared" si="0"/>
        <v>9260.699999999999</v>
      </c>
      <c r="D15" s="152">
        <f t="shared" si="0"/>
        <v>8596.1</v>
      </c>
      <c r="E15" s="153">
        <v>7303.9</v>
      </c>
      <c r="F15" s="153">
        <v>7156.1</v>
      </c>
      <c r="G15" s="153">
        <v>756.8</v>
      </c>
      <c r="H15" s="153">
        <v>740</v>
      </c>
      <c r="I15" s="153">
        <v>400</v>
      </c>
      <c r="J15" s="153">
        <v>400</v>
      </c>
      <c r="K15" s="153">
        <v>0</v>
      </c>
      <c r="L15" s="153">
        <v>0</v>
      </c>
      <c r="M15" s="153">
        <v>0</v>
      </c>
      <c r="N15" s="153">
        <v>0</v>
      </c>
      <c r="O15" s="154">
        <v>0</v>
      </c>
      <c r="P15" s="154">
        <v>0</v>
      </c>
      <c r="Q15" s="154">
        <v>300</v>
      </c>
      <c r="R15" s="154">
        <v>300</v>
      </c>
      <c r="S15" s="154">
        <v>0</v>
      </c>
      <c r="T15" s="154">
        <v>0</v>
      </c>
      <c r="U15" s="90">
        <f t="shared" si="1"/>
        <v>8760.699999999999</v>
      </c>
      <c r="V15" s="90">
        <f t="shared" si="1"/>
        <v>8596.1</v>
      </c>
      <c r="W15" s="154">
        <v>500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5"/>
      <c r="AH15" s="155"/>
      <c r="AI15" s="154">
        <v>0</v>
      </c>
      <c r="AJ15" s="154">
        <v>500</v>
      </c>
      <c r="AK15" s="156">
        <f t="shared" si="2"/>
        <v>500</v>
      </c>
      <c r="AL15" s="156">
        <f t="shared" si="2"/>
        <v>0</v>
      </c>
    </row>
    <row r="16" spans="1:38" s="75" customFormat="1" ht="17.25" customHeight="1">
      <c r="A16" s="104">
        <v>6</v>
      </c>
      <c r="B16" s="151" t="s">
        <v>463</v>
      </c>
      <c r="C16" s="152">
        <f t="shared" si="0"/>
        <v>20000</v>
      </c>
      <c r="D16" s="152">
        <f t="shared" si="0"/>
        <v>18587.5</v>
      </c>
      <c r="E16" s="153">
        <v>14487.2</v>
      </c>
      <c r="F16" s="153">
        <v>14237.7</v>
      </c>
      <c r="G16" s="153">
        <v>3662.8</v>
      </c>
      <c r="H16" s="153">
        <v>3617.5</v>
      </c>
      <c r="I16" s="153">
        <v>530</v>
      </c>
      <c r="J16" s="153">
        <v>460.3</v>
      </c>
      <c r="K16" s="153">
        <v>0</v>
      </c>
      <c r="L16" s="153">
        <v>0</v>
      </c>
      <c r="M16" s="153">
        <v>0</v>
      </c>
      <c r="N16" s="153">
        <v>0</v>
      </c>
      <c r="O16" s="154">
        <v>10</v>
      </c>
      <c r="P16" s="154">
        <v>10</v>
      </c>
      <c r="Q16" s="154">
        <v>230</v>
      </c>
      <c r="R16" s="154">
        <v>215</v>
      </c>
      <c r="S16" s="154">
        <v>80</v>
      </c>
      <c r="T16" s="154">
        <v>47</v>
      </c>
      <c r="U16" s="90">
        <f t="shared" si="1"/>
        <v>19000</v>
      </c>
      <c r="V16" s="90">
        <f t="shared" si="1"/>
        <v>18587.5</v>
      </c>
      <c r="W16" s="154">
        <v>1000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5"/>
      <c r="AH16" s="155"/>
      <c r="AI16" s="154">
        <v>0</v>
      </c>
      <c r="AJ16" s="154">
        <v>1000</v>
      </c>
      <c r="AK16" s="156">
        <f t="shared" si="2"/>
        <v>1000</v>
      </c>
      <c r="AL16" s="156">
        <f t="shared" si="2"/>
        <v>0</v>
      </c>
    </row>
    <row r="17" spans="1:38" s="75" customFormat="1" ht="17.25" customHeight="1">
      <c r="A17" s="104">
        <v>7</v>
      </c>
      <c r="B17" s="151" t="s">
        <v>464</v>
      </c>
      <c r="C17" s="152">
        <f t="shared" si="0"/>
        <v>15094.5</v>
      </c>
      <c r="D17" s="152">
        <f t="shared" si="0"/>
        <v>14425.800000000001</v>
      </c>
      <c r="E17" s="153">
        <v>11753.7</v>
      </c>
      <c r="F17" s="153">
        <v>11639.7</v>
      </c>
      <c r="G17" s="153">
        <v>1787.8</v>
      </c>
      <c r="H17" s="153">
        <v>1764.1</v>
      </c>
      <c r="I17" s="153">
        <v>613</v>
      </c>
      <c r="J17" s="153">
        <v>595</v>
      </c>
      <c r="K17" s="153">
        <v>0</v>
      </c>
      <c r="L17" s="153">
        <v>0</v>
      </c>
      <c r="M17" s="153">
        <v>0</v>
      </c>
      <c r="N17" s="153">
        <v>0</v>
      </c>
      <c r="O17" s="154">
        <v>40</v>
      </c>
      <c r="P17" s="154">
        <v>40</v>
      </c>
      <c r="Q17" s="154">
        <v>37.5</v>
      </c>
      <c r="R17" s="154">
        <v>35</v>
      </c>
      <c r="S17" s="154">
        <v>112.5</v>
      </c>
      <c r="T17" s="154">
        <v>0</v>
      </c>
      <c r="U17" s="90">
        <f t="shared" si="1"/>
        <v>14344.5</v>
      </c>
      <c r="V17" s="90">
        <f t="shared" si="1"/>
        <v>14073.800000000001</v>
      </c>
      <c r="W17" s="154">
        <v>750</v>
      </c>
      <c r="X17" s="154">
        <v>352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8"/>
      <c r="AH17" s="158"/>
      <c r="AI17" s="154">
        <v>305</v>
      </c>
      <c r="AJ17" s="154">
        <v>750</v>
      </c>
      <c r="AK17" s="156">
        <f t="shared" si="2"/>
        <v>750</v>
      </c>
      <c r="AL17" s="156">
        <f t="shared" si="2"/>
        <v>352</v>
      </c>
    </row>
    <row r="18" spans="1:38" s="75" customFormat="1" ht="17.25" customHeight="1">
      <c r="A18" s="104">
        <v>8</v>
      </c>
      <c r="B18" s="151" t="s">
        <v>465</v>
      </c>
      <c r="C18" s="152">
        <f t="shared" si="0"/>
        <v>7542.6</v>
      </c>
      <c r="D18" s="152">
        <f t="shared" si="0"/>
        <v>6694.2</v>
      </c>
      <c r="E18" s="153">
        <v>5185.8</v>
      </c>
      <c r="F18" s="153">
        <v>5017.2</v>
      </c>
      <c r="G18" s="153">
        <v>1636.8</v>
      </c>
      <c r="H18" s="153">
        <v>1527</v>
      </c>
      <c r="I18" s="153">
        <v>350</v>
      </c>
      <c r="J18" s="153">
        <v>150</v>
      </c>
      <c r="K18" s="153">
        <v>0</v>
      </c>
      <c r="L18" s="153">
        <v>0</v>
      </c>
      <c r="M18" s="153">
        <v>0</v>
      </c>
      <c r="N18" s="153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90">
        <f t="shared" si="1"/>
        <v>7172.6</v>
      </c>
      <c r="V18" s="90">
        <f t="shared" si="1"/>
        <v>6694.2</v>
      </c>
      <c r="W18" s="154">
        <v>370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8"/>
      <c r="AH18" s="158"/>
      <c r="AI18" s="154">
        <v>0</v>
      </c>
      <c r="AJ18" s="154">
        <v>370</v>
      </c>
      <c r="AK18" s="156">
        <f t="shared" si="2"/>
        <v>370</v>
      </c>
      <c r="AL18" s="156">
        <f t="shared" si="2"/>
        <v>0</v>
      </c>
    </row>
    <row r="19" spans="1:38" s="75" customFormat="1" ht="17.25" customHeight="1">
      <c r="A19" s="104">
        <v>9</v>
      </c>
      <c r="B19" s="151" t="s">
        <v>466</v>
      </c>
      <c r="C19" s="152">
        <f t="shared" si="0"/>
        <v>9980</v>
      </c>
      <c r="D19" s="152">
        <f t="shared" si="0"/>
        <v>9454</v>
      </c>
      <c r="E19" s="153">
        <v>7077.8</v>
      </c>
      <c r="F19" s="153">
        <v>6912.8</v>
      </c>
      <c r="G19" s="153">
        <v>1336.8</v>
      </c>
      <c r="H19" s="153">
        <v>1307</v>
      </c>
      <c r="I19" s="153">
        <v>835</v>
      </c>
      <c r="J19" s="153">
        <v>783.9</v>
      </c>
      <c r="K19" s="153">
        <v>0</v>
      </c>
      <c r="L19" s="153">
        <v>0</v>
      </c>
      <c r="M19" s="153">
        <v>0</v>
      </c>
      <c r="N19" s="153">
        <v>0</v>
      </c>
      <c r="O19" s="154">
        <v>0</v>
      </c>
      <c r="P19" s="154">
        <v>0</v>
      </c>
      <c r="Q19" s="154">
        <v>380.4</v>
      </c>
      <c r="R19" s="154">
        <v>380</v>
      </c>
      <c r="S19" s="154">
        <v>200</v>
      </c>
      <c r="T19" s="154">
        <v>0</v>
      </c>
      <c r="U19" s="90">
        <f t="shared" si="1"/>
        <v>9830</v>
      </c>
      <c r="V19" s="90">
        <f t="shared" si="1"/>
        <v>9383.7</v>
      </c>
      <c r="W19" s="154">
        <v>150</v>
      </c>
      <c r="X19" s="154">
        <v>150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-79.7</v>
      </c>
      <c r="AE19" s="154">
        <v>0</v>
      </c>
      <c r="AF19" s="154">
        <v>0</v>
      </c>
      <c r="AG19" s="158"/>
      <c r="AH19" s="158"/>
      <c r="AI19" s="154">
        <v>150</v>
      </c>
      <c r="AJ19" s="154">
        <v>150</v>
      </c>
      <c r="AK19" s="156">
        <f t="shared" si="2"/>
        <v>150</v>
      </c>
      <c r="AL19" s="156">
        <f t="shared" si="2"/>
        <v>70.30000000000001</v>
      </c>
    </row>
    <row r="20" spans="1:38" s="75" customFormat="1" ht="17.25" customHeight="1">
      <c r="A20" s="104">
        <v>10</v>
      </c>
      <c r="B20" s="151" t="s">
        <v>467</v>
      </c>
      <c r="C20" s="152">
        <f t="shared" si="0"/>
        <v>6480.7</v>
      </c>
      <c r="D20" s="152">
        <f t="shared" si="0"/>
        <v>6321.299999999999</v>
      </c>
      <c r="E20" s="153">
        <v>5410</v>
      </c>
      <c r="F20" s="153">
        <v>5370.9</v>
      </c>
      <c r="G20" s="153">
        <v>752</v>
      </c>
      <c r="H20" s="153">
        <v>752</v>
      </c>
      <c r="I20" s="153">
        <v>198</v>
      </c>
      <c r="J20" s="153">
        <v>196.5</v>
      </c>
      <c r="K20" s="153">
        <v>0</v>
      </c>
      <c r="L20" s="153">
        <v>0</v>
      </c>
      <c r="M20" s="153">
        <v>0</v>
      </c>
      <c r="N20" s="153">
        <v>0</v>
      </c>
      <c r="O20" s="154">
        <v>20.7</v>
      </c>
      <c r="P20" s="154">
        <v>1.9</v>
      </c>
      <c r="Q20" s="154">
        <v>0</v>
      </c>
      <c r="R20" s="154">
        <v>0</v>
      </c>
      <c r="S20" s="154">
        <v>0</v>
      </c>
      <c r="T20" s="154">
        <v>0</v>
      </c>
      <c r="U20" s="90">
        <f t="shared" si="1"/>
        <v>6380.7</v>
      </c>
      <c r="V20" s="90">
        <f t="shared" si="1"/>
        <v>6321.299999999999</v>
      </c>
      <c r="W20" s="154">
        <v>100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8"/>
      <c r="AH20" s="158"/>
      <c r="AI20" s="154">
        <v>0</v>
      </c>
      <c r="AJ20" s="154">
        <v>100</v>
      </c>
      <c r="AK20" s="156">
        <f t="shared" si="2"/>
        <v>100</v>
      </c>
      <c r="AL20" s="156">
        <f t="shared" si="2"/>
        <v>0</v>
      </c>
    </row>
    <row r="21" spans="1:38" s="75" customFormat="1" ht="17.25" customHeight="1">
      <c r="A21" s="104">
        <v>11</v>
      </c>
      <c r="B21" s="151" t="s">
        <v>468</v>
      </c>
      <c r="C21" s="152">
        <f t="shared" si="0"/>
        <v>8400</v>
      </c>
      <c r="D21" s="152">
        <f t="shared" si="0"/>
        <v>7500.9</v>
      </c>
      <c r="E21" s="153">
        <v>6600</v>
      </c>
      <c r="F21" s="153">
        <v>6455.9</v>
      </c>
      <c r="G21" s="153">
        <v>800</v>
      </c>
      <c r="H21" s="153">
        <v>652</v>
      </c>
      <c r="I21" s="153">
        <v>565</v>
      </c>
      <c r="J21" s="153">
        <v>360</v>
      </c>
      <c r="K21" s="153">
        <v>0</v>
      </c>
      <c r="L21" s="153">
        <v>0</v>
      </c>
      <c r="M21" s="153">
        <v>0</v>
      </c>
      <c r="N21" s="153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135</v>
      </c>
      <c r="T21" s="154">
        <v>33</v>
      </c>
      <c r="U21" s="90">
        <f t="shared" si="1"/>
        <v>8100</v>
      </c>
      <c r="V21" s="90">
        <f t="shared" si="1"/>
        <v>7500.9</v>
      </c>
      <c r="W21" s="154">
        <v>300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8"/>
      <c r="AH21" s="158"/>
      <c r="AI21" s="154">
        <v>0</v>
      </c>
      <c r="AJ21" s="154">
        <v>300</v>
      </c>
      <c r="AK21" s="156">
        <f t="shared" si="2"/>
        <v>300</v>
      </c>
      <c r="AL21" s="156">
        <f t="shared" si="2"/>
        <v>0</v>
      </c>
    </row>
    <row r="22" spans="1:38" s="75" customFormat="1" ht="17.25" customHeight="1">
      <c r="A22" s="104">
        <v>12</v>
      </c>
      <c r="B22" s="151" t="s">
        <v>469</v>
      </c>
      <c r="C22" s="152">
        <f t="shared" si="0"/>
        <v>19313.8</v>
      </c>
      <c r="D22" s="152">
        <f t="shared" si="0"/>
        <v>18138.2</v>
      </c>
      <c r="E22" s="153">
        <v>13175.8</v>
      </c>
      <c r="F22" s="153">
        <v>12621</v>
      </c>
      <c r="G22" s="153">
        <v>2320</v>
      </c>
      <c r="H22" s="153">
        <v>2250</v>
      </c>
      <c r="I22" s="153">
        <v>2593</v>
      </c>
      <c r="J22" s="153">
        <v>2542.2</v>
      </c>
      <c r="K22" s="153">
        <v>0</v>
      </c>
      <c r="L22" s="153">
        <v>0</v>
      </c>
      <c r="M22" s="153">
        <v>0</v>
      </c>
      <c r="N22" s="153">
        <v>0</v>
      </c>
      <c r="O22" s="154">
        <v>50</v>
      </c>
      <c r="P22" s="154">
        <v>50</v>
      </c>
      <c r="Q22" s="154">
        <v>150</v>
      </c>
      <c r="R22" s="154">
        <v>150</v>
      </c>
      <c r="S22" s="154">
        <v>525</v>
      </c>
      <c r="T22" s="154">
        <v>25</v>
      </c>
      <c r="U22" s="90">
        <f t="shared" si="1"/>
        <v>18813.8</v>
      </c>
      <c r="V22" s="90">
        <f t="shared" si="1"/>
        <v>17638.2</v>
      </c>
      <c r="W22" s="154">
        <v>500</v>
      </c>
      <c r="X22" s="154">
        <v>500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8"/>
      <c r="AH22" s="158"/>
      <c r="AI22" s="154">
        <v>500</v>
      </c>
      <c r="AJ22" s="154">
        <v>500</v>
      </c>
      <c r="AK22" s="156">
        <f t="shared" si="2"/>
        <v>500</v>
      </c>
      <c r="AL22" s="156">
        <f t="shared" si="2"/>
        <v>500</v>
      </c>
    </row>
    <row r="23" spans="1:38" s="75" customFormat="1" ht="17.25" customHeight="1">
      <c r="A23" s="104">
        <v>13</v>
      </c>
      <c r="B23" s="151" t="s">
        <v>470</v>
      </c>
      <c r="C23" s="152">
        <f t="shared" si="0"/>
        <v>12961.599999999999</v>
      </c>
      <c r="D23" s="152">
        <f t="shared" si="0"/>
        <v>10464.699999999999</v>
      </c>
      <c r="E23" s="153">
        <v>8660.4</v>
      </c>
      <c r="F23" s="153">
        <v>8547.5</v>
      </c>
      <c r="G23" s="153">
        <v>1738.4</v>
      </c>
      <c r="H23" s="153">
        <v>1721.2</v>
      </c>
      <c r="I23" s="153">
        <v>90</v>
      </c>
      <c r="J23" s="153">
        <v>65.6</v>
      </c>
      <c r="K23" s="153">
        <v>0</v>
      </c>
      <c r="L23" s="153">
        <v>0</v>
      </c>
      <c r="M23" s="153">
        <v>0</v>
      </c>
      <c r="N23" s="153">
        <v>0</v>
      </c>
      <c r="O23" s="154">
        <v>0</v>
      </c>
      <c r="P23" s="154">
        <v>0</v>
      </c>
      <c r="Q23" s="154">
        <v>150</v>
      </c>
      <c r="R23" s="154">
        <v>150</v>
      </c>
      <c r="S23" s="154">
        <v>60</v>
      </c>
      <c r="T23" s="154">
        <v>24</v>
      </c>
      <c r="U23" s="90">
        <f t="shared" si="1"/>
        <v>10698.8</v>
      </c>
      <c r="V23" s="90">
        <f t="shared" si="1"/>
        <v>10508.3</v>
      </c>
      <c r="W23" s="154">
        <v>2262.8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-43.6</v>
      </c>
      <c r="AG23" s="158"/>
      <c r="AH23" s="158"/>
      <c r="AI23" s="154">
        <v>0</v>
      </c>
      <c r="AJ23" s="154">
        <v>500</v>
      </c>
      <c r="AK23" s="156">
        <f t="shared" si="2"/>
        <v>2262.8</v>
      </c>
      <c r="AL23" s="156">
        <f t="shared" si="2"/>
        <v>-43.60000000000002</v>
      </c>
    </row>
    <row r="24" spans="1:38" s="75" customFormat="1" ht="17.25" customHeight="1">
      <c r="A24" s="104">
        <v>14</v>
      </c>
      <c r="B24" s="151" t="s">
        <v>471</v>
      </c>
      <c r="C24" s="152">
        <f t="shared" si="0"/>
        <v>13813.8</v>
      </c>
      <c r="D24" s="152">
        <f t="shared" si="0"/>
        <v>11993.9</v>
      </c>
      <c r="E24" s="153">
        <v>9811</v>
      </c>
      <c r="F24" s="153">
        <v>9662.3</v>
      </c>
      <c r="G24" s="153">
        <v>1592.8</v>
      </c>
      <c r="H24" s="153">
        <v>1549.4</v>
      </c>
      <c r="I24" s="153">
        <v>1120</v>
      </c>
      <c r="J24" s="153">
        <v>597</v>
      </c>
      <c r="K24" s="153">
        <v>0</v>
      </c>
      <c r="L24" s="153">
        <v>0</v>
      </c>
      <c r="M24" s="153">
        <v>0</v>
      </c>
      <c r="N24" s="153">
        <v>0</v>
      </c>
      <c r="O24" s="154">
        <v>40</v>
      </c>
      <c r="P24" s="154">
        <v>35.2</v>
      </c>
      <c r="Q24" s="154">
        <v>150</v>
      </c>
      <c r="R24" s="154">
        <v>150</v>
      </c>
      <c r="S24" s="154">
        <v>350</v>
      </c>
      <c r="T24" s="154">
        <v>0</v>
      </c>
      <c r="U24" s="90">
        <f t="shared" si="1"/>
        <v>13063.8</v>
      </c>
      <c r="V24" s="90">
        <f t="shared" si="1"/>
        <v>11993.9</v>
      </c>
      <c r="W24" s="154">
        <v>750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8"/>
      <c r="AH24" s="158"/>
      <c r="AI24" s="154">
        <v>0</v>
      </c>
      <c r="AJ24" s="154">
        <v>500</v>
      </c>
      <c r="AK24" s="156">
        <f t="shared" si="2"/>
        <v>750</v>
      </c>
      <c r="AL24" s="156">
        <f t="shared" si="2"/>
        <v>0</v>
      </c>
    </row>
    <row r="25" spans="1:38" s="75" customFormat="1" ht="17.25" customHeight="1">
      <c r="A25" s="104">
        <v>15</v>
      </c>
      <c r="B25" s="151" t="s">
        <v>472</v>
      </c>
      <c r="C25" s="152">
        <f t="shared" si="0"/>
        <v>5994.599999999999</v>
      </c>
      <c r="D25" s="152">
        <f t="shared" si="0"/>
        <v>5811.6</v>
      </c>
      <c r="E25" s="153">
        <v>4707.7</v>
      </c>
      <c r="F25" s="153">
        <v>4705.8</v>
      </c>
      <c r="G25" s="153">
        <v>896.9</v>
      </c>
      <c r="H25" s="153">
        <v>894.8</v>
      </c>
      <c r="I25" s="153">
        <v>220</v>
      </c>
      <c r="J25" s="153">
        <v>211</v>
      </c>
      <c r="K25" s="153">
        <v>0</v>
      </c>
      <c r="L25" s="153">
        <v>0</v>
      </c>
      <c r="M25" s="153">
        <v>0</v>
      </c>
      <c r="N25" s="153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53.1</v>
      </c>
      <c r="T25" s="154">
        <v>0</v>
      </c>
      <c r="U25" s="90">
        <f t="shared" si="1"/>
        <v>5877.7</v>
      </c>
      <c r="V25" s="90">
        <f t="shared" si="1"/>
        <v>5811.6</v>
      </c>
      <c r="W25" s="154">
        <v>116.9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8"/>
      <c r="AH25" s="158"/>
      <c r="AI25" s="154">
        <v>0</v>
      </c>
      <c r="AJ25" s="154">
        <v>116.9</v>
      </c>
      <c r="AK25" s="156">
        <f t="shared" si="2"/>
        <v>116.9</v>
      </c>
      <c r="AL25" s="156">
        <f t="shared" si="2"/>
        <v>0</v>
      </c>
    </row>
    <row r="26" spans="1:38" s="75" customFormat="1" ht="17.25" customHeight="1">
      <c r="A26" s="104">
        <v>16</v>
      </c>
      <c r="B26" s="151" t="s">
        <v>473</v>
      </c>
      <c r="C26" s="152">
        <f t="shared" si="0"/>
        <v>6513.8</v>
      </c>
      <c r="D26" s="152">
        <f t="shared" si="0"/>
        <v>6188.2</v>
      </c>
      <c r="E26" s="153">
        <v>4644.8</v>
      </c>
      <c r="F26" s="153">
        <v>4488.5</v>
      </c>
      <c r="G26" s="153">
        <v>1344</v>
      </c>
      <c r="H26" s="153">
        <v>1326.7</v>
      </c>
      <c r="I26" s="153">
        <v>325</v>
      </c>
      <c r="J26" s="153">
        <v>273</v>
      </c>
      <c r="K26" s="153">
        <v>0</v>
      </c>
      <c r="L26" s="153">
        <v>0</v>
      </c>
      <c r="M26" s="153">
        <v>0</v>
      </c>
      <c r="N26" s="153">
        <v>0</v>
      </c>
      <c r="O26" s="154">
        <v>0</v>
      </c>
      <c r="P26" s="154">
        <v>0</v>
      </c>
      <c r="Q26" s="154">
        <v>50</v>
      </c>
      <c r="R26" s="154">
        <v>50</v>
      </c>
      <c r="S26" s="154">
        <v>50</v>
      </c>
      <c r="T26" s="154">
        <v>50</v>
      </c>
      <c r="U26" s="90">
        <f t="shared" si="1"/>
        <v>6413.8</v>
      </c>
      <c r="V26" s="90">
        <f t="shared" si="1"/>
        <v>6188.2</v>
      </c>
      <c r="W26" s="154">
        <v>100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8"/>
      <c r="AH26" s="158"/>
      <c r="AI26" s="154">
        <v>0</v>
      </c>
      <c r="AJ26" s="154">
        <v>100</v>
      </c>
      <c r="AK26" s="156">
        <f t="shared" si="2"/>
        <v>100</v>
      </c>
      <c r="AL26" s="156">
        <f t="shared" si="2"/>
        <v>0</v>
      </c>
    </row>
    <row r="27" spans="1:38" s="75" customFormat="1" ht="17.25" customHeight="1">
      <c r="A27" s="104">
        <v>17</v>
      </c>
      <c r="B27" s="151" t="s">
        <v>474</v>
      </c>
      <c r="C27" s="152">
        <f t="shared" si="0"/>
        <v>10443.1</v>
      </c>
      <c r="D27" s="152">
        <f t="shared" si="0"/>
        <v>10055.818</v>
      </c>
      <c r="E27" s="153">
        <v>8555.1</v>
      </c>
      <c r="F27" s="153">
        <v>8459</v>
      </c>
      <c r="G27" s="153">
        <v>1698</v>
      </c>
      <c r="H27" s="153">
        <v>1598</v>
      </c>
      <c r="I27" s="153">
        <v>90</v>
      </c>
      <c r="J27" s="153">
        <v>50</v>
      </c>
      <c r="K27" s="153">
        <v>0</v>
      </c>
      <c r="L27" s="153">
        <v>0</v>
      </c>
      <c r="M27" s="153">
        <v>0</v>
      </c>
      <c r="N27" s="153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90">
        <f t="shared" si="1"/>
        <v>10343.1</v>
      </c>
      <c r="V27" s="90">
        <f t="shared" si="1"/>
        <v>10107</v>
      </c>
      <c r="W27" s="154">
        <v>100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-51.182</v>
      </c>
      <c r="AG27" s="158"/>
      <c r="AH27" s="158"/>
      <c r="AI27" s="154">
        <v>0</v>
      </c>
      <c r="AJ27" s="154">
        <v>100</v>
      </c>
      <c r="AK27" s="156">
        <f t="shared" si="2"/>
        <v>100</v>
      </c>
      <c r="AL27" s="156">
        <f t="shared" si="2"/>
        <v>-51.182</v>
      </c>
    </row>
    <row r="28" spans="1:38" s="75" customFormat="1" ht="17.25" customHeight="1">
      <c r="A28" s="104">
        <v>18</v>
      </c>
      <c r="B28" s="151" t="s">
        <v>475</v>
      </c>
      <c r="C28" s="152">
        <f t="shared" si="0"/>
        <v>6870.3</v>
      </c>
      <c r="D28" s="152">
        <f t="shared" si="0"/>
        <v>6128.2</v>
      </c>
      <c r="E28" s="153">
        <v>4782.8</v>
      </c>
      <c r="F28" s="153">
        <v>4469.2</v>
      </c>
      <c r="G28" s="153">
        <v>1218.4</v>
      </c>
      <c r="H28" s="153">
        <v>1198.4</v>
      </c>
      <c r="I28" s="153">
        <v>369.1</v>
      </c>
      <c r="J28" s="153">
        <v>310.6</v>
      </c>
      <c r="K28" s="153">
        <v>0</v>
      </c>
      <c r="L28" s="153">
        <v>0</v>
      </c>
      <c r="M28" s="153">
        <v>0</v>
      </c>
      <c r="N28" s="153">
        <v>0</v>
      </c>
      <c r="O28" s="154">
        <v>0</v>
      </c>
      <c r="P28" s="154">
        <v>0</v>
      </c>
      <c r="Q28" s="154">
        <v>30</v>
      </c>
      <c r="R28" s="154">
        <v>15</v>
      </c>
      <c r="S28" s="154">
        <v>170</v>
      </c>
      <c r="T28" s="154">
        <v>0</v>
      </c>
      <c r="U28" s="90">
        <f t="shared" si="1"/>
        <v>6570.3</v>
      </c>
      <c r="V28" s="90">
        <f t="shared" si="1"/>
        <v>5993.2</v>
      </c>
      <c r="W28" s="154">
        <v>300</v>
      </c>
      <c r="X28" s="154">
        <v>135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8"/>
      <c r="AH28" s="158"/>
      <c r="AI28" s="154">
        <v>135</v>
      </c>
      <c r="AJ28" s="154">
        <v>300</v>
      </c>
      <c r="AK28" s="156">
        <f t="shared" si="2"/>
        <v>300</v>
      </c>
      <c r="AL28" s="156">
        <f t="shared" si="2"/>
        <v>135</v>
      </c>
    </row>
    <row r="29" spans="1:38" s="75" customFormat="1" ht="17.25" customHeight="1">
      <c r="A29" s="104">
        <v>19</v>
      </c>
      <c r="B29" s="151" t="s">
        <v>476</v>
      </c>
      <c r="C29" s="152">
        <f t="shared" si="0"/>
        <v>11313.5</v>
      </c>
      <c r="D29" s="152">
        <f t="shared" si="0"/>
        <v>11027.8</v>
      </c>
      <c r="E29" s="153">
        <v>9847.1</v>
      </c>
      <c r="F29" s="153">
        <v>9729.3</v>
      </c>
      <c r="G29" s="153">
        <v>1076.4</v>
      </c>
      <c r="H29" s="153">
        <v>1059.5</v>
      </c>
      <c r="I29" s="153">
        <v>290</v>
      </c>
      <c r="J29" s="153">
        <v>139</v>
      </c>
      <c r="K29" s="153">
        <v>0</v>
      </c>
      <c r="L29" s="153">
        <v>0</v>
      </c>
      <c r="M29" s="153">
        <v>0</v>
      </c>
      <c r="N29" s="153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90">
        <f t="shared" si="1"/>
        <v>11213.5</v>
      </c>
      <c r="V29" s="90">
        <f t="shared" si="1"/>
        <v>10927.8</v>
      </c>
      <c r="W29" s="154">
        <v>100</v>
      </c>
      <c r="X29" s="154">
        <v>100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8"/>
      <c r="AH29" s="158"/>
      <c r="AI29" s="154">
        <v>100</v>
      </c>
      <c r="AJ29" s="154">
        <v>100</v>
      </c>
      <c r="AK29" s="156">
        <f t="shared" si="2"/>
        <v>100</v>
      </c>
      <c r="AL29" s="156">
        <f t="shared" si="2"/>
        <v>100</v>
      </c>
    </row>
    <row r="30" spans="1:38" s="75" customFormat="1" ht="17.25" customHeight="1">
      <c r="A30" s="104">
        <v>20</v>
      </c>
      <c r="B30" s="151" t="s">
        <v>477</v>
      </c>
      <c r="C30" s="152">
        <f t="shared" si="0"/>
        <v>12359.599999999999</v>
      </c>
      <c r="D30" s="152">
        <f t="shared" si="0"/>
        <v>11703.1</v>
      </c>
      <c r="E30" s="153">
        <v>9272.8</v>
      </c>
      <c r="F30" s="153">
        <v>9098.2</v>
      </c>
      <c r="G30" s="153">
        <v>2236.8</v>
      </c>
      <c r="H30" s="153">
        <v>2105</v>
      </c>
      <c r="I30" s="153">
        <v>350</v>
      </c>
      <c r="J30" s="153">
        <v>64.7</v>
      </c>
      <c r="K30" s="153">
        <v>0</v>
      </c>
      <c r="L30" s="153">
        <v>0</v>
      </c>
      <c r="M30" s="153">
        <v>0</v>
      </c>
      <c r="N30" s="153">
        <v>0</v>
      </c>
      <c r="O30" s="154">
        <v>50</v>
      </c>
      <c r="P30" s="154">
        <v>35.2</v>
      </c>
      <c r="Q30" s="154">
        <v>400</v>
      </c>
      <c r="R30" s="154">
        <v>370</v>
      </c>
      <c r="S30" s="154">
        <v>50</v>
      </c>
      <c r="T30" s="154">
        <v>30</v>
      </c>
      <c r="U30" s="90">
        <f t="shared" si="1"/>
        <v>12359.599999999999</v>
      </c>
      <c r="V30" s="90">
        <f t="shared" si="1"/>
        <v>11703.1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8"/>
      <c r="AH30" s="158"/>
      <c r="AI30" s="154">
        <v>0</v>
      </c>
      <c r="AJ30" s="154">
        <v>0</v>
      </c>
      <c r="AK30" s="156">
        <f t="shared" si="2"/>
        <v>0</v>
      </c>
      <c r="AL30" s="156">
        <f t="shared" si="2"/>
        <v>0</v>
      </c>
    </row>
    <row r="31" spans="1:38" s="75" customFormat="1" ht="17.25" customHeight="1">
      <c r="A31" s="104">
        <v>21</v>
      </c>
      <c r="B31" s="151" t="s">
        <v>478</v>
      </c>
      <c r="C31" s="152">
        <f t="shared" si="0"/>
        <v>17560</v>
      </c>
      <c r="D31" s="152">
        <f t="shared" si="0"/>
        <v>13612.400000000001</v>
      </c>
      <c r="E31" s="153">
        <v>13144.2</v>
      </c>
      <c r="F31" s="153">
        <v>11483.2</v>
      </c>
      <c r="G31" s="153">
        <v>2881.9</v>
      </c>
      <c r="H31" s="153">
        <v>2011.2</v>
      </c>
      <c r="I31" s="153">
        <v>250</v>
      </c>
      <c r="J31" s="153">
        <v>118</v>
      </c>
      <c r="K31" s="153">
        <v>0</v>
      </c>
      <c r="L31" s="153">
        <v>0</v>
      </c>
      <c r="M31" s="153">
        <v>0</v>
      </c>
      <c r="N31" s="153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783.9</v>
      </c>
      <c r="T31" s="154">
        <v>0</v>
      </c>
      <c r="U31" s="90">
        <f t="shared" si="1"/>
        <v>17060</v>
      </c>
      <c r="V31" s="90">
        <f t="shared" si="1"/>
        <v>13612.400000000001</v>
      </c>
      <c r="W31" s="154">
        <v>500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8"/>
      <c r="AH31" s="158"/>
      <c r="AI31" s="154">
        <v>0</v>
      </c>
      <c r="AJ31" s="154">
        <v>500</v>
      </c>
      <c r="AK31" s="156">
        <f t="shared" si="2"/>
        <v>500</v>
      </c>
      <c r="AL31" s="156">
        <f t="shared" si="2"/>
        <v>0</v>
      </c>
    </row>
    <row r="32" spans="1:38" s="75" customFormat="1" ht="17.25" customHeight="1">
      <c r="A32" s="104">
        <v>22</v>
      </c>
      <c r="B32" s="151" t="s">
        <v>479</v>
      </c>
      <c r="C32" s="152">
        <f t="shared" si="0"/>
        <v>8638.1</v>
      </c>
      <c r="D32" s="152">
        <f t="shared" si="0"/>
        <v>7695.755</v>
      </c>
      <c r="E32" s="153">
        <v>5004</v>
      </c>
      <c r="F32" s="153">
        <v>5002.3</v>
      </c>
      <c r="G32" s="153">
        <v>969</v>
      </c>
      <c r="H32" s="153">
        <v>962</v>
      </c>
      <c r="I32" s="153">
        <v>687.9</v>
      </c>
      <c r="J32" s="153">
        <v>501.5</v>
      </c>
      <c r="K32" s="153">
        <v>0</v>
      </c>
      <c r="L32" s="153">
        <v>0</v>
      </c>
      <c r="M32" s="153">
        <v>0</v>
      </c>
      <c r="N32" s="153">
        <v>0</v>
      </c>
      <c r="O32" s="154">
        <v>280</v>
      </c>
      <c r="P32" s="154">
        <v>280</v>
      </c>
      <c r="Q32" s="154">
        <v>203</v>
      </c>
      <c r="R32" s="154">
        <v>178</v>
      </c>
      <c r="S32" s="154">
        <v>360.3</v>
      </c>
      <c r="T32" s="154">
        <v>7</v>
      </c>
      <c r="U32" s="90">
        <f t="shared" si="1"/>
        <v>7504.2</v>
      </c>
      <c r="V32" s="90">
        <f t="shared" si="1"/>
        <v>6930.8</v>
      </c>
      <c r="W32" s="154">
        <v>1133.9</v>
      </c>
      <c r="X32" s="154">
        <v>950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-185.045</v>
      </c>
      <c r="AG32" s="158"/>
      <c r="AH32" s="158"/>
      <c r="AI32" s="154">
        <v>0</v>
      </c>
      <c r="AJ32" s="154">
        <v>0</v>
      </c>
      <c r="AK32" s="156">
        <f t="shared" si="2"/>
        <v>1133.9</v>
      </c>
      <c r="AL32" s="156">
        <f t="shared" si="2"/>
        <v>764.955</v>
      </c>
    </row>
    <row r="33" spans="1:38" s="75" customFormat="1" ht="17.25" customHeight="1">
      <c r="A33" s="104">
        <v>23</v>
      </c>
      <c r="B33" s="151" t="s">
        <v>480</v>
      </c>
      <c r="C33" s="152">
        <f t="shared" si="0"/>
        <v>13087.699999999999</v>
      </c>
      <c r="D33" s="152">
        <f t="shared" si="0"/>
        <v>11137.7</v>
      </c>
      <c r="E33" s="153">
        <v>9092.8</v>
      </c>
      <c r="F33" s="153">
        <v>8377.9</v>
      </c>
      <c r="G33" s="153">
        <v>1844.9</v>
      </c>
      <c r="H33" s="153">
        <v>1785.6</v>
      </c>
      <c r="I33" s="153">
        <v>1015</v>
      </c>
      <c r="J33" s="153">
        <v>594</v>
      </c>
      <c r="K33" s="153">
        <v>0</v>
      </c>
      <c r="L33" s="153">
        <v>0</v>
      </c>
      <c r="M33" s="153">
        <v>0</v>
      </c>
      <c r="N33" s="153">
        <v>0</v>
      </c>
      <c r="O33" s="154">
        <v>0</v>
      </c>
      <c r="P33" s="154">
        <v>0</v>
      </c>
      <c r="Q33" s="154">
        <v>150</v>
      </c>
      <c r="R33" s="154">
        <v>0</v>
      </c>
      <c r="S33" s="154">
        <v>535</v>
      </c>
      <c r="T33" s="154">
        <v>0</v>
      </c>
      <c r="U33" s="90">
        <f t="shared" si="1"/>
        <v>12637.699999999999</v>
      </c>
      <c r="V33" s="90">
        <f t="shared" si="1"/>
        <v>10757.5</v>
      </c>
      <c r="W33" s="154">
        <v>450</v>
      </c>
      <c r="X33" s="154">
        <v>446.1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-65.9</v>
      </c>
      <c r="AG33" s="158"/>
      <c r="AH33" s="158"/>
      <c r="AI33" s="154">
        <v>446.1</v>
      </c>
      <c r="AJ33" s="154">
        <v>450</v>
      </c>
      <c r="AK33" s="156">
        <f t="shared" si="2"/>
        <v>450</v>
      </c>
      <c r="AL33" s="156">
        <f t="shared" si="2"/>
        <v>380.20000000000005</v>
      </c>
    </row>
    <row r="34" spans="1:38" s="75" customFormat="1" ht="17.25" customHeight="1">
      <c r="A34" s="104">
        <v>24</v>
      </c>
      <c r="B34" s="151" t="s">
        <v>481</v>
      </c>
      <c r="C34" s="152">
        <f t="shared" si="0"/>
        <v>22291.5</v>
      </c>
      <c r="D34" s="152">
        <f t="shared" si="0"/>
        <v>20122.5</v>
      </c>
      <c r="E34" s="153">
        <v>16631.4</v>
      </c>
      <c r="F34" s="153">
        <v>16457.9</v>
      </c>
      <c r="G34" s="153">
        <v>4546.8</v>
      </c>
      <c r="H34" s="153">
        <v>4530</v>
      </c>
      <c r="I34" s="153">
        <v>618.3</v>
      </c>
      <c r="J34" s="153">
        <v>574.6</v>
      </c>
      <c r="K34" s="153">
        <v>0</v>
      </c>
      <c r="L34" s="153">
        <v>0</v>
      </c>
      <c r="M34" s="153">
        <v>0</v>
      </c>
      <c r="N34" s="153">
        <v>0</v>
      </c>
      <c r="O34" s="154">
        <v>0</v>
      </c>
      <c r="P34" s="154">
        <v>0</v>
      </c>
      <c r="Q34" s="154">
        <v>195</v>
      </c>
      <c r="R34" s="154">
        <v>160</v>
      </c>
      <c r="S34" s="154">
        <v>0</v>
      </c>
      <c r="T34" s="154">
        <v>0</v>
      </c>
      <c r="U34" s="90">
        <f t="shared" si="1"/>
        <v>21991.5</v>
      </c>
      <c r="V34" s="90">
        <f t="shared" si="1"/>
        <v>21722.5</v>
      </c>
      <c r="W34" s="154">
        <v>300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-1600</v>
      </c>
      <c r="AE34" s="154">
        <v>0</v>
      </c>
      <c r="AF34" s="154">
        <v>0</v>
      </c>
      <c r="AG34" s="158"/>
      <c r="AH34" s="158"/>
      <c r="AI34" s="154">
        <v>0</v>
      </c>
      <c r="AJ34" s="154">
        <v>300</v>
      </c>
      <c r="AK34" s="156">
        <f t="shared" si="2"/>
        <v>300</v>
      </c>
      <c r="AL34" s="156">
        <f t="shared" si="2"/>
        <v>-1600</v>
      </c>
    </row>
    <row r="35" spans="1:38" s="75" customFormat="1" ht="17.25" customHeight="1">
      <c r="A35" s="104">
        <v>25</v>
      </c>
      <c r="B35" s="151" t="s">
        <v>482</v>
      </c>
      <c r="C35" s="152">
        <f t="shared" si="0"/>
        <v>24383.7</v>
      </c>
      <c r="D35" s="152">
        <f t="shared" si="0"/>
        <v>22424.1</v>
      </c>
      <c r="E35" s="153">
        <v>14865.6</v>
      </c>
      <c r="F35" s="153">
        <v>14101.6</v>
      </c>
      <c r="G35" s="153">
        <v>3153.8</v>
      </c>
      <c r="H35" s="153">
        <v>3060.4</v>
      </c>
      <c r="I35" s="153">
        <v>3734.3</v>
      </c>
      <c r="J35" s="153">
        <v>3712.1</v>
      </c>
      <c r="K35" s="153">
        <v>0</v>
      </c>
      <c r="L35" s="153">
        <v>0</v>
      </c>
      <c r="M35" s="153">
        <v>0</v>
      </c>
      <c r="N35" s="153">
        <v>0</v>
      </c>
      <c r="O35" s="154">
        <v>130</v>
      </c>
      <c r="P35" s="154">
        <v>130</v>
      </c>
      <c r="Q35" s="154">
        <v>500</v>
      </c>
      <c r="R35" s="154">
        <v>500</v>
      </c>
      <c r="S35" s="154">
        <v>100</v>
      </c>
      <c r="T35" s="154">
        <v>0</v>
      </c>
      <c r="U35" s="90">
        <f t="shared" si="1"/>
        <v>22483.7</v>
      </c>
      <c r="V35" s="90">
        <f t="shared" si="1"/>
        <v>21504.1</v>
      </c>
      <c r="W35" s="154">
        <v>1900</v>
      </c>
      <c r="X35" s="154">
        <v>920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8"/>
      <c r="AH35" s="158"/>
      <c r="AI35" s="154">
        <v>0</v>
      </c>
      <c r="AJ35" s="154">
        <v>800</v>
      </c>
      <c r="AK35" s="156">
        <f t="shared" si="2"/>
        <v>1900</v>
      </c>
      <c r="AL35" s="156">
        <f t="shared" si="2"/>
        <v>920</v>
      </c>
    </row>
    <row r="36" spans="1:38" s="75" customFormat="1" ht="17.25" customHeight="1">
      <c r="A36" s="104">
        <v>26</v>
      </c>
      <c r="B36" s="151" t="s">
        <v>483</v>
      </c>
      <c r="C36" s="152">
        <f t="shared" si="0"/>
        <v>7919.8</v>
      </c>
      <c r="D36" s="152">
        <f t="shared" si="0"/>
        <v>7710.2</v>
      </c>
      <c r="E36" s="153">
        <v>6703.6</v>
      </c>
      <c r="F36" s="153">
        <v>6679</v>
      </c>
      <c r="G36" s="153">
        <v>877.2</v>
      </c>
      <c r="H36" s="153">
        <v>877.2</v>
      </c>
      <c r="I36" s="153">
        <v>189</v>
      </c>
      <c r="J36" s="153">
        <v>154</v>
      </c>
      <c r="K36" s="153">
        <v>0</v>
      </c>
      <c r="L36" s="153">
        <v>0</v>
      </c>
      <c r="M36" s="153">
        <v>0</v>
      </c>
      <c r="N36" s="153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90">
        <f t="shared" si="1"/>
        <v>7769.8</v>
      </c>
      <c r="V36" s="90">
        <f t="shared" si="1"/>
        <v>7710.2</v>
      </c>
      <c r="W36" s="154">
        <v>150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8"/>
      <c r="AH36" s="158"/>
      <c r="AI36" s="154">
        <v>0</v>
      </c>
      <c r="AJ36" s="154">
        <v>150</v>
      </c>
      <c r="AK36" s="156">
        <f t="shared" si="2"/>
        <v>150</v>
      </c>
      <c r="AL36" s="156">
        <f t="shared" si="2"/>
        <v>0</v>
      </c>
    </row>
    <row r="37" spans="1:38" s="75" customFormat="1" ht="17.25" customHeight="1">
      <c r="A37" s="104">
        <v>27</v>
      </c>
      <c r="B37" s="151" t="s">
        <v>484</v>
      </c>
      <c r="C37" s="152">
        <f t="shared" si="0"/>
        <v>7166.5</v>
      </c>
      <c r="D37" s="152">
        <f t="shared" si="0"/>
        <v>6394.9</v>
      </c>
      <c r="E37" s="153">
        <v>5593</v>
      </c>
      <c r="F37" s="153">
        <v>5265.9</v>
      </c>
      <c r="G37" s="153">
        <v>983.5</v>
      </c>
      <c r="H37" s="153">
        <v>916</v>
      </c>
      <c r="I37" s="153">
        <v>370</v>
      </c>
      <c r="J37" s="153">
        <v>193</v>
      </c>
      <c r="K37" s="153">
        <v>0</v>
      </c>
      <c r="L37" s="153">
        <v>0</v>
      </c>
      <c r="M37" s="153">
        <v>0</v>
      </c>
      <c r="N37" s="153">
        <v>0</v>
      </c>
      <c r="O37" s="154">
        <v>0</v>
      </c>
      <c r="P37" s="154">
        <v>0</v>
      </c>
      <c r="Q37" s="154">
        <v>100</v>
      </c>
      <c r="R37" s="154">
        <v>20</v>
      </c>
      <c r="S37" s="154">
        <v>20</v>
      </c>
      <c r="T37" s="154">
        <v>0</v>
      </c>
      <c r="U37" s="90">
        <f t="shared" si="1"/>
        <v>7066.5</v>
      </c>
      <c r="V37" s="90">
        <f t="shared" si="1"/>
        <v>6394.9</v>
      </c>
      <c r="W37" s="154">
        <v>100</v>
      </c>
      <c r="X37" s="154">
        <v>0</v>
      </c>
      <c r="Y37" s="154">
        <v>0</v>
      </c>
      <c r="Z37" s="154">
        <v>0</v>
      </c>
      <c r="AA37" s="154">
        <v>0</v>
      </c>
      <c r="AB37" s="154">
        <v>0</v>
      </c>
      <c r="AC37" s="154">
        <v>0</v>
      </c>
      <c r="AD37" s="154">
        <v>0</v>
      </c>
      <c r="AE37" s="154">
        <v>0</v>
      </c>
      <c r="AF37" s="154">
        <v>0</v>
      </c>
      <c r="AG37" s="158"/>
      <c r="AH37" s="158"/>
      <c r="AI37" s="154">
        <v>0</v>
      </c>
      <c r="AJ37" s="154">
        <v>100</v>
      </c>
      <c r="AK37" s="156">
        <f t="shared" si="2"/>
        <v>100</v>
      </c>
      <c r="AL37" s="156">
        <f t="shared" si="2"/>
        <v>0</v>
      </c>
    </row>
    <row r="38" spans="1:38" s="75" customFormat="1" ht="17.25" customHeight="1">
      <c r="A38" s="104">
        <v>28</v>
      </c>
      <c r="B38" s="151" t="s">
        <v>485</v>
      </c>
      <c r="C38" s="152">
        <f t="shared" si="0"/>
        <v>10375</v>
      </c>
      <c r="D38" s="152">
        <f t="shared" si="0"/>
        <v>9754.3</v>
      </c>
      <c r="E38" s="153">
        <v>8521.9</v>
      </c>
      <c r="F38" s="153">
        <v>8300.8</v>
      </c>
      <c r="G38" s="153">
        <v>1038.1</v>
      </c>
      <c r="H38" s="153">
        <v>959.5</v>
      </c>
      <c r="I38" s="153">
        <v>65</v>
      </c>
      <c r="J38" s="153">
        <v>56</v>
      </c>
      <c r="K38" s="153">
        <v>0</v>
      </c>
      <c r="L38" s="153">
        <v>0</v>
      </c>
      <c r="M38" s="153">
        <v>0</v>
      </c>
      <c r="N38" s="153">
        <v>0</v>
      </c>
      <c r="O38" s="154">
        <v>0</v>
      </c>
      <c r="P38" s="154">
        <v>0</v>
      </c>
      <c r="Q38" s="154">
        <v>400</v>
      </c>
      <c r="R38" s="154">
        <v>400</v>
      </c>
      <c r="S38" s="154">
        <v>50</v>
      </c>
      <c r="T38" s="154">
        <v>38</v>
      </c>
      <c r="U38" s="90">
        <f t="shared" si="1"/>
        <v>10075</v>
      </c>
      <c r="V38" s="90">
        <f t="shared" si="1"/>
        <v>9754.3</v>
      </c>
      <c r="W38" s="154">
        <v>300</v>
      </c>
      <c r="X38" s="154">
        <v>0</v>
      </c>
      <c r="Y38" s="154">
        <v>0</v>
      </c>
      <c r="Z38" s="154">
        <v>0</v>
      </c>
      <c r="AA38" s="154">
        <v>0</v>
      </c>
      <c r="AB38" s="154">
        <v>0</v>
      </c>
      <c r="AC38" s="154">
        <v>0</v>
      </c>
      <c r="AD38" s="154">
        <v>0</v>
      </c>
      <c r="AE38" s="154">
        <v>0</v>
      </c>
      <c r="AF38" s="154">
        <v>0</v>
      </c>
      <c r="AG38" s="158"/>
      <c r="AH38" s="158"/>
      <c r="AI38" s="154">
        <v>0</v>
      </c>
      <c r="AJ38" s="154">
        <v>300</v>
      </c>
      <c r="AK38" s="156">
        <f t="shared" si="2"/>
        <v>300</v>
      </c>
      <c r="AL38" s="156">
        <f t="shared" si="2"/>
        <v>0</v>
      </c>
    </row>
    <row r="39" spans="1:38" s="75" customFormat="1" ht="17.25" customHeight="1">
      <c r="A39" s="104">
        <v>29</v>
      </c>
      <c r="B39" s="151" t="s">
        <v>486</v>
      </c>
      <c r="C39" s="152">
        <f t="shared" si="0"/>
        <v>7176.1</v>
      </c>
      <c r="D39" s="152">
        <f t="shared" si="0"/>
        <v>6776.9</v>
      </c>
      <c r="E39" s="153">
        <v>4801.2</v>
      </c>
      <c r="F39" s="153">
        <v>4585</v>
      </c>
      <c r="G39" s="153">
        <v>964.9</v>
      </c>
      <c r="H39" s="153">
        <v>947.9</v>
      </c>
      <c r="I39" s="153">
        <v>880</v>
      </c>
      <c r="J39" s="153">
        <v>815</v>
      </c>
      <c r="K39" s="153">
        <v>0</v>
      </c>
      <c r="L39" s="153">
        <v>0</v>
      </c>
      <c r="M39" s="153">
        <v>0</v>
      </c>
      <c r="N39" s="153">
        <v>0</v>
      </c>
      <c r="O39" s="154">
        <v>0</v>
      </c>
      <c r="P39" s="154">
        <v>0</v>
      </c>
      <c r="Q39" s="154">
        <v>300</v>
      </c>
      <c r="R39" s="154">
        <v>300</v>
      </c>
      <c r="S39" s="154">
        <v>0</v>
      </c>
      <c r="T39" s="154">
        <v>0</v>
      </c>
      <c r="U39" s="90">
        <f t="shared" si="1"/>
        <v>6946.1</v>
      </c>
      <c r="V39" s="90">
        <f t="shared" si="1"/>
        <v>6647.9</v>
      </c>
      <c r="W39" s="154">
        <v>230</v>
      </c>
      <c r="X39" s="154">
        <v>129</v>
      </c>
      <c r="Y39" s="154">
        <v>0</v>
      </c>
      <c r="Z39" s="154">
        <v>0</v>
      </c>
      <c r="AA39" s="154">
        <v>0</v>
      </c>
      <c r="AB39" s="154">
        <v>0</v>
      </c>
      <c r="AC39" s="154">
        <v>0</v>
      </c>
      <c r="AD39" s="154">
        <v>0</v>
      </c>
      <c r="AE39" s="154">
        <v>0</v>
      </c>
      <c r="AF39" s="154">
        <v>0</v>
      </c>
      <c r="AG39" s="158"/>
      <c r="AH39" s="158"/>
      <c r="AI39" s="154">
        <v>0</v>
      </c>
      <c r="AJ39" s="154">
        <v>230</v>
      </c>
      <c r="AK39" s="156">
        <f t="shared" si="2"/>
        <v>230</v>
      </c>
      <c r="AL39" s="156">
        <f t="shared" si="2"/>
        <v>129</v>
      </c>
    </row>
    <row r="40" spans="1:38" s="75" customFormat="1" ht="17.25" customHeight="1">
      <c r="A40" s="104">
        <v>30</v>
      </c>
      <c r="B40" s="151" t="s">
        <v>487</v>
      </c>
      <c r="C40" s="152">
        <f t="shared" si="0"/>
        <v>7572.7</v>
      </c>
      <c r="D40" s="152">
        <f t="shared" si="0"/>
        <v>7572.7</v>
      </c>
      <c r="E40" s="153">
        <v>6334.2</v>
      </c>
      <c r="F40" s="153">
        <v>6334.2</v>
      </c>
      <c r="G40" s="153">
        <v>1216.7</v>
      </c>
      <c r="H40" s="153">
        <v>1216.7</v>
      </c>
      <c r="I40" s="153">
        <v>19</v>
      </c>
      <c r="J40" s="153">
        <v>19</v>
      </c>
      <c r="K40" s="153">
        <v>0</v>
      </c>
      <c r="L40" s="153">
        <v>0</v>
      </c>
      <c r="M40" s="153">
        <v>0</v>
      </c>
      <c r="N40" s="153">
        <v>0</v>
      </c>
      <c r="O40" s="154">
        <v>2.8</v>
      </c>
      <c r="P40" s="154">
        <v>2.8</v>
      </c>
      <c r="Q40" s="154">
        <v>0</v>
      </c>
      <c r="R40" s="154">
        <v>0</v>
      </c>
      <c r="S40" s="154">
        <v>0</v>
      </c>
      <c r="T40" s="154">
        <v>0</v>
      </c>
      <c r="U40" s="90">
        <f t="shared" si="1"/>
        <v>7572.7</v>
      </c>
      <c r="V40" s="90">
        <f t="shared" si="1"/>
        <v>7572.7</v>
      </c>
      <c r="W40" s="154">
        <v>0</v>
      </c>
      <c r="X40" s="154">
        <v>0</v>
      </c>
      <c r="Y40" s="154">
        <v>0</v>
      </c>
      <c r="Z40" s="154">
        <v>0</v>
      </c>
      <c r="AA40" s="154">
        <v>0</v>
      </c>
      <c r="AB40" s="154">
        <v>0</v>
      </c>
      <c r="AC40" s="154">
        <v>0</v>
      </c>
      <c r="AD40" s="154">
        <v>0</v>
      </c>
      <c r="AE40" s="154">
        <v>0</v>
      </c>
      <c r="AF40" s="154">
        <v>0</v>
      </c>
      <c r="AG40" s="158"/>
      <c r="AH40" s="158"/>
      <c r="AI40" s="154">
        <v>0</v>
      </c>
      <c r="AJ40" s="154">
        <v>0</v>
      </c>
      <c r="AK40" s="156">
        <f t="shared" si="2"/>
        <v>0</v>
      </c>
      <c r="AL40" s="156">
        <f t="shared" si="2"/>
        <v>0</v>
      </c>
    </row>
    <row r="41" spans="1:38" s="75" customFormat="1" ht="17.25" customHeight="1">
      <c r="A41" s="104">
        <v>31</v>
      </c>
      <c r="B41" s="151" t="s">
        <v>488</v>
      </c>
      <c r="C41" s="152">
        <f t="shared" si="0"/>
        <v>20178.1</v>
      </c>
      <c r="D41" s="152">
        <f t="shared" si="0"/>
        <v>19469.304</v>
      </c>
      <c r="E41" s="153">
        <v>15439.8</v>
      </c>
      <c r="F41" s="153">
        <v>15326</v>
      </c>
      <c r="G41" s="153">
        <v>2136.3</v>
      </c>
      <c r="H41" s="153">
        <v>1907</v>
      </c>
      <c r="I41" s="153">
        <v>644.5</v>
      </c>
      <c r="J41" s="153">
        <v>515</v>
      </c>
      <c r="K41" s="153">
        <v>0</v>
      </c>
      <c r="L41" s="153">
        <v>0</v>
      </c>
      <c r="M41" s="153">
        <v>0</v>
      </c>
      <c r="N41" s="153">
        <v>0</v>
      </c>
      <c r="O41" s="154">
        <v>0</v>
      </c>
      <c r="P41" s="154">
        <v>0</v>
      </c>
      <c r="Q41" s="154">
        <v>957.5</v>
      </c>
      <c r="R41" s="154">
        <v>792</v>
      </c>
      <c r="S41" s="154">
        <v>0</v>
      </c>
      <c r="T41" s="154">
        <v>0</v>
      </c>
      <c r="U41" s="90">
        <f t="shared" si="1"/>
        <v>19178.1</v>
      </c>
      <c r="V41" s="90">
        <f t="shared" si="1"/>
        <v>18540</v>
      </c>
      <c r="W41" s="154">
        <v>1000</v>
      </c>
      <c r="X41" s="154">
        <v>999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0</v>
      </c>
      <c r="AF41" s="154">
        <v>-69.696</v>
      </c>
      <c r="AG41" s="158"/>
      <c r="AH41" s="158"/>
      <c r="AI41" s="154">
        <v>0</v>
      </c>
      <c r="AJ41" s="154">
        <v>1000</v>
      </c>
      <c r="AK41" s="156">
        <f t="shared" si="2"/>
        <v>1000</v>
      </c>
      <c r="AL41" s="156">
        <f t="shared" si="2"/>
        <v>929.3040000000001</v>
      </c>
    </row>
    <row r="42" spans="1:38" s="75" customFormat="1" ht="17.25" customHeight="1">
      <c r="A42" s="104">
        <v>32</v>
      </c>
      <c r="B42" s="151" t="s">
        <v>489</v>
      </c>
      <c r="C42" s="152">
        <f t="shared" si="0"/>
        <v>12689</v>
      </c>
      <c r="D42" s="152">
        <f t="shared" si="0"/>
        <v>12543.199999999999</v>
      </c>
      <c r="E42" s="153">
        <v>11247</v>
      </c>
      <c r="F42" s="153">
        <v>11119.9</v>
      </c>
      <c r="G42" s="153">
        <v>975</v>
      </c>
      <c r="H42" s="153">
        <v>974.3</v>
      </c>
      <c r="I42" s="153">
        <v>252</v>
      </c>
      <c r="J42" s="153">
        <v>237</v>
      </c>
      <c r="K42" s="153">
        <v>0</v>
      </c>
      <c r="L42" s="153">
        <v>0</v>
      </c>
      <c r="M42" s="153">
        <v>0</v>
      </c>
      <c r="N42" s="153">
        <v>0</v>
      </c>
      <c r="O42" s="154">
        <v>15</v>
      </c>
      <c r="P42" s="154">
        <v>15</v>
      </c>
      <c r="Q42" s="154">
        <v>160</v>
      </c>
      <c r="R42" s="154">
        <v>157</v>
      </c>
      <c r="S42" s="154">
        <v>40</v>
      </c>
      <c r="T42" s="154">
        <v>40</v>
      </c>
      <c r="U42" s="90">
        <f t="shared" si="1"/>
        <v>12689</v>
      </c>
      <c r="V42" s="90">
        <f t="shared" si="1"/>
        <v>12543.199999999999</v>
      </c>
      <c r="W42" s="154">
        <v>0</v>
      </c>
      <c r="X42" s="154">
        <v>0</v>
      </c>
      <c r="Y42" s="154">
        <v>0</v>
      </c>
      <c r="Z42" s="154">
        <v>0</v>
      </c>
      <c r="AA42" s="154">
        <v>0</v>
      </c>
      <c r="AB42" s="154">
        <v>0</v>
      </c>
      <c r="AC42" s="154">
        <v>0</v>
      </c>
      <c r="AD42" s="154">
        <v>0</v>
      </c>
      <c r="AE42" s="154">
        <v>0</v>
      </c>
      <c r="AF42" s="154">
        <v>0</v>
      </c>
      <c r="AG42" s="158"/>
      <c r="AH42" s="158"/>
      <c r="AI42" s="154">
        <v>0</v>
      </c>
      <c r="AJ42" s="154">
        <v>0</v>
      </c>
      <c r="AK42" s="156">
        <f t="shared" si="2"/>
        <v>0</v>
      </c>
      <c r="AL42" s="156">
        <f t="shared" si="2"/>
        <v>0</v>
      </c>
    </row>
    <row r="43" spans="1:38" s="75" customFormat="1" ht="17.25" customHeight="1">
      <c r="A43" s="104">
        <v>33</v>
      </c>
      <c r="B43" s="151" t="s">
        <v>490</v>
      </c>
      <c r="C43" s="152">
        <f aca="true" t="shared" si="3" ref="C43:D74">U43+AK43</f>
        <v>53179.6</v>
      </c>
      <c r="D43" s="152">
        <f t="shared" si="3"/>
        <v>52011.34</v>
      </c>
      <c r="E43" s="153">
        <v>21102.8</v>
      </c>
      <c r="F43" s="153">
        <v>20987</v>
      </c>
      <c r="G43" s="153">
        <v>4516.8</v>
      </c>
      <c r="H43" s="153">
        <v>4493.1</v>
      </c>
      <c r="I43" s="153">
        <v>17127</v>
      </c>
      <c r="J43" s="153">
        <v>16561</v>
      </c>
      <c r="K43" s="153">
        <v>0</v>
      </c>
      <c r="L43" s="153">
        <v>0</v>
      </c>
      <c r="M43" s="153">
        <v>0</v>
      </c>
      <c r="N43" s="153">
        <v>0</v>
      </c>
      <c r="O43" s="154">
        <v>4680</v>
      </c>
      <c r="P43" s="154">
        <v>4680</v>
      </c>
      <c r="Q43" s="154">
        <v>2543</v>
      </c>
      <c r="R43" s="154">
        <v>2538</v>
      </c>
      <c r="S43" s="154">
        <v>410</v>
      </c>
      <c r="T43" s="154">
        <v>106</v>
      </c>
      <c r="U43" s="90">
        <f aca="true" t="shared" si="4" ref="U43:V74">S43+Q43+O43+M43+K43+I43+G43+E43</f>
        <v>50379.6</v>
      </c>
      <c r="V43" s="90">
        <f t="shared" si="4"/>
        <v>49365.1</v>
      </c>
      <c r="W43" s="154">
        <v>7100</v>
      </c>
      <c r="X43" s="154">
        <v>7080</v>
      </c>
      <c r="Y43" s="154">
        <v>0</v>
      </c>
      <c r="Z43" s="154">
        <v>0</v>
      </c>
      <c r="AA43" s="154">
        <v>0</v>
      </c>
      <c r="AB43" s="154">
        <v>0</v>
      </c>
      <c r="AC43" s="154">
        <v>-4300</v>
      </c>
      <c r="AD43" s="154">
        <v>-4178.4</v>
      </c>
      <c r="AE43" s="154">
        <v>0</v>
      </c>
      <c r="AF43" s="154">
        <v>-255.36</v>
      </c>
      <c r="AG43" s="158"/>
      <c r="AH43" s="158"/>
      <c r="AI43" s="154">
        <v>2668</v>
      </c>
      <c r="AJ43" s="154">
        <v>2800</v>
      </c>
      <c r="AK43" s="156">
        <f aca="true" t="shared" si="5" ref="AK43:AL74">AI43+AG43+AE43+AC43+AA43+Y43+W43-AI43</f>
        <v>2800</v>
      </c>
      <c r="AL43" s="156">
        <f t="shared" si="5"/>
        <v>2646.24</v>
      </c>
    </row>
    <row r="44" spans="1:38" s="75" customFormat="1" ht="17.25" customHeight="1">
      <c r="A44" s="104">
        <v>34</v>
      </c>
      <c r="B44" s="151" t="s">
        <v>166</v>
      </c>
      <c r="C44" s="152">
        <f t="shared" si="3"/>
        <v>93408.4</v>
      </c>
      <c r="D44" s="152">
        <f t="shared" si="3"/>
        <v>63952.23</v>
      </c>
      <c r="E44" s="153">
        <v>25885</v>
      </c>
      <c r="F44" s="153">
        <v>25441.7</v>
      </c>
      <c r="G44" s="153">
        <v>5040</v>
      </c>
      <c r="H44" s="153">
        <v>4661.6</v>
      </c>
      <c r="I44" s="153">
        <v>21942</v>
      </c>
      <c r="J44" s="153">
        <v>18306</v>
      </c>
      <c r="K44" s="153">
        <v>0</v>
      </c>
      <c r="L44" s="153">
        <v>0</v>
      </c>
      <c r="M44" s="153">
        <v>0</v>
      </c>
      <c r="N44" s="153">
        <v>0</v>
      </c>
      <c r="O44" s="154">
        <v>6000</v>
      </c>
      <c r="P44" s="154">
        <v>6000</v>
      </c>
      <c r="Q44" s="154">
        <v>7200.4</v>
      </c>
      <c r="R44" s="154">
        <v>6355</v>
      </c>
      <c r="S44" s="154">
        <v>200</v>
      </c>
      <c r="T44" s="154">
        <v>21</v>
      </c>
      <c r="U44" s="90">
        <f t="shared" si="4"/>
        <v>66267.4</v>
      </c>
      <c r="V44" s="90">
        <f t="shared" si="4"/>
        <v>60785.3</v>
      </c>
      <c r="W44" s="154">
        <v>27141</v>
      </c>
      <c r="X44" s="154">
        <v>3210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>
        <v>0</v>
      </c>
      <c r="AF44" s="154">
        <v>-43.07</v>
      </c>
      <c r="AG44" s="158"/>
      <c r="AH44" s="158"/>
      <c r="AI44" s="154">
        <v>0</v>
      </c>
      <c r="AJ44" s="154">
        <v>0</v>
      </c>
      <c r="AK44" s="156">
        <f t="shared" si="5"/>
        <v>27141</v>
      </c>
      <c r="AL44" s="156">
        <f t="shared" si="5"/>
        <v>3166.93</v>
      </c>
    </row>
    <row r="45" spans="1:38" s="75" customFormat="1" ht="17.25" customHeight="1">
      <c r="A45" s="104">
        <v>35</v>
      </c>
      <c r="B45" s="151" t="s">
        <v>491</v>
      </c>
      <c r="C45" s="152">
        <f t="shared" si="3"/>
        <v>7764.2</v>
      </c>
      <c r="D45" s="152">
        <f t="shared" si="3"/>
        <v>7708.295</v>
      </c>
      <c r="E45" s="153">
        <v>6122</v>
      </c>
      <c r="F45" s="153">
        <v>6121.2</v>
      </c>
      <c r="G45" s="153">
        <v>1140</v>
      </c>
      <c r="H45" s="153">
        <v>1138.7</v>
      </c>
      <c r="I45" s="153">
        <v>265</v>
      </c>
      <c r="J45" s="153">
        <v>244.4</v>
      </c>
      <c r="K45" s="153">
        <v>0</v>
      </c>
      <c r="L45" s="153">
        <v>0</v>
      </c>
      <c r="M45" s="153">
        <v>0</v>
      </c>
      <c r="N45" s="153">
        <v>0</v>
      </c>
      <c r="O45" s="154">
        <v>0</v>
      </c>
      <c r="P45" s="154">
        <v>0</v>
      </c>
      <c r="Q45" s="154">
        <v>0</v>
      </c>
      <c r="R45" s="154">
        <v>0</v>
      </c>
      <c r="S45" s="154">
        <v>0</v>
      </c>
      <c r="T45" s="154">
        <v>0</v>
      </c>
      <c r="U45" s="90">
        <f t="shared" si="4"/>
        <v>7527</v>
      </c>
      <c r="V45" s="90">
        <f t="shared" si="4"/>
        <v>7504.3</v>
      </c>
      <c r="W45" s="154">
        <v>237.2</v>
      </c>
      <c r="X45" s="154">
        <v>237</v>
      </c>
      <c r="Y45" s="154">
        <v>0</v>
      </c>
      <c r="Z45" s="154">
        <v>0</v>
      </c>
      <c r="AA45" s="154">
        <v>0</v>
      </c>
      <c r="AB45" s="154">
        <v>0</v>
      </c>
      <c r="AC45" s="154">
        <v>0</v>
      </c>
      <c r="AD45" s="154">
        <v>0</v>
      </c>
      <c r="AE45" s="154">
        <v>0</v>
      </c>
      <c r="AF45" s="154">
        <v>-33.005</v>
      </c>
      <c r="AG45" s="158"/>
      <c r="AH45" s="158"/>
      <c r="AI45" s="154">
        <v>237</v>
      </c>
      <c r="AJ45" s="154">
        <v>237.2</v>
      </c>
      <c r="AK45" s="156">
        <f t="shared" si="5"/>
        <v>237.2</v>
      </c>
      <c r="AL45" s="156">
        <f t="shared" si="5"/>
        <v>203.995</v>
      </c>
    </row>
    <row r="46" spans="1:38" s="75" customFormat="1" ht="17.25" customHeight="1">
      <c r="A46" s="104">
        <v>36</v>
      </c>
      <c r="B46" s="151" t="s">
        <v>492</v>
      </c>
      <c r="C46" s="152">
        <f t="shared" si="3"/>
        <v>46814.3</v>
      </c>
      <c r="D46" s="152">
        <f t="shared" si="3"/>
        <v>32931.104999999996</v>
      </c>
      <c r="E46" s="153">
        <v>21390</v>
      </c>
      <c r="F46" s="153">
        <v>21139.6</v>
      </c>
      <c r="G46" s="153">
        <v>4126</v>
      </c>
      <c r="H46" s="153">
        <v>4120</v>
      </c>
      <c r="I46" s="153">
        <v>8415.6</v>
      </c>
      <c r="J46" s="153">
        <v>6433.3</v>
      </c>
      <c r="K46" s="153">
        <v>0</v>
      </c>
      <c r="L46" s="153">
        <v>0</v>
      </c>
      <c r="M46" s="153">
        <v>0</v>
      </c>
      <c r="N46" s="153">
        <v>0</v>
      </c>
      <c r="O46" s="154">
        <v>6000</v>
      </c>
      <c r="P46" s="154">
        <v>0</v>
      </c>
      <c r="Q46" s="154">
        <v>1592.7</v>
      </c>
      <c r="R46" s="154">
        <v>1535</v>
      </c>
      <c r="S46" s="154">
        <v>2350</v>
      </c>
      <c r="T46" s="154">
        <v>118</v>
      </c>
      <c r="U46" s="90">
        <f t="shared" si="4"/>
        <v>43874.3</v>
      </c>
      <c r="V46" s="90">
        <f t="shared" si="4"/>
        <v>33345.899999999994</v>
      </c>
      <c r="W46" s="154">
        <v>2940</v>
      </c>
      <c r="X46" s="154">
        <v>900</v>
      </c>
      <c r="Y46" s="154">
        <v>0</v>
      </c>
      <c r="Z46" s="154">
        <v>0</v>
      </c>
      <c r="AA46" s="154">
        <v>0</v>
      </c>
      <c r="AB46" s="154">
        <v>0</v>
      </c>
      <c r="AC46" s="154">
        <v>0</v>
      </c>
      <c r="AD46" s="154">
        <v>0</v>
      </c>
      <c r="AE46" s="154">
        <v>0</v>
      </c>
      <c r="AF46" s="154">
        <v>-1314.795</v>
      </c>
      <c r="AG46" s="158"/>
      <c r="AH46" s="158"/>
      <c r="AI46" s="154">
        <v>0</v>
      </c>
      <c r="AJ46" s="154">
        <v>0</v>
      </c>
      <c r="AK46" s="156">
        <f t="shared" si="5"/>
        <v>2940</v>
      </c>
      <c r="AL46" s="156">
        <f t="shared" si="5"/>
        <v>-414.7950000000001</v>
      </c>
    </row>
    <row r="47" spans="1:38" s="75" customFormat="1" ht="17.25" customHeight="1">
      <c r="A47" s="104">
        <v>37</v>
      </c>
      <c r="B47" s="151" t="s">
        <v>493</v>
      </c>
      <c r="C47" s="152">
        <f t="shared" si="3"/>
        <v>403792.3004999999</v>
      </c>
      <c r="D47" s="152">
        <f t="shared" si="3"/>
        <v>349287.24</v>
      </c>
      <c r="E47" s="153">
        <v>37772</v>
      </c>
      <c r="F47" s="153">
        <v>36590</v>
      </c>
      <c r="G47" s="153">
        <v>7061.1</v>
      </c>
      <c r="H47" s="153">
        <v>6944.1</v>
      </c>
      <c r="I47" s="153">
        <v>217246.3</v>
      </c>
      <c r="J47" s="153">
        <v>181937.3</v>
      </c>
      <c r="K47" s="153">
        <v>0</v>
      </c>
      <c r="L47" s="153">
        <v>0</v>
      </c>
      <c r="M47" s="153">
        <v>15285.6</v>
      </c>
      <c r="N47" s="153">
        <v>15994.8</v>
      </c>
      <c r="O47" s="154">
        <v>8400</v>
      </c>
      <c r="P47" s="154">
        <v>10694.5</v>
      </c>
      <c r="Q47" s="154">
        <v>12000</v>
      </c>
      <c r="R47" s="154">
        <v>11670</v>
      </c>
      <c r="S47" s="154">
        <v>19412</v>
      </c>
      <c r="T47" s="154">
        <v>2923.5</v>
      </c>
      <c r="U47" s="90">
        <f t="shared" si="4"/>
        <v>317176.99999999994</v>
      </c>
      <c r="V47" s="90">
        <f t="shared" si="4"/>
        <v>266754.19999999995</v>
      </c>
      <c r="W47" s="154">
        <v>127459.5005</v>
      </c>
      <c r="X47" s="154">
        <v>100173</v>
      </c>
      <c r="Y47" s="154">
        <v>0</v>
      </c>
      <c r="Z47" s="154">
        <v>0</v>
      </c>
      <c r="AA47" s="154">
        <v>0</v>
      </c>
      <c r="AB47" s="154">
        <v>0</v>
      </c>
      <c r="AC47" s="154">
        <v>-25844.2</v>
      </c>
      <c r="AD47" s="154">
        <v>-13310.6</v>
      </c>
      <c r="AE47" s="154">
        <v>-15000</v>
      </c>
      <c r="AF47" s="154">
        <v>-4329.36</v>
      </c>
      <c r="AG47" s="158"/>
      <c r="AH47" s="158"/>
      <c r="AI47" s="154">
        <v>59602.5</v>
      </c>
      <c r="AJ47" s="154">
        <v>60000</v>
      </c>
      <c r="AK47" s="156">
        <f t="shared" si="5"/>
        <v>86615.30049999998</v>
      </c>
      <c r="AL47" s="156">
        <f t="shared" si="5"/>
        <v>82533.04000000001</v>
      </c>
    </row>
    <row r="48" spans="1:38" s="75" customFormat="1" ht="17.25" customHeight="1">
      <c r="A48" s="104">
        <v>38</v>
      </c>
      <c r="B48" s="151" t="s">
        <v>494</v>
      </c>
      <c r="C48" s="152">
        <f t="shared" si="3"/>
        <v>21752.8</v>
      </c>
      <c r="D48" s="152">
        <f t="shared" si="3"/>
        <v>19541.5</v>
      </c>
      <c r="E48" s="153">
        <v>11280</v>
      </c>
      <c r="F48" s="153">
        <v>11117</v>
      </c>
      <c r="G48" s="153">
        <v>2474</v>
      </c>
      <c r="H48" s="153">
        <v>2423.7</v>
      </c>
      <c r="I48" s="153">
        <v>5473.8</v>
      </c>
      <c r="J48" s="153">
        <v>4880.8</v>
      </c>
      <c r="K48" s="153">
        <v>0</v>
      </c>
      <c r="L48" s="153">
        <v>0</v>
      </c>
      <c r="M48" s="153">
        <v>0</v>
      </c>
      <c r="N48" s="153">
        <v>0</v>
      </c>
      <c r="O48" s="154">
        <v>0</v>
      </c>
      <c r="P48" s="154">
        <v>0</v>
      </c>
      <c r="Q48" s="154">
        <v>700</v>
      </c>
      <c r="R48" s="154">
        <v>1050</v>
      </c>
      <c r="S48" s="154">
        <v>1325</v>
      </c>
      <c r="T48" s="154">
        <v>70</v>
      </c>
      <c r="U48" s="90">
        <f t="shared" si="4"/>
        <v>21252.8</v>
      </c>
      <c r="V48" s="90">
        <f t="shared" si="4"/>
        <v>19541.5</v>
      </c>
      <c r="W48" s="154">
        <v>500</v>
      </c>
      <c r="X48" s="154">
        <v>0</v>
      </c>
      <c r="Y48" s="154">
        <v>0</v>
      </c>
      <c r="Z48" s="154">
        <v>0</v>
      </c>
      <c r="AA48" s="154">
        <v>0</v>
      </c>
      <c r="AB48" s="154">
        <v>0</v>
      </c>
      <c r="AC48" s="154">
        <v>0</v>
      </c>
      <c r="AD48" s="154">
        <v>0</v>
      </c>
      <c r="AE48" s="154">
        <v>0</v>
      </c>
      <c r="AF48" s="154">
        <v>0</v>
      </c>
      <c r="AG48" s="158"/>
      <c r="AH48" s="158"/>
      <c r="AI48" s="154">
        <v>0</v>
      </c>
      <c r="AJ48" s="154">
        <v>500</v>
      </c>
      <c r="AK48" s="156">
        <f t="shared" si="5"/>
        <v>500</v>
      </c>
      <c r="AL48" s="156">
        <f t="shared" si="5"/>
        <v>0</v>
      </c>
    </row>
    <row r="49" spans="1:38" s="75" customFormat="1" ht="17.25" customHeight="1">
      <c r="A49" s="104">
        <v>39</v>
      </c>
      <c r="B49" s="151" t="s">
        <v>139</v>
      </c>
      <c r="C49" s="152">
        <f t="shared" si="3"/>
        <v>13000</v>
      </c>
      <c r="D49" s="152">
        <f t="shared" si="3"/>
        <v>10374.1</v>
      </c>
      <c r="E49" s="153">
        <v>6936.6</v>
      </c>
      <c r="F49" s="153">
        <v>6079.2</v>
      </c>
      <c r="G49" s="153">
        <v>1466</v>
      </c>
      <c r="H49" s="153">
        <v>1219.9</v>
      </c>
      <c r="I49" s="153">
        <v>1637.4</v>
      </c>
      <c r="J49" s="153">
        <v>1135</v>
      </c>
      <c r="K49" s="153">
        <v>0</v>
      </c>
      <c r="L49" s="153">
        <v>0</v>
      </c>
      <c r="M49" s="153">
        <v>0</v>
      </c>
      <c r="N49" s="153">
        <v>0</v>
      </c>
      <c r="O49" s="154">
        <v>0</v>
      </c>
      <c r="P49" s="154">
        <v>0</v>
      </c>
      <c r="Q49" s="154">
        <v>500</v>
      </c>
      <c r="R49" s="154">
        <v>500</v>
      </c>
      <c r="S49" s="154">
        <v>390</v>
      </c>
      <c r="T49" s="154">
        <v>40</v>
      </c>
      <c r="U49" s="90">
        <f t="shared" si="4"/>
        <v>10930</v>
      </c>
      <c r="V49" s="90">
        <f t="shared" si="4"/>
        <v>8974.1</v>
      </c>
      <c r="W49" s="154">
        <v>2070</v>
      </c>
      <c r="X49" s="154">
        <v>1400</v>
      </c>
      <c r="Y49" s="154">
        <v>0</v>
      </c>
      <c r="Z49" s="154">
        <v>0</v>
      </c>
      <c r="AA49" s="154">
        <v>0</v>
      </c>
      <c r="AB49" s="154">
        <v>0</v>
      </c>
      <c r="AC49" s="154">
        <v>0</v>
      </c>
      <c r="AD49" s="154">
        <v>0</v>
      </c>
      <c r="AE49" s="154">
        <v>0</v>
      </c>
      <c r="AF49" s="154">
        <v>0</v>
      </c>
      <c r="AG49" s="158"/>
      <c r="AH49" s="158"/>
      <c r="AI49" s="154">
        <v>254.8</v>
      </c>
      <c r="AJ49" s="154">
        <v>924.8</v>
      </c>
      <c r="AK49" s="156">
        <f t="shared" si="5"/>
        <v>2070</v>
      </c>
      <c r="AL49" s="156">
        <f t="shared" si="5"/>
        <v>1400.0000000000002</v>
      </c>
    </row>
    <row r="50" spans="1:38" s="75" customFormat="1" ht="17.25" customHeight="1">
      <c r="A50" s="104">
        <v>40</v>
      </c>
      <c r="B50" s="151" t="s">
        <v>495</v>
      </c>
      <c r="C50" s="152">
        <f t="shared" si="3"/>
        <v>18557.5</v>
      </c>
      <c r="D50" s="152">
        <f t="shared" si="3"/>
        <v>15428.099999999999</v>
      </c>
      <c r="E50" s="153">
        <v>10283.2</v>
      </c>
      <c r="F50" s="153">
        <v>9887.5</v>
      </c>
      <c r="G50" s="153">
        <v>2076</v>
      </c>
      <c r="H50" s="153">
        <v>1918.4</v>
      </c>
      <c r="I50" s="153">
        <v>761.1</v>
      </c>
      <c r="J50" s="153">
        <v>325</v>
      </c>
      <c r="K50" s="153">
        <v>0</v>
      </c>
      <c r="L50" s="153">
        <v>0</v>
      </c>
      <c r="M50" s="153">
        <v>0</v>
      </c>
      <c r="N50" s="153">
        <v>0</v>
      </c>
      <c r="O50" s="154">
        <v>0</v>
      </c>
      <c r="P50" s="154">
        <v>0</v>
      </c>
      <c r="Q50" s="154">
        <v>370</v>
      </c>
      <c r="R50" s="154">
        <v>270</v>
      </c>
      <c r="S50" s="154">
        <v>140</v>
      </c>
      <c r="T50" s="154">
        <v>60</v>
      </c>
      <c r="U50" s="90">
        <f t="shared" si="4"/>
        <v>13630.300000000001</v>
      </c>
      <c r="V50" s="90">
        <f t="shared" si="4"/>
        <v>12460.9</v>
      </c>
      <c r="W50" s="154">
        <v>4927.2</v>
      </c>
      <c r="X50" s="154">
        <v>2967.2</v>
      </c>
      <c r="Y50" s="154">
        <v>0</v>
      </c>
      <c r="Z50" s="154">
        <v>0</v>
      </c>
      <c r="AA50" s="154">
        <v>0</v>
      </c>
      <c r="AB50" s="154">
        <v>0</v>
      </c>
      <c r="AC50" s="154">
        <v>0</v>
      </c>
      <c r="AD50" s="154">
        <v>0</v>
      </c>
      <c r="AE50" s="154">
        <v>0</v>
      </c>
      <c r="AF50" s="154">
        <v>0</v>
      </c>
      <c r="AG50" s="158"/>
      <c r="AH50" s="158"/>
      <c r="AI50" s="154">
        <v>0</v>
      </c>
      <c r="AJ50" s="154">
        <v>0</v>
      </c>
      <c r="AK50" s="156">
        <f t="shared" si="5"/>
        <v>4927.2</v>
      </c>
      <c r="AL50" s="156">
        <f t="shared" si="5"/>
        <v>2967.2</v>
      </c>
    </row>
    <row r="51" spans="1:38" s="75" customFormat="1" ht="17.25" customHeight="1">
      <c r="A51" s="104">
        <v>41</v>
      </c>
      <c r="B51" s="151" t="s">
        <v>496</v>
      </c>
      <c r="C51" s="152">
        <f t="shared" si="3"/>
        <v>7687.3</v>
      </c>
      <c r="D51" s="152">
        <f t="shared" si="3"/>
        <v>4550.5</v>
      </c>
      <c r="E51" s="153">
        <v>3600</v>
      </c>
      <c r="F51" s="153">
        <v>3511</v>
      </c>
      <c r="G51" s="153">
        <v>760</v>
      </c>
      <c r="H51" s="153">
        <v>735.5</v>
      </c>
      <c r="I51" s="153">
        <v>645</v>
      </c>
      <c r="J51" s="153">
        <v>54</v>
      </c>
      <c r="K51" s="153">
        <v>0</v>
      </c>
      <c r="L51" s="153">
        <v>0</v>
      </c>
      <c r="M51" s="153">
        <v>0</v>
      </c>
      <c r="N51" s="153">
        <v>0</v>
      </c>
      <c r="O51" s="154">
        <v>0</v>
      </c>
      <c r="P51" s="154">
        <v>0</v>
      </c>
      <c r="Q51" s="154">
        <v>250</v>
      </c>
      <c r="R51" s="154">
        <v>250</v>
      </c>
      <c r="S51" s="154">
        <v>360</v>
      </c>
      <c r="T51" s="154">
        <v>0</v>
      </c>
      <c r="U51" s="90">
        <f t="shared" si="4"/>
        <v>5615</v>
      </c>
      <c r="V51" s="90">
        <f t="shared" si="4"/>
        <v>4550.5</v>
      </c>
      <c r="W51" s="154">
        <v>2372.3</v>
      </c>
      <c r="X51" s="154">
        <v>0</v>
      </c>
      <c r="Y51" s="154">
        <v>0</v>
      </c>
      <c r="Z51" s="154">
        <v>0</v>
      </c>
      <c r="AA51" s="154">
        <v>0</v>
      </c>
      <c r="AB51" s="154">
        <v>0</v>
      </c>
      <c r="AC51" s="154">
        <v>0</v>
      </c>
      <c r="AD51" s="154">
        <v>0</v>
      </c>
      <c r="AE51" s="154">
        <v>-300</v>
      </c>
      <c r="AF51" s="154">
        <v>0</v>
      </c>
      <c r="AG51" s="158"/>
      <c r="AH51" s="158"/>
      <c r="AI51" s="154">
        <v>0</v>
      </c>
      <c r="AJ51" s="154">
        <v>1000</v>
      </c>
      <c r="AK51" s="156">
        <f t="shared" si="5"/>
        <v>2072.3</v>
      </c>
      <c r="AL51" s="156">
        <f t="shared" si="5"/>
        <v>0</v>
      </c>
    </row>
    <row r="52" spans="1:38" s="75" customFormat="1" ht="17.25" customHeight="1">
      <c r="A52" s="104">
        <v>42</v>
      </c>
      <c r="B52" s="151" t="s">
        <v>497</v>
      </c>
      <c r="C52" s="152">
        <f t="shared" si="3"/>
        <v>34947.6</v>
      </c>
      <c r="D52" s="152">
        <f t="shared" si="3"/>
        <v>29939.199999999997</v>
      </c>
      <c r="E52" s="153">
        <v>14200</v>
      </c>
      <c r="F52" s="153">
        <v>14188.3</v>
      </c>
      <c r="G52" s="153">
        <v>3046.8</v>
      </c>
      <c r="H52" s="153">
        <v>2792.7</v>
      </c>
      <c r="I52" s="153">
        <v>10424</v>
      </c>
      <c r="J52" s="153">
        <v>10035.6</v>
      </c>
      <c r="K52" s="153">
        <v>0</v>
      </c>
      <c r="L52" s="153">
        <v>0</v>
      </c>
      <c r="M52" s="153">
        <v>0</v>
      </c>
      <c r="N52" s="153">
        <v>0</v>
      </c>
      <c r="O52" s="154">
        <v>0</v>
      </c>
      <c r="P52" s="154">
        <v>0</v>
      </c>
      <c r="Q52" s="154">
        <v>1200</v>
      </c>
      <c r="R52" s="154">
        <v>1195</v>
      </c>
      <c r="S52" s="154">
        <v>495</v>
      </c>
      <c r="T52" s="154">
        <v>96.5</v>
      </c>
      <c r="U52" s="90">
        <f t="shared" si="4"/>
        <v>29365.8</v>
      </c>
      <c r="V52" s="90">
        <f t="shared" si="4"/>
        <v>28308.1</v>
      </c>
      <c r="W52" s="154">
        <v>20581.8</v>
      </c>
      <c r="X52" s="154">
        <v>3245.3</v>
      </c>
      <c r="Y52" s="154">
        <v>0</v>
      </c>
      <c r="Z52" s="154">
        <v>0</v>
      </c>
      <c r="AA52" s="154">
        <v>0</v>
      </c>
      <c r="AB52" s="154">
        <v>0</v>
      </c>
      <c r="AC52" s="154">
        <v>0</v>
      </c>
      <c r="AD52" s="154">
        <v>0</v>
      </c>
      <c r="AE52" s="154">
        <v>-15000</v>
      </c>
      <c r="AF52" s="154">
        <v>-1614.2</v>
      </c>
      <c r="AG52" s="158"/>
      <c r="AH52" s="158"/>
      <c r="AI52" s="154">
        <v>2375.6</v>
      </c>
      <c r="AJ52" s="154">
        <v>3800</v>
      </c>
      <c r="AK52" s="156">
        <f t="shared" si="5"/>
        <v>5581.799999999999</v>
      </c>
      <c r="AL52" s="156">
        <f t="shared" si="5"/>
        <v>1631.1000000000004</v>
      </c>
    </row>
    <row r="53" spans="1:38" s="75" customFormat="1" ht="17.25" customHeight="1">
      <c r="A53" s="104">
        <v>43</v>
      </c>
      <c r="B53" s="151" t="s">
        <v>498</v>
      </c>
      <c r="C53" s="152">
        <f t="shared" si="3"/>
        <v>103654.60010000001</v>
      </c>
      <c r="D53" s="152">
        <f t="shared" si="3"/>
        <v>78709.79999999999</v>
      </c>
      <c r="E53" s="153">
        <v>24466.3</v>
      </c>
      <c r="F53" s="153">
        <v>22328.7</v>
      </c>
      <c r="G53" s="153">
        <v>5600</v>
      </c>
      <c r="H53" s="153">
        <v>4092.9</v>
      </c>
      <c r="I53" s="153">
        <v>35593.5</v>
      </c>
      <c r="J53" s="153">
        <v>26421.3</v>
      </c>
      <c r="K53" s="153">
        <v>0</v>
      </c>
      <c r="L53" s="153">
        <v>0</v>
      </c>
      <c r="M53" s="153">
        <v>0</v>
      </c>
      <c r="N53" s="153">
        <v>0</v>
      </c>
      <c r="O53" s="154">
        <v>0</v>
      </c>
      <c r="P53" s="154">
        <v>0</v>
      </c>
      <c r="Q53" s="154">
        <v>3000</v>
      </c>
      <c r="R53" s="154">
        <v>2980</v>
      </c>
      <c r="S53" s="154">
        <v>6250</v>
      </c>
      <c r="T53" s="154">
        <v>70</v>
      </c>
      <c r="U53" s="90">
        <f t="shared" si="4"/>
        <v>74909.8</v>
      </c>
      <c r="V53" s="90">
        <f t="shared" si="4"/>
        <v>55892.899999999994</v>
      </c>
      <c r="W53" s="154">
        <v>35744.8001</v>
      </c>
      <c r="X53" s="154">
        <v>30337.8</v>
      </c>
      <c r="Y53" s="154">
        <v>0</v>
      </c>
      <c r="Z53" s="154">
        <v>0</v>
      </c>
      <c r="AA53" s="154">
        <v>0</v>
      </c>
      <c r="AB53" s="154">
        <v>0</v>
      </c>
      <c r="AC53" s="154">
        <v>0</v>
      </c>
      <c r="AD53" s="154">
        <v>0</v>
      </c>
      <c r="AE53" s="154">
        <v>-7000</v>
      </c>
      <c r="AF53" s="154">
        <v>-7520.9</v>
      </c>
      <c r="AG53" s="158"/>
      <c r="AH53" s="158"/>
      <c r="AI53" s="154">
        <v>5000</v>
      </c>
      <c r="AJ53" s="154">
        <v>7000</v>
      </c>
      <c r="AK53" s="156">
        <f t="shared" si="5"/>
        <v>28744.8001</v>
      </c>
      <c r="AL53" s="156">
        <f t="shared" si="5"/>
        <v>22816.9</v>
      </c>
    </row>
    <row r="54" spans="1:38" s="75" customFormat="1" ht="17.25" customHeight="1">
      <c r="A54" s="104">
        <v>44</v>
      </c>
      <c r="B54" s="151" t="s">
        <v>499</v>
      </c>
      <c r="C54" s="152">
        <f t="shared" si="3"/>
        <v>80273.7004</v>
      </c>
      <c r="D54" s="152">
        <f t="shared" si="3"/>
        <v>52333.05</v>
      </c>
      <c r="E54" s="153">
        <v>22945.6</v>
      </c>
      <c r="F54" s="153">
        <v>22222.8</v>
      </c>
      <c r="G54" s="153">
        <v>3351.6</v>
      </c>
      <c r="H54" s="153">
        <v>3286.4</v>
      </c>
      <c r="I54" s="153">
        <v>29418.1</v>
      </c>
      <c r="J54" s="153">
        <v>15943.9</v>
      </c>
      <c r="K54" s="153">
        <v>0</v>
      </c>
      <c r="L54" s="153">
        <v>0</v>
      </c>
      <c r="M54" s="153">
        <v>0</v>
      </c>
      <c r="N54" s="153">
        <v>0</v>
      </c>
      <c r="O54" s="154">
        <v>1800</v>
      </c>
      <c r="P54" s="154">
        <v>1800</v>
      </c>
      <c r="Q54" s="154">
        <v>1200</v>
      </c>
      <c r="R54" s="154">
        <v>1200</v>
      </c>
      <c r="S54" s="154">
        <v>898.4</v>
      </c>
      <c r="T54" s="154">
        <v>196</v>
      </c>
      <c r="U54" s="90">
        <f t="shared" si="4"/>
        <v>59613.7</v>
      </c>
      <c r="V54" s="90">
        <f t="shared" si="4"/>
        <v>44649.100000000006</v>
      </c>
      <c r="W54" s="154">
        <v>20660.0004</v>
      </c>
      <c r="X54" s="154">
        <v>13109</v>
      </c>
      <c r="Y54" s="154">
        <v>0</v>
      </c>
      <c r="Z54" s="154">
        <v>0</v>
      </c>
      <c r="AA54" s="154">
        <v>0</v>
      </c>
      <c r="AB54" s="154">
        <v>0</v>
      </c>
      <c r="AC54" s="154">
        <v>0</v>
      </c>
      <c r="AD54" s="154">
        <v>0</v>
      </c>
      <c r="AE54" s="154">
        <v>0</v>
      </c>
      <c r="AF54" s="154">
        <v>-5425.05</v>
      </c>
      <c r="AG54" s="158"/>
      <c r="AH54" s="158"/>
      <c r="AI54" s="154">
        <v>3371.7</v>
      </c>
      <c r="AJ54" s="154">
        <v>8811.6</v>
      </c>
      <c r="AK54" s="156">
        <f t="shared" si="5"/>
        <v>20660.0004</v>
      </c>
      <c r="AL54" s="156">
        <f t="shared" si="5"/>
        <v>7683.949999999999</v>
      </c>
    </row>
    <row r="55" spans="1:38" s="75" customFormat="1" ht="17.25" customHeight="1">
      <c r="A55" s="104">
        <v>45</v>
      </c>
      <c r="B55" s="151" t="s">
        <v>500</v>
      </c>
      <c r="C55" s="152">
        <f t="shared" si="3"/>
        <v>131629.2005</v>
      </c>
      <c r="D55" s="152">
        <f t="shared" si="3"/>
        <v>113789.9</v>
      </c>
      <c r="E55" s="153">
        <v>29185.4</v>
      </c>
      <c r="F55" s="153">
        <v>28789.2</v>
      </c>
      <c r="G55" s="153">
        <v>5773.8</v>
      </c>
      <c r="H55" s="153">
        <v>5701.8</v>
      </c>
      <c r="I55" s="153">
        <v>53178</v>
      </c>
      <c r="J55" s="153">
        <v>50306</v>
      </c>
      <c r="K55" s="153">
        <v>0</v>
      </c>
      <c r="L55" s="153">
        <v>0</v>
      </c>
      <c r="M55" s="153">
        <v>900</v>
      </c>
      <c r="N55" s="153">
        <v>900</v>
      </c>
      <c r="O55" s="154">
        <v>5866.0001</v>
      </c>
      <c r="P55" s="154">
        <v>5866</v>
      </c>
      <c r="Q55" s="154">
        <v>2500</v>
      </c>
      <c r="R55" s="154">
        <v>2500</v>
      </c>
      <c r="S55" s="154">
        <v>1676</v>
      </c>
      <c r="T55" s="154">
        <v>162</v>
      </c>
      <c r="U55" s="90">
        <f t="shared" si="4"/>
        <v>99079.20010000002</v>
      </c>
      <c r="V55" s="90">
        <f t="shared" si="4"/>
        <v>94225</v>
      </c>
      <c r="W55" s="154">
        <v>36850.0004</v>
      </c>
      <c r="X55" s="154">
        <v>31002</v>
      </c>
      <c r="Y55" s="154">
        <v>0</v>
      </c>
      <c r="Z55" s="154">
        <v>0</v>
      </c>
      <c r="AA55" s="154">
        <v>0</v>
      </c>
      <c r="AB55" s="154">
        <v>0</v>
      </c>
      <c r="AC55" s="154">
        <v>-1500</v>
      </c>
      <c r="AD55" s="154">
        <v>0</v>
      </c>
      <c r="AE55" s="154">
        <v>-2800</v>
      </c>
      <c r="AF55" s="154">
        <v>-11437.1</v>
      </c>
      <c r="AG55" s="158"/>
      <c r="AH55" s="158"/>
      <c r="AI55" s="154">
        <v>20199.2</v>
      </c>
      <c r="AJ55" s="154">
        <v>23567.6</v>
      </c>
      <c r="AK55" s="156">
        <f t="shared" si="5"/>
        <v>32550.0004</v>
      </c>
      <c r="AL55" s="156">
        <f t="shared" si="5"/>
        <v>19564.9</v>
      </c>
    </row>
    <row r="56" spans="1:38" s="75" customFormat="1" ht="17.25" customHeight="1">
      <c r="A56" s="104">
        <v>46</v>
      </c>
      <c r="B56" s="151" t="s">
        <v>501</v>
      </c>
      <c r="C56" s="152">
        <f t="shared" si="3"/>
        <v>42263.399999999994</v>
      </c>
      <c r="D56" s="152">
        <f t="shared" si="3"/>
        <v>26067.399999999998</v>
      </c>
      <c r="E56" s="153">
        <v>14642.8</v>
      </c>
      <c r="F56" s="153">
        <v>14507.6</v>
      </c>
      <c r="G56" s="153">
        <v>2696.8</v>
      </c>
      <c r="H56" s="153">
        <v>2680</v>
      </c>
      <c r="I56" s="153">
        <v>13833.3</v>
      </c>
      <c r="J56" s="153">
        <v>13934.6</v>
      </c>
      <c r="K56" s="153">
        <v>0</v>
      </c>
      <c r="L56" s="153">
        <v>0</v>
      </c>
      <c r="M56" s="153">
        <v>0</v>
      </c>
      <c r="N56" s="153">
        <v>0</v>
      </c>
      <c r="O56" s="154">
        <v>2910</v>
      </c>
      <c r="P56" s="154">
        <v>2910</v>
      </c>
      <c r="Q56" s="154">
        <v>800</v>
      </c>
      <c r="R56" s="154">
        <v>800</v>
      </c>
      <c r="S56" s="154">
        <v>755</v>
      </c>
      <c r="T56" s="154">
        <v>191</v>
      </c>
      <c r="U56" s="90">
        <f t="shared" si="4"/>
        <v>35637.899999999994</v>
      </c>
      <c r="V56" s="90">
        <f t="shared" si="4"/>
        <v>35023.2</v>
      </c>
      <c r="W56" s="154">
        <v>8525.5</v>
      </c>
      <c r="X56" s="154">
        <v>1395</v>
      </c>
      <c r="Y56" s="154">
        <v>0</v>
      </c>
      <c r="Z56" s="154">
        <v>0</v>
      </c>
      <c r="AA56" s="154">
        <v>0</v>
      </c>
      <c r="AB56" s="154">
        <v>0</v>
      </c>
      <c r="AC56" s="154">
        <v>-400</v>
      </c>
      <c r="AD56" s="154">
        <v>0</v>
      </c>
      <c r="AE56" s="154">
        <v>-1500</v>
      </c>
      <c r="AF56" s="154">
        <v>-10350.8</v>
      </c>
      <c r="AG56" s="158"/>
      <c r="AH56" s="158"/>
      <c r="AI56" s="154">
        <v>1395</v>
      </c>
      <c r="AJ56" s="154">
        <v>1400</v>
      </c>
      <c r="AK56" s="156">
        <f t="shared" si="5"/>
        <v>6625.5</v>
      </c>
      <c r="AL56" s="156">
        <f t="shared" si="5"/>
        <v>-8955.8</v>
      </c>
    </row>
    <row r="57" spans="1:38" s="75" customFormat="1" ht="17.25" customHeight="1">
      <c r="A57" s="104">
        <v>47</v>
      </c>
      <c r="B57" s="151" t="s">
        <v>502</v>
      </c>
      <c r="C57" s="152">
        <f t="shared" si="3"/>
        <v>41437.4</v>
      </c>
      <c r="D57" s="152">
        <f t="shared" si="3"/>
        <v>33683.07000000001</v>
      </c>
      <c r="E57" s="153">
        <v>14106</v>
      </c>
      <c r="F57" s="153">
        <v>13186.7</v>
      </c>
      <c r="G57" s="153">
        <v>2749</v>
      </c>
      <c r="H57" s="153">
        <v>2472.1</v>
      </c>
      <c r="I57" s="153">
        <v>11320</v>
      </c>
      <c r="J57" s="153">
        <v>7888</v>
      </c>
      <c r="K57" s="153">
        <v>0</v>
      </c>
      <c r="L57" s="153">
        <v>0</v>
      </c>
      <c r="M57" s="153">
        <v>0</v>
      </c>
      <c r="N57" s="153">
        <v>0</v>
      </c>
      <c r="O57" s="154">
        <v>0</v>
      </c>
      <c r="P57" s="154">
        <v>0</v>
      </c>
      <c r="Q57" s="154">
        <v>2700</v>
      </c>
      <c r="R57" s="154">
        <v>2700</v>
      </c>
      <c r="S57" s="154">
        <v>1250</v>
      </c>
      <c r="T57" s="154">
        <v>100</v>
      </c>
      <c r="U57" s="90">
        <f t="shared" si="4"/>
        <v>32125</v>
      </c>
      <c r="V57" s="90">
        <f t="shared" si="4"/>
        <v>26346.800000000003</v>
      </c>
      <c r="W57" s="154">
        <v>9312.4</v>
      </c>
      <c r="X57" s="154">
        <v>7470</v>
      </c>
      <c r="Y57" s="154">
        <v>0</v>
      </c>
      <c r="Z57" s="154">
        <v>0</v>
      </c>
      <c r="AA57" s="154">
        <v>0</v>
      </c>
      <c r="AB57" s="154">
        <v>0</v>
      </c>
      <c r="AC57" s="154">
        <v>0</v>
      </c>
      <c r="AD57" s="154">
        <v>0</v>
      </c>
      <c r="AE57" s="154">
        <v>0</v>
      </c>
      <c r="AF57" s="154">
        <v>-133.73</v>
      </c>
      <c r="AG57" s="158"/>
      <c r="AH57" s="158"/>
      <c r="AI57" s="154">
        <v>3000</v>
      </c>
      <c r="AJ57" s="154">
        <v>3000</v>
      </c>
      <c r="AK57" s="156">
        <f t="shared" si="5"/>
        <v>9312.4</v>
      </c>
      <c r="AL57" s="156">
        <f t="shared" si="5"/>
        <v>7336.27</v>
      </c>
    </row>
    <row r="58" spans="1:38" s="75" customFormat="1" ht="17.25" customHeight="1">
      <c r="A58" s="104">
        <v>48</v>
      </c>
      <c r="B58" s="151" t="s">
        <v>503</v>
      </c>
      <c r="C58" s="152">
        <f t="shared" si="3"/>
        <v>128418.7004</v>
      </c>
      <c r="D58" s="152">
        <f t="shared" si="3"/>
        <v>118204.61000000002</v>
      </c>
      <c r="E58" s="153">
        <v>17985.6</v>
      </c>
      <c r="F58" s="153">
        <v>17876</v>
      </c>
      <c r="G58" s="153">
        <v>3773.6</v>
      </c>
      <c r="H58" s="153">
        <v>3311.4</v>
      </c>
      <c r="I58" s="153">
        <v>56771.0001</v>
      </c>
      <c r="J58" s="153">
        <v>49637.9</v>
      </c>
      <c r="K58" s="153">
        <v>0</v>
      </c>
      <c r="L58" s="153">
        <v>0</v>
      </c>
      <c r="M58" s="153">
        <v>0</v>
      </c>
      <c r="N58" s="153">
        <v>0</v>
      </c>
      <c r="O58" s="154">
        <v>0</v>
      </c>
      <c r="P58" s="154">
        <v>0</v>
      </c>
      <c r="Q58" s="154">
        <v>3400</v>
      </c>
      <c r="R58" s="154">
        <v>3400</v>
      </c>
      <c r="S58" s="154">
        <v>2459.8</v>
      </c>
      <c r="T58" s="154">
        <v>130</v>
      </c>
      <c r="U58" s="90">
        <f t="shared" si="4"/>
        <v>84390.0001</v>
      </c>
      <c r="V58" s="90">
        <f t="shared" si="4"/>
        <v>74355.3</v>
      </c>
      <c r="W58" s="154">
        <v>56732.0003</v>
      </c>
      <c r="X58" s="154">
        <v>46705.8</v>
      </c>
      <c r="Y58" s="154">
        <v>0</v>
      </c>
      <c r="Z58" s="154">
        <v>0</v>
      </c>
      <c r="AA58" s="154">
        <v>0</v>
      </c>
      <c r="AB58" s="154">
        <v>0</v>
      </c>
      <c r="AC58" s="154">
        <v>0</v>
      </c>
      <c r="AD58" s="154">
        <v>0</v>
      </c>
      <c r="AE58" s="154">
        <v>-12703.3</v>
      </c>
      <c r="AF58" s="154">
        <v>-2856.49</v>
      </c>
      <c r="AG58" s="158"/>
      <c r="AH58" s="158"/>
      <c r="AI58" s="154">
        <v>18196</v>
      </c>
      <c r="AJ58" s="154">
        <v>18210</v>
      </c>
      <c r="AK58" s="156">
        <f t="shared" si="5"/>
        <v>44028.7003</v>
      </c>
      <c r="AL58" s="156">
        <f t="shared" si="5"/>
        <v>43849.310000000005</v>
      </c>
    </row>
    <row r="59" spans="1:38" s="75" customFormat="1" ht="17.25" customHeight="1">
      <c r="A59" s="104">
        <v>49</v>
      </c>
      <c r="B59" s="151" t="s">
        <v>504</v>
      </c>
      <c r="C59" s="152">
        <f t="shared" si="3"/>
        <v>123016.4</v>
      </c>
      <c r="D59" s="152">
        <f t="shared" si="3"/>
        <v>108489.14</v>
      </c>
      <c r="E59" s="153">
        <v>44783.4</v>
      </c>
      <c r="F59" s="153">
        <v>42746.2</v>
      </c>
      <c r="G59" s="153">
        <v>13445.2</v>
      </c>
      <c r="H59" s="153">
        <v>12368.8</v>
      </c>
      <c r="I59" s="153">
        <v>41307.3</v>
      </c>
      <c r="J59" s="153">
        <v>37419.3</v>
      </c>
      <c r="K59" s="153">
        <v>0</v>
      </c>
      <c r="L59" s="153">
        <v>0</v>
      </c>
      <c r="M59" s="153">
        <v>0</v>
      </c>
      <c r="N59" s="153">
        <v>0</v>
      </c>
      <c r="O59" s="154">
        <v>10250</v>
      </c>
      <c r="P59" s="154">
        <v>10140</v>
      </c>
      <c r="Q59" s="154">
        <v>2578</v>
      </c>
      <c r="R59" s="154">
        <v>2159.5</v>
      </c>
      <c r="S59" s="154">
        <v>1642.5</v>
      </c>
      <c r="T59" s="154">
        <v>1104.7</v>
      </c>
      <c r="U59" s="90">
        <f t="shared" si="4"/>
        <v>114006.4</v>
      </c>
      <c r="V59" s="90">
        <f t="shared" si="4"/>
        <v>105938.5</v>
      </c>
      <c r="W59" s="154">
        <v>13010</v>
      </c>
      <c r="X59" s="154">
        <v>8161.8</v>
      </c>
      <c r="Y59" s="154">
        <v>0</v>
      </c>
      <c r="Z59" s="154">
        <v>0</v>
      </c>
      <c r="AA59" s="154">
        <v>0</v>
      </c>
      <c r="AB59" s="154">
        <v>0</v>
      </c>
      <c r="AC59" s="154">
        <v>-1500</v>
      </c>
      <c r="AD59" s="154">
        <v>-2736.3</v>
      </c>
      <c r="AE59" s="154">
        <v>-2500</v>
      </c>
      <c r="AF59" s="154">
        <v>-2874.86</v>
      </c>
      <c r="AG59" s="158"/>
      <c r="AH59" s="158"/>
      <c r="AI59" s="154">
        <v>0</v>
      </c>
      <c r="AJ59" s="154">
        <v>5000</v>
      </c>
      <c r="AK59" s="156">
        <f t="shared" si="5"/>
        <v>9010</v>
      </c>
      <c r="AL59" s="156">
        <f t="shared" si="5"/>
        <v>2550.6399999999994</v>
      </c>
    </row>
    <row r="60" spans="1:38" s="75" customFormat="1" ht="17.25" customHeight="1">
      <c r="A60" s="104">
        <v>50</v>
      </c>
      <c r="B60" s="151" t="s">
        <v>505</v>
      </c>
      <c r="C60" s="152">
        <f t="shared" si="3"/>
        <v>9247.2</v>
      </c>
      <c r="D60" s="152">
        <f t="shared" si="3"/>
        <v>9143.2</v>
      </c>
      <c r="E60" s="153">
        <v>6568.2</v>
      </c>
      <c r="F60" s="153">
        <v>6516</v>
      </c>
      <c r="G60" s="153">
        <v>1080.6</v>
      </c>
      <c r="H60" s="153">
        <v>1072.8</v>
      </c>
      <c r="I60" s="153">
        <v>1198.4</v>
      </c>
      <c r="J60" s="153">
        <v>1154.4</v>
      </c>
      <c r="K60" s="153">
        <v>0</v>
      </c>
      <c r="L60" s="153">
        <v>0</v>
      </c>
      <c r="M60" s="153">
        <v>0</v>
      </c>
      <c r="N60" s="153">
        <v>0</v>
      </c>
      <c r="O60" s="154">
        <v>0</v>
      </c>
      <c r="P60" s="154">
        <v>0</v>
      </c>
      <c r="Q60" s="154">
        <v>400</v>
      </c>
      <c r="R60" s="154">
        <v>400</v>
      </c>
      <c r="S60" s="154">
        <v>0</v>
      </c>
      <c r="T60" s="154">
        <v>0</v>
      </c>
      <c r="U60" s="90">
        <f t="shared" si="4"/>
        <v>9247.2</v>
      </c>
      <c r="V60" s="90">
        <f t="shared" si="4"/>
        <v>9143.2</v>
      </c>
      <c r="W60" s="154">
        <v>0</v>
      </c>
      <c r="X60" s="154">
        <v>0</v>
      </c>
      <c r="Y60" s="154">
        <v>0</v>
      </c>
      <c r="Z60" s="154">
        <v>0</v>
      </c>
      <c r="AA60" s="154">
        <v>0</v>
      </c>
      <c r="AB60" s="154">
        <v>0</v>
      </c>
      <c r="AC60" s="154">
        <v>0</v>
      </c>
      <c r="AD60" s="154">
        <v>0</v>
      </c>
      <c r="AE60" s="154">
        <v>0</v>
      </c>
      <c r="AF60" s="154">
        <v>0</v>
      </c>
      <c r="AG60" s="158"/>
      <c r="AH60" s="158"/>
      <c r="AI60" s="154">
        <v>0</v>
      </c>
      <c r="AJ60" s="154">
        <v>0</v>
      </c>
      <c r="AK60" s="156">
        <f t="shared" si="5"/>
        <v>0</v>
      </c>
      <c r="AL60" s="156">
        <f t="shared" si="5"/>
        <v>0</v>
      </c>
    </row>
    <row r="61" spans="1:38" s="75" customFormat="1" ht="17.25" customHeight="1">
      <c r="A61" s="104">
        <v>51</v>
      </c>
      <c r="B61" s="151" t="s">
        <v>128</v>
      </c>
      <c r="C61" s="152">
        <f t="shared" si="3"/>
        <v>15939.5</v>
      </c>
      <c r="D61" s="152">
        <f t="shared" si="3"/>
        <v>15300.177</v>
      </c>
      <c r="E61" s="153">
        <v>9792.2</v>
      </c>
      <c r="F61" s="153">
        <v>9344.5</v>
      </c>
      <c r="G61" s="153">
        <v>3127.8</v>
      </c>
      <c r="H61" s="153">
        <v>3085.6</v>
      </c>
      <c r="I61" s="153">
        <v>1490</v>
      </c>
      <c r="J61" s="153">
        <v>1419.5</v>
      </c>
      <c r="K61" s="153">
        <v>0</v>
      </c>
      <c r="L61" s="153">
        <v>0</v>
      </c>
      <c r="M61" s="153">
        <v>0</v>
      </c>
      <c r="N61" s="153">
        <v>0</v>
      </c>
      <c r="O61" s="154">
        <v>1220.6</v>
      </c>
      <c r="P61" s="154">
        <v>1220.577</v>
      </c>
      <c r="Q61" s="154">
        <v>200</v>
      </c>
      <c r="R61" s="154">
        <v>200</v>
      </c>
      <c r="S61" s="154">
        <v>82.4</v>
      </c>
      <c r="T61" s="154">
        <v>30</v>
      </c>
      <c r="U61" s="90">
        <f t="shared" si="4"/>
        <v>15913</v>
      </c>
      <c r="V61" s="90">
        <f t="shared" si="4"/>
        <v>15300.177</v>
      </c>
      <c r="W61" s="154">
        <v>26.5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54">
        <v>0</v>
      </c>
      <c r="AD61" s="154">
        <v>0</v>
      </c>
      <c r="AE61" s="154">
        <v>0</v>
      </c>
      <c r="AF61" s="154">
        <v>0</v>
      </c>
      <c r="AG61" s="158"/>
      <c r="AH61" s="158"/>
      <c r="AI61" s="154">
        <v>0</v>
      </c>
      <c r="AJ61" s="154">
        <v>0</v>
      </c>
      <c r="AK61" s="156">
        <f t="shared" si="5"/>
        <v>26.5</v>
      </c>
      <c r="AL61" s="156">
        <f t="shared" si="5"/>
        <v>0</v>
      </c>
    </row>
    <row r="62" spans="1:38" s="75" customFormat="1" ht="17.25" customHeight="1">
      <c r="A62" s="104">
        <v>52</v>
      </c>
      <c r="B62" s="151" t="s">
        <v>506</v>
      </c>
      <c r="C62" s="152">
        <f t="shared" si="3"/>
        <v>11368.8</v>
      </c>
      <c r="D62" s="152">
        <f t="shared" si="3"/>
        <v>10614.6</v>
      </c>
      <c r="E62" s="153">
        <v>7645.4</v>
      </c>
      <c r="F62" s="153">
        <v>7392.7</v>
      </c>
      <c r="G62" s="153">
        <v>1816.8</v>
      </c>
      <c r="H62" s="153">
        <v>1599.2</v>
      </c>
      <c r="I62" s="153">
        <v>907.6</v>
      </c>
      <c r="J62" s="153">
        <v>733.7</v>
      </c>
      <c r="K62" s="153">
        <v>0</v>
      </c>
      <c r="L62" s="153">
        <v>0</v>
      </c>
      <c r="M62" s="153">
        <v>0</v>
      </c>
      <c r="N62" s="153">
        <v>0</v>
      </c>
      <c r="O62" s="154">
        <v>0</v>
      </c>
      <c r="P62" s="154">
        <v>0</v>
      </c>
      <c r="Q62" s="154">
        <v>600</v>
      </c>
      <c r="R62" s="154">
        <v>590</v>
      </c>
      <c r="S62" s="154">
        <v>145</v>
      </c>
      <c r="T62" s="154">
        <v>45</v>
      </c>
      <c r="U62" s="90">
        <f t="shared" si="4"/>
        <v>11114.8</v>
      </c>
      <c r="V62" s="90">
        <f t="shared" si="4"/>
        <v>10360.6</v>
      </c>
      <c r="W62" s="154">
        <v>454</v>
      </c>
      <c r="X62" s="154">
        <v>354</v>
      </c>
      <c r="Y62" s="154">
        <v>0</v>
      </c>
      <c r="Z62" s="154">
        <v>0</v>
      </c>
      <c r="AA62" s="154">
        <v>0</v>
      </c>
      <c r="AB62" s="154">
        <v>0</v>
      </c>
      <c r="AC62" s="154">
        <v>-200</v>
      </c>
      <c r="AD62" s="154">
        <v>-100</v>
      </c>
      <c r="AE62" s="154">
        <v>0</v>
      </c>
      <c r="AF62" s="154">
        <v>0</v>
      </c>
      <c r="AG62" s="158"/>
      <c r="AH62" s="158"/>
      <c r="AI62" s="154">
        <v>254</v>
      </c>
      <c r="AJ62" s="154">
        <v>254</v>
      </c>
      <c r="AK62" s="156">
        <f t="shared" si="5"/>
        <v>254</v>
      </c>
      <c r="AL62" s="156">
        <f t="shared" si="5"/>
        <v>254</v>
      </c>
    </row>
    <row r="63" spans="1:38" s="75" customFormat="1" ht="17.25" customHeight="1">
      <c r="A63" s="104">
        <v>53</v>
      </c>
      <c r="B63" s="151" t="s">
        <v>507</v>
      </c>
      <c r="C63" s="152">
        <f t="shared" si="3"/>
        <v>20382.2</v>
      </c>
      <c r="D63" s="152">
        <f t="shared" si="3"/>
        <v>15902.2</v>
      </c>
      <c r="E63" s="153">
        <v>10517</v>
      </c>
      <c r="F63" s="153">
        <v>9430.1</v>
      </c>
      <c r="G63" s="153">
        <v>4711.8</v>
      </c>
      <c r="H63" s="153">
        <v>3313</v>
      </c>
      <c r="I63" s="153">
        <v>1975.4</v>
      </c>
      <c r="J63" s="153">
        <v>1228.1</v>
      </c>
      <c r="K63" s="153">
        <v>0</v>
      </c>
      <c r="L63" s="153">
        <v>0</v>
      </c>
      <c r="M63" s="153">
        <v>0</v>
      </c>
      <c r="N63" s="153">
        <v>0</v>
      </c>
      <c r="O63" s="154">
        <v>1000</v>
      </c>
      <c r="P63" s="154">
        <v>1000</v>
      </c>
      <c r="Q63" s="154">
        <v>1178</v>
      </c>
      <c r="R63" s="154">
        <v>931</v>
      </c>
      <c r="S63" s="154">
        <v>0</v>
      </c>
      <c r="T63" s="154">
        <v>0</v>
      </c>
      <c r="U63" s="90">
        <f t="shared" si="4"/>
        <v>19382.2</v>
      </c>
      <c r="V63" s="90">
        <f t="shared" si="4"/>
        <v>15902.2</v>
      </c>
      <c r="W63" s="154">
        <v>1000</v>
      </c>
      <c r="X63" s="154">
        <v>0</v>
      </c>
      <c r="Y63" s="154">
        <v>0</v>
      </c>
      <c r="Z63" s="154">
        <v>0</v>
      </c>
      <c r="AA63" s="154">
        <v>0</v>
      </c>
      <c r="AB63" s="154">
        <v>0</v>
      </c>
      <c r="AC63" s="154">
        <v>0</v>
      </c>
      <c r="AD63" s="154">
        <v>0</v>
      </c>
      <c r="AE63" s="154">
        <v>0</v>
      </c>
      <c r="AF63" s="154">
        <v>0</v>
      </c>
      <c r="AG63" s="158"/>
      <c r="AH63" s="158"/>
      <c r="AI63" s="154">
        <v>0</v>
      </c>
      <c r="AJ63" s="154">
        <v>1000</v>
      </c>
      <c r="AK63" s="156">
        <f t="shared" si="5"/>
        <v>1000</v>
      </c>
      <c r="AL63" s="156">
        <f t="shared" si="5"/>
        <v>0</v>
      </c>
    </row>
    <row r="64" spans="1:38" s="75" customFormat="1" ht="17.25" customHeight="1">
      <c r="A64" s="104">
        <v>54</v>
      </c>
      <c r="B64" s="151" t="s">
        <v>508</v>
      </c>
      <c r="C64" s="152">
        <f t="shared" si="3"/>
        <v>4854</v>
      </c>
      <c r="D64" s="152">
        <f t="shared" si="3"/>
        <v>4676.1</v>
      </c>
      <c r="E64" s="153">
        <v>3472.2</v>
      </c>
      <c r="F64" s="153">
        <v>3420</v>
      </c>
      <c r="G64" s="153">
        <v>729.8</v>
      </c>
      <c r="H64" s="153">
        <v>721</v>
      </c>
      <c r="I64" s="153">
        <v>352</v>
      </c>
      <c r="J64" s="153">
        <v>335.1</v>
      </c>
      <c r="K64" s="153">
        <v>0</v>
      </c>
      <c r="L64" s="153">
        <v>0</v>
      </c>
      <c r="M64" s="153">
        <v>0</v>
      </c>
      <c r="N64" s="153">
        <v>0</v>
      </c>
      <c r="O64" s="154">
        <v>0</v>
      </c>
      <c r="P64" s="154">
        <v>0</v>
      </c>
      <c r="Q64" s="154">
        <v>200</v>
      </c>
      <c r="R64" s="154">
        <v>200</v>
      </c>
      <c r="S64" s="154">
        <v>100</v>
      </c>
      <c r="T64" s="154">
        <v>0</v>
      </c>
      <c r="U64" s="90">
        <f t="shared" si="4"/>
        <v>4854</v>
      </c>
      <c r="V64" s="90">
        <f t="shared" si="4"/>
        <v>4676.1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8"/>
      <c r="AH64" s="158"/>
      <c r="AI64" s="154">
        <v>200</v>
      </c>
      <c r="AJ64" s="154">
        <v>200</v>
      </c>
      <c r="AK64" s="156">
        <f t="shared" si="5"/>
        <v>0</v>
      </c>
      <c r="AL64" s="156">
        <f t="shared" si="5"/>
        <v>0</v>
      </c>
    </row>
    <row r="65" spans="1:38" s="75" customFormat="1" ht="17.25" customHeight="1">
      <c r="A65" s="104">
        <v>55</v>
      </c>
      <c r="B65" s="151" t="s">
        <v>509</v>
      </c>
      <c r="C65" s="152">
        <f t="shared" si="3"/>
        <v>4003</v>
      </c>
      <c r="D65" s="152">
        <f t="shared" si="3"/>
        <v>3620.69</v>
      </c>
      <c r="E65" s="153">
        <v>2797</v>
      </c>
      <c r="F65" s="153">
        <v>2602</v>
      </c>
      <c r="G65" s="153">
        <v>866</v>
      </c>
      <c r="H65" s="153">
        <v>720.99</v>
      </c>
      <c r="I65" s="153">
        <v>300</v>
      </c>
      <c r="J65" s="153">
        <v>297.7</v>
      </c>
      <c r="K65" s="153">
        <v>0</v>
      </c>
      <c r="L65" s="153">
        <v>0</v>
      </c>
      <c r="M65" s="153">
        <v>0</v>
      </c>
      <c r="N65" s="153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40</v>
      </c>
      <c r="T65" s="154">
        <v>0</v>
      </c>
      <c r="U65" s="90">
        <f t="shared" si="4"/>
        <v>4003</v>
      </c>
      <c r="V65" s="90">
        <f t="shared" si="4"/>
        <v>3620.69</v>
      </c>
      <c r="W65" s="154">
        <v>192</v>
      </c>
      <c r="X65" s="154">
        <v>192</v>
      </c>
      <c r="Y65" s="154">
        <v>0</v>
      </c>
      <c r="Z65" s="154">
        <v>0</v>
      </c>
      <c r="AA65" s="154">
        <v>0</v>
      </c>
      <c r="AB65" s="154">
        <v>0</v>
      </c>
      <c r="AC65" s="154">
        <v>0</v>
      </c>
      <c r="AD65" s="154">
        <v>0</v>
      </c>
      <c r="AE65" s="154">
        <v>-192</v>
      </c>
      <c r="AF65" s="154">
        <v>-192</v>
      </c>
      <c r="AG65" s="158"/>
      <c r="AH65" s="158"/>
      <c r="AI65" s="154">
        <v>0</v>
      </c>
      <c r="AJ65" s="154">
        <v>0</v>
      </c>
      <c r="AK65" s="156">
        <f t="shared" si="5"/>
        <v>0</v>
      </c>
      <c r="AL65" s="156">
        <f t="shared" si="5"/>
        <v>0</v>
      </c>
    </row>
    <row r="66" spans="1:38" s="75" customFormat="1" ht="17.25" customHeight="1">
      <c r="A66" s="104">
        <v>56</v>
      </c>
      <c r="B66" s="151" t="s">
        <v>510</v>
      </c>
      <c r="C66" s="152">
        <f t="shared" si="3"/>
        <v>9446.7</v>
      </c>
      <c r="D66" s="152">
        <f t="shared" si="3"/>
        <v>8760.5</v>
      </c>
      <c r="E66" s="153">
        <v>7406.2</v>
      </c>
      <c r="F66" s="153">
        <v>7207.8</v>
      </c>
      <c r="G66" s="153">
        <v>1066.6</v>
      </c>
      <c r="H66" s="153">
        <v>1028.8</v>
      </c>
      <c r="I66" s="153">
        <v>400</v>
      </c>
      <c r="J66" s="153">
        <v>400</v>
      </c>
      <c r="K66" s="153">
        <v>0</v>
      </c>
      <c r="L66" s="153">
        <v>0</v>
      </c>
      <c r="M66" s="153">
        <v>0</v>
      </c>
      <c r="N66" s="153">
        <v>0</v>
      </c>
      <c r="O66" s="154">
        <v>0</v>
      </c>
      <c r="P66" s="154">
        <v>0</v>
      </c>
      <c r="Q66" s="154">
        <v>573.9</v>
      </c>
      <c r="R66" s="154">
        <v>573.9</v>
      </c>
      <c r="S66" s="154">
        <v>0</v>
      </c>
      <c r="T66" s="154">
        <v>0</v>
      </c>
      <c r="U66" s="90">
        <f t="shared" si="4"/>
        <v>9446.7</v>
      </c>
      <c r="V66" s="90">
        <f t="shared" si="4"/>
        <v>9210.5</v>
      </c>
      <c r="W66" s="154">
        <v>5000</v>
      </c>
      <c r="X66" s="154">
        <v>550</v>
      </c>
      <c r="Y66" s="154">
        <v>0</v>
      </c>
      <c r="Z66" s="154">
        <v>0</v>
      </c>
      <c r="AA66" s="154">
        <v>0</v>
      </c>
      <c r="AB66" s="154">
        <v>0</v>
      </c>
      <c r="AC66" s="154">
        <v>0</v>
      </c>
      <c r="AD66" s="154">
        <v>0</v>
      </c>
      <c r="AE66" s="154">
        <v>-5000</v>
      </c>
      <c r="AF66" s="154">
        <v>-1000</v>
      </c>
      <c r="AG66" s="158"/>
      <c r="AH66" s="158"/>
      <c r="AI66" s="154">
        <v>0</v>
      </c>
      <c r="AJ66" s="154">
        <v>0</v>
      </c>
      <c r="AK66" s="156">
        <f t="shared" si="5"/>
        <v>0</v>
      </c>
      <c r="AL66" s="156">
        <f t="shared" si="5"/>
        <v>-450</v>
      </c>
    </row>
    <row r="67" spans="1:38" s="75" customFormat="1" ht="17.25" customHeight="1">
      <c r="A67" s="104">
        <v>57</v>
      </c>
      <c r="B67" s="151" t="s">
        <v>511</v>
      </c>
      <c r="C67" s="152">
        <f t="shared" si="3"/>
        <v>14059.3</v>
      </c>
      <c r="D67" s="152">
        <f t="shared" si="3"/>
        <v>12665.7</v>
      </c>
      <c r="E67" s="153">
        <v>9420.5</v>
      </c>
      <c r="F67" s="153">
        <v>9307.6</v>
      </c>
      <c r="G67" s="153">
        <v>2185.9</v>
      </c>
      <c r="H67" s="153">
        <v>1744.1</v>
      </c>
      <c r="I67" s="153">
        <v>910</v>
      </c>
      <c r="J67" s="153">
        <v>894</v>
      </c>
      <c r="K67" s="153">
        <v>0</v>
      </c>
      <c r="L67" s="153">
        <v>0</v>
      </c>
      <c r="M67" s="153">
        <v>0</v>
      </c>
      <c r="N67" s="153">
        <v>0</v>
      </c>
      <c r="O67" s="154">
        <v>0</v>
      </c>
      <c r="P67" s="154">
        <v>0</v>
      </c>
      <c r="Q67" s="154">
        <v>0</v>
      </c>
      <c r="R67" s="154">
        <v>0</v>
      </c>
      <c r="S67" s="154">
        <v>42.9</v>
      </c>
      <c r="T67" s="154">
        <v>20</v>
      </c>
      <c r="U67" s="90">
        <f t="shared" si="4"/>
        <v>12559.3</v>
      </c>
      <c r="V67" s="90">
        <f t="shared" si="4"/>
        <v>11965.7</v>
      </c>
      <c r="W67" s="154">
        <v>1500</v>
      </c>
      <c r="X67" s="154">
        <v>700</v>
      </c>
      <c r="Y67" s="154">
        <v>0</v>
      </c>
      <c r="Z67" s="154">
        <v>0</v>
      </c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8"/>
      <c r="AH67" s="158"/>
      <c r="AI67" s="154">
        <v>700</v>
      </c>
      <c r="AJ67" s="154">
        <v>1500</v>
      </c>
      <c r="AK67" s="156">
        <f t="shared" si="5"/>
        <v>1500</v>
      </c>
      <c r="AL67" s="156">
        <f t="shared" si="5"/>
        <v>700</v>
      </c>
    </row>
    <row r="68" spans="1:38" s="75" customFormat="1" ht="17.25" customHeight="1">
      <c r="A68" s="104">
        <v>58</v>
      </c>
      <c r="B68" s="151" t="s">
        <v>512</v>
      </c>
      <c r="C68" s="152">
        <f t="shared" si="3"/>
        <v>4160</v>
      </c>
      <c r="D68" s="152">
        <f t="shared" si="3"/>
        <v>4141</v>
      </c>
      <c r="E68" s="153">
        <v>2880</v>
      </c>
      <c r="F68" s="153">
        <v>2880</v>
      </c>
      <c r="G68" s="153">
        <v>850</v>
      </c>
      <c r="H68" s="153">
        <v>850</v>
      </c>
      <c r="I68" s="153">
        <v>280</v>
      </c>
      <c r="J68" s="153">
        <v>261</v>
      </c>
      <c r="K68" s="153">
        <v>0</v>
      </c>
      <c r="L68" s="153">
        <v>0</v>
      </c>
      <c r="M68" s="153">
        <v>0</v>
      </c>
      <c r="N68" s="153">
        <v>0</v>
      </c>
      <c r="O68" s="154">
        <v>0</v>
      </c>
      <c r="P68" s="154">
        <v>0</v>
      </c>
      <c r="Q68" s="154">
        <v>150</v>
      </c>
      <c r="R68" s="154">
        <v>150</v>
      </c>
      <c r="S68" s="154">
        <v>0</v>
      </c>
      <c r="T68" s="154">
        <v>0</v>
      </c>
      <c r="U68" s="90">
        <f t="shared" si="4"/>
        <v>4160</v>
      </c>
      <c r="V68" s="90">
        <f t="shared" si="4"/>
        <v>4141</v>
      </c>
      <c r="W68" s="154">
        <v>0</v>
      </c>
      <c r="X68" s="154">
        <v>0</v>
      </c>
      <c r="Y68" s="154">
        <v>0</v>
      </c>
      <c r="Z68" s="154">
        <v>0</v>
      </c>
      <c r="AA68" s="154">
        <v>0</v>
      </c>
      <c r="AB68" s="154">
        <v>0</v>
      </c>
      <c r="AC68" s="154">
        <v>0</v>
      </c>
      <c r="AD68" s="154">
        <v>0</v>
      </c>
      <c r="AE68" s="154">
        <v>0</v>
      </c>
      <c r="AF68" s="154">
        <v>0</v>
      </c>
      <c r="AG68" s="158"/>
      <c r="AH68" s="158"/>
      <c r="AI68" s="154">
        <v>0</v>
      </c>
      <c r="AJ68" s="154">
        <v>0</v>
      </c>
      <c r="AK68" s="156">
        <f t="shared" si="5"/>
        <v>0</v>
      </c>
      <c r="AL68" s="156">
        <f t="shared" si="5"/>
        <v>0</v>
      </c>
    </row>
    <row r="69" spans="1:38" s="75" customFormat="1" ht="17.25" customHeight="1">
      <c r="A69" s="104">
        <v>59</v>
      </c>
      <c r="B69" s="151" t="s">
        <v>513</v>
      </c>
      <c r="C69" s="152">
        <f t="shared" si="3"/>
        <v>25314.5</v>
      </c>
      <c r="D69" s="152">
        <f t="shared" si="3"/>
        <v>12617.764</v>
      </c>
      <c r="E69" s="153">
        <v>8504.8</v>
      </c>
      <c r="F69" s="153">
        <v>8321.4</v>
      </c>
      <c r="G69" s="153">
        <v>1626.8</v>
      </c>
      <c r="H69" s="153">
        <v>1597.8</v>
      </c>
      <c r="I69" s="153">
        <v>6224.8</v>
      </c>
      <c r="J69" s="153">
        <v>1987.8</v>
      </c>
      <c r="K69" s="153">
        <v>0</v>
      </c>
      <c r="L69" s="153">
        <v>0</v>
      </c>
      <c r="M69" s="153">
        <v>0</v>
      </c>
      <c r="N69" s="153">
        <v>0</v>
      </c>
      <c r="O69" s="154">
        <v>0</v>
      </c>
      <c r="P69" s="154">
        <v>0</v>
      </c>
      <c r="Q69" s="154">
        <v>1400</v>
      </c>
      <c r="R69" s="154">
        <v>1260</v>
      </c>
      <c r="S69" s="154">
        <v>316.5</v>
      </c>
      <c r="T69" s="154">
        <v>9.1</v>
      </c>
      <c r="U69" s="90">
        <f t="shared" si="4"/>
        <v>18072.9</v>
      </c>
      <c r="V69" s="90">
        <f t="shared" si="4"/>
        <v>13176.099999999999</v>
      </c>
      <c r="W69" s="154">
        <v>7241.6</v>
      </c>
      <c r="X69" s="154">
        <v>0</v>
      </c>
      <c r="Y69" s="154">
        <v>0</v>
      </c>
      <c r="Z69" s="154">
        <v>0</v>
      </c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-558.336</v>
      </c>
      <c r="AG69" s="158"/>
      <c r="AH69" s="158"/>
      <c r="AI69" s="154">
        <v>0</v>
      </c>
      <c r="AJ69" s="154">
        <v>0</v>
      </c>
      <c r="AK69" s="156">
        <f t="shared" si="5"/>
        <v>7241.6</v>
      </c>
      <c r="AL69" s="156">
        <f t="shared" si="5"/>
        <v>-558.336</v>
      </c>
    </row>
    <row r="70" spans="1:38" s="75" customFormat="1" ht="17.25" customHeight="1">
      <c r="A70" s="104">
        <v>60</v>
      </c>
      <c r="B70" s="159" t="s">
        <v>514</v>
      </c>
      <c r="C70" s="152">
        <f t="shared" si="3"/>
        <v>23837</v>
      </c>
      <c r="D70" s="152">
        <f t="shared" si="3"/>
        <v>15910.02</v>
      </c>
      <c r="E70" s="153">
        <v>4437.8</v>
      </c>
      <c r="F70" s="153">
        <v>4324.9</v>
      </c>
      <c r="G70" s="153">
        <v>999.1</v>
      </c>
      <c r="H70" s="153">
        <v>982.3</v>
      </c>
      <c r="I70" s="153">
        <v>4342.7</v>
      </c>
      <c r="J70" s="153">
        <v>4342.02</v>
      </c>
      <c r="K70" s="153">
        <v>0</v>
      </c>
      <c r="L70" s="153">
        <v>0</v>
      </c>
      <c r="M70" s="153">
        <v>0</v>
      </c>
      <c r="N70" s="153">
        <v>0</v>
      </c>
      <c r="O70" s="154">
        <v>0</v>
      </c>
      <c r="P70" s="154">
        <v>0</v>
      </c>
      <c r="Q70" s="154">
        <v>100</v>
      </c>
      <c r="R70" s="154">
        <v>100</v>
      </c>
      <c r="S70" s="154">
        <v>594.8</v>
      </c>
      <c r="T70" s="154">
        <v>0</v>
      </c>
      <c r="U70" s="90">
        <f t="shared" si="4"/>
        <v>10474.400000000001</v>
      </c>
      <c r="V70" s="90">
        <f t="shared" si="4"/>
        <v>9749.220000000001</v>
      </c>
      <c r="W70" s="154">
        <v>17362.6</v>
      </c>
      <c r="X70" s="154">
        <v>8375.2</v>
      </c>
      <c r="Y70" s="154">
        <v>0</v>
      </c>
      <c r="Z70" s="154">
        <v>0</v>
      </c>
      <c r="AA70" s="154">
        <v>0</v>
      </c>
      <c r="AB70" s="154">
        <v>0</v>
      </c>
      <c r="AC70" s="154">
        <v>0</v>
      </c>
      <c r="AD70" s="154">
        <v>0</v>
      </c>
      <c r="AE70" s="154">
        <v>-4000</v>
      </c>
      <c r="AF70" s="154">
        <v>-2214.4</v>
      </c>
      <c r="AG70" s="158"/>
      <c r="AH70" s="158"/>
      <c r="AI70" s="154">
        <v>0</v>
      </c>
      <c r="AJ70" s="154">
        <v>594.8</v>
      </c>
      <c r="AK70" s="156">
        <f t="shared" si="5"/>
        <v>13362.599999999999</v>
      </c>
      <c r="AL70" s="156">
        <f t="shared" si="5"/>
        <v>6160.8</v>
      </c>
    </row>
    <row r="71" spans="1:38" s="75" customFormat="1" ht="17.25" customHeight="1">
      <c r="A71" s="104">
        <v>61</v>
      </c>
      <c r="B71" s="151" t="s">
        <v>515</v>
      </c>
      <c r="C71" s="152">
        <f t="shared" si="3"/>
        <v>11325.6</v>
      </c>
      <c r="D71" s="152">
        <f t="shared" si="3"/>
        <v>10974.599999999999</v>
      </c>
      <c r="E71" s="153">
        <v>6350.4</v>
      </c>
      <c r="F71" s="153">
        <v>6298.2</v>
      </c>
      <c r="G71" s="153">
        <v>1529.9</v>
      </c>
      <c r="H71" s="153">
        <v>1417.3</v>
      </c>
      <c r="I71" s="153">
        <v>3125.3</v>
      </c>
      <c r="J71" s="153">
        <v>3010.9</v>
      </c>
      <c r="K71" s="153">
        <v>0</v>
      </c>
      <c r="L71" s="153">
        <v>0</v>
      </c>
      <c r="M71" s="153">
        <v>0</v>
      </c>
      <c r="N71" s="153">
        <v>0</v>
      </c>
      <c r="O71" s="154">
        <v>0</v>
      </c>
      <c r="P71" s="154">
        <v>0</v>
      </c>
      <c r="Q71" s="154">
        <v>320</v>
      </c>
      <c r="R71" s="154">
        <v>310</v>
      </c>
      <c r="S71" s="154">
        <v>0</v>
      </c>
      <c r="T71" s="154">
        <v>0</v>
      </c>
      <c r="U71" s="90">
        <f t="shared" si="4"/>
        <v>11325.6</v>
      </c>
      <c r="V71" s="90">
        <f t="shared" si="4"/>
        <v>11036.4</v>
      </c>
      <c r="W71" s="154">
        <v>7000</v>
      </c>
      <c r="X71" s="154">
        <v>6980.7</v>
      </c>
      <c r="Y71" s="154">
        <v>0</v>
      </c>
      <c r="Z71" s="154">
        <v>0</v>
      </c>
      <c r="AA71" s="154">
        <v>0</v>
      </c>
      <c r="AB71" s="154">
        <v>0</v>
      </c>
      <c r="AC71" s="154">
        <v>-1500</v>
      </c>
      <c r="AD71" s="154">
        <v>-1100</v>
      </c>
      <c r="AE71" s="154">
        <v>-5500</v>
      </c>
      <c r="AF71" s="154">
        <v>-5942.5</v>
      </c>
      <c r="AG71" s="158"/>
      <c r="AH71" s="158"/>
      <c r="AI71" s="154">
        <v>0</v>
      </c>
      <c r="AJ71" s="154">
        <v>0</v>
      </c>
      <c r="AK71" s="156">
        <f t="shared" si="5"/>
        <v>0</v>
      </c>
      <c r="AL71" s="156">
        <f t="shared" si="5"/>
        <v>-61.80000000000018</v>
      </c>
    </row>
    <row r="72" spans="1:38" s="75" customFormat="1" ht="17.25" customHeight="1">
      <c r="A72" s="104">
        <v>62</v>
      </c>
      <c r="B72" s="151" t="s">
        <v>516</v>
      </c>
      <c r="C72" s="152">
        <f t="shared" si="3"/>
        <v>16683.6</v>
      </c>
      <c r="D72" s="152">
        <f t="shared" si="3"/>
        <v>14029.8</v>
      </c>
      <c r="E72" s="153">
        <v>8293.9</v>
      </c>
      <c r="F72" s="153">
        <v>8291.8</v>
      </c>
      <c r="G72" s="153">
        <v>2989.4</v>
      </c>
      <c r="H72" s="153">
        <v>2989.3</v>
      </c>
      <c r="I72" s="153">
        <v>3024.1</v>
      </c>
      <c r="J72" s="153">
        <v>2855.1</v>
      </c>
      <c r="K72" s="153">
        <v>0</v>
      </c>
      <c r="L72" s="153">
        <v>0</v>
      </c>
      <c r="M72" s="153">
        <v>0</v>
      </c>
      <c r="N72" s="153">
        <v>0</v>
      </c>
      <c r="O72" s="154">
        <v>0</v>
      </c>
      <c r="P72" s="154">
        <v>0</v>
      </c>
      <c r="Q72" s="154">
        <v>1060</v>
      </c>
      <c r="R72" s="154">
        <v>1040</v>
      </c>
      <c r="S72" s="154">
        <v>1316.2</v>
      </c>
      <c r="T72" s="154">
        <v>18</v>
      </c>
      <c r="U72" s="90">
        <f t="shared" si="4"/>
        <v>16683.6</v>
      </c>
      <c r="V72" s="90">
        <f t="shared" si="4"/>
        <v>15194.199999999999</v>
      </c>
      <c r="W72" s="154">
        <v>0</v>
      </c>
      <c r="X72" s="154">
        <v>0</v>
      </c>
      <c r="Y72" s="154">
        <v>0</v>
      </c>
      <c r="Z72" s="154">
        <v>0</v>
      </c>
      <c r="AA72" s="154">
        <v>0</v>
      </c>
      <c r="AB72" s="154">
        <v>0</v>
      </c>
      <c r="AC72" s="154">
        <v>0</v>
      </c>
      <c r="AD72" s="154">
        <v>0</v>
      </c>
      <c r="AE72" s="154">
        <v>0</v>
      </c>
      <c r="AF72" s="154">
        <v>-1164.4</v>
      </c>
      <c r="AG72" s="158"/>
      <c r="AH72" s="158"/>
      <c r="AI72" s="154">
        <v>0</v>
      </c>
      <c r="AJ72" s="154">
        <v>0</v>
      </c>
      <c r="AK72" s="156">
        <f t="shared" si="5"/>
        <v>0</v>
      </c>
      <c r="AL72" s="156">
        <f t="shared" si="5"/>
        <v>-1164.4</v>
      </c>
    </row>
    <row r="73" spans="1:38" s="75" customFormat="1" ht="17.25" customHeight="1">
      <c r="A73" s="104">
        <v>63</v>
      </c>
      <c r="B73" s="151" t="s">
        <v>517</v>
      </c>
      <c r="C73" s="152">
        <f t="shared" si="3"/>
        <v>15286.099999999999</v>
      </c>
      <c r="D73" s="152">
        <f t="shared" si="3"/>
        <v>15138.3</v>
      </c>
      <c r="E73" s="153">
        <v>7072.2</v>
      </c>
      <c r="F73" s="153">
        <v>7020</v>
      </c>
      <c r="G73" s="153">
        <v>1438.1</v>
      </c>
      <c r="H73" s="153">
        <v>1342.5</v>
      </c>
      <c r="I73" s="153">
        <v>3367.2</v>
      </c>
      <c r="J73" s="153">
        <v>3367.2</v>
      </c>
      <c r="K73" s="153">
        <v>0</v>
      </c>
      <c r="L73" s="153">
        <v>0</v>
      </c>
      <c r="M73" s="153">
        <v>0</v>
      </c>
      <c r="N73" s="153">
        <v>0</v>
      </c>
      <c r="O73" s="154">
        <v>107</v>
      </c>
      <c r="P73" s="154">
        <v>107</v>
      </c>
      <c r="Q73" s="154">
        <v>2500</v>
      </c>
      <c r="R73" s="154">
        <v>2500</v>
      </c>
      <c r="S73" s="154">
        <v>101.6</v>
      </c>
      <c r="T73" s="154">
        <v>101.6</v>
      </c>
      <c r="U73" s="90">
        <f t="shared" si="4"/>
        <v>14586.099999999999</v>
      </c>
      <c r="V73" s="90">
        <f t="shared" si="4"/>
        <v>14438.3</v>
      </c>
      <c r="W73" s="154">
        <v>700</v>
      </c>
      <c r="X73" s="154">
        <v>700</v>
      </c>
      <c r="Y73" s="154">
        <v>0</v>
      </c>
      <c r="Z73" s="154">
        <v>0</v>
      </c>
      <c r="AA73" s="154">
        <v>0</v>
      </c>
      <c r="AB73" s="154">
        <v>0</v>
      </c>
      <c r="AC73" s="154">
        <v>0</v>
      </c>
      <c r="AD73" s="154">
        <v>0</v>
      </c>
      <c r="AE73" s="154">
        <v>0</v>
      </c>
      <c r="AF73" s="154">
        <v>0</v>
      </c>
      <c r="AG73" s="158"/>
      <c r="AH73" s="158"/>
      <c r="AI73" s="154">
        <v>700</v>
      </c>
      <c r="AJ73" s="154">
        <v>700</v>
      </c>
      <c r="AK73" s="156">
        <f t="shared" si="5"/>
        <v>700</v>
      </c>
      <c r="AL73" s="156">
        <f t="shared" si="5"/>
        <v>700</v>
      </c>
    </row>
    <row r="74" spans="1:38" s="75" customFormat="1" ht="17.25" customHeight="1">
      <c r="A74" s="104">
        <v>64</v>
      </c>
      <c r="B74" s="151" t="s">
        <v>518</v>
      </c>
      <c r="C74" s="152">
        <f t="shared" si="3"/>
        <v>224356</v>
      </c>
      <c r="D74" s="152">
        <f t="shared" si="3"/>
        <v>178199.67</v>
      </c>
      <c r="E74" s="153">
        <v>97328</v>
      </c>
      <c r="F74" s="153">
        <v>90484.6</v>
      </c>
      <c r="G74" s="153">
        <v>21837.6</v>
      </c>
      <c r="H74" s="153">
        <v>20538.7</v>
      </c>
      <c r="I74" s="153">
        <v>80739</v>
      </c>
      <c r="J74" s="153">
        <v>62215.5</v>
      </c>
      <c r="K74" s="153">
        <v>0</v>
      </c>
      <c r="L74" s="153">
        <v>0</v>
      </c>
      <c r="M74" s="153">
        <v>0</v>
      </c>
      <c r="N74" s="153">
        <v>0</v>
      </c>
      <c r="O74" s="154">
        <v>0</v>
      </c>
      <c r="P74" s="154">
        <v>0</v>
      </c>
      <c r="Q74" s="154">
        <v>5600</v>
      </c>
      <c r="R74" s="154">
        <v>5051.6</v>
      </c>
      <c r="S74" s="154">
        <v>2129.4</v>
      </c>
      <c r="T74" s="154">
        <v>1313</v>
      </c>
      <c r="U74" s="90">
        <f t="shared" si="4"/>
        <v>207634</v>
      </c>
      <c r="V74" s="90">
        <f t="shared" si="4"/>
        <v>179603.40000000002</v>
      </c>
      <c r="W74" s="154">
        <v>23812.8</v>
      </c>
      <c r="X74" s="154">
        <v>7194.3</v>
      </c>
      <c r="Y74" s="154">
        <v>0</v>
      </c>
      <c r="Z74" s="154">
        <v>0</v>
      </c>
      <c r="AA74" s="154">
        <v>0</v>
      </c>
      <c r="AB74" s="154">
        <v>0</v>
      </c>
      <c r="AC74" s="154">
        <v>-1490.8</v>
      </c>
      <c r="AD74" s="154">
        <v>-2200.8</v>
      </c>
      <c r="AE74" s="154">
        <v>-5600</v>
      </c>
      <c r="AF74" s="154">
        <v>-6397.23</v>
      </c>
      <c r="AG74" s="158"/>
      <c r="AH74" s="158"/>
      <c r="AI74" s="154">
        <v>0</v>
      </c>
      <c r="AJ74" s="154">
        <v>0</v>
      </c>
      <c r="AK74" s="156">
        <f t="shared" si="5"/>
        <v>16722</v>
      </c>
      <c r="AL74" s="156">
        <f t="shared" si="5"/>
        <v>-1403.7299999999987</v>
      </c>
    </row>
    <row r="75" spans="1:38" s="75" customFormat="1" ht="17.25" customHeight="1">
      <c r="A75" s="104">
        <v>65</v>
      </c>
      <c r="B75" s="151" t="s">
        <v>519</v>
      </c>
      <c r="C75" s="152">
        <f aca="true" t="shared" si="6" ref="C75:D101">U75+AK75</f>
        <v>40971</v>
      </c>
      <c r="D75" s="152">
        <f t="shared" si="6"/>
        <v>31556.825</v>
      </c>
      <c r="E75" s="153">
        <v>22170</v>
      </c>
      <c r="F75" s="153">
        <v>21860.9</v>
      </c>
      <c r="G75" s="153">
        <v>4470</v>
      </c>
      <c r="H75" s="153">
        <v>4006.5</v>
      </c>
      <c r="I75" s="153">
        <v>9348.8</v>
      </c>
      <c r="J75" s="153">
        <v>3585.1</v>
      </c>
      <c r="K75" s="153">
        <v>0</v>
      </c>
      <c r="L75" s="153">
        <v>0</v>
      </c>
      <c r="M75" s="153">
        <v>0</v>
      </c>
      <c r="N75" s="153">
        <v>0</v>
      </c>
      <c r="O75" s="154">
        <v>0</v>
      </c>
      <c r="P75" s="154">
        <v>0</v>
      </c>
      <c r="Q75" s="154">
        <v>1600</v>
      </c>
      <c r="R75" s="154">
        <v>1600</v>
      </c>
      <c r="S75" s="154">
        <v>2272.2</v>
      </c>
      <c r="T75" s="154">
        <v>220</v>
      </c>
      <c r="U75" s="90">
        <f aca="true" t="shared" si="7" ref="U75:V101">S75+Q75+O75+M75+K75+I75+G75+E75</f>
        <v>39861</v>
      </c>
      <c r="V75" s="90">
        <f t="shared" si="7"/>
        <v>31272.5</v>
      </c>
      <c r="W75" s="154">
        <v>1110</v>
      </c>
      <c r="X75" s="154">
        <v>405</v>
      </c>
      <c r="Y75" s="154">
        <v>0</v>
      </c>
      <c r="Z75" s="154">
        <v>0</v>
      </c>
      <c r="AA75" s="154">
        <v>0</v>
      </c>
      <c r="AB75" s="154">
        <v>0</v>
      </c>
      <c r="AC75" s="154">
        <v>0</v>
      </c>
      <c r="AD75" s="154">
        <v>-50.8</v>
      </c>
      <c r="AE75" s="154">
        <v>0</v>
      </c>
      <c r="AF75" s="154">
        <v>-69.875</v>
      </c>
      <c r="AG75" s="158"/>
      <c r="AH75" s="158"/>
      <c r="AI75" s="154">
        <v>295</v>
      </c>
      <c r="AJ75" s="154">
        <v>1000</v>
      </c>
      <c r="AK75" s="156">
        <f aca="true" t="shared" si="8" ref="AK75:AL101">AI75+AG75+AE75+AC75+AA75+Y75+W75-AI75</f>
        <v>1110</v>
      </c>
      <c r="AL75" s="156">
        <f t="shared" si="8"/>
        <v>284.32500000000005</v>
      </c>
    </row>
    <row r="76" spans="1:38" s="75" customFormat="1" ht="17.25" customHeight="1">
      <c r="A76" s="104">
        <v>66</v>
      </c>
      <c r="B76" s="151" t="s">
        <v>520</v>
      </c>
      <c r="C76" s="152">
        <f t="shared" si="6"/>
        <v>23101.5</v>
      </c>
      <c r="D76" s="152">
        <f t="shared" si="6"/>
        <v>21635.925</v>
      </c>
      <c r="E76" s="153">
        <v>9548.4</v>
      </c>
      <c r="F76" s="153">
        <v>9170.5</v>
      </c>
      <c r="G76" s="153">
        <v>2388.1</v>
      </c>
      <c r="H76" s="153">
        <v>2108</v>
      </c>
      <c r="I76" s="153">
        <v>4487</v>
      </c>
      <c r="J76" s="153">
        <v>3814.3</v>
      </c>
      <c r="K76" s="153">
        <v>0</v>
      </c>
      <c r="L76" s="153">
        <v>0</v>
      </c>
      <c r="M76" s="153">
        <v>0</v>
      </c>
      <c r="N76" s="153">
        <v>0</v>
      </c>
      <c r="O76" s="154">
        <v>0</v>
      </c>
      <c r="P76" s="154">
        <v>0</v>
      </c>
      <c r="Q76" s="154">
        <v>1000</v>
      </c>
      <c r="R76" s="154">
        <v>1000</v>
      </c>
      <c r="S76" s="154">
        <v>228</v>
      </c>
      <c r="T76" s="154">
        <v>125</v>
      </c>
      <c r="U76" s="90">
        <f t="shared" si="7"/>
        <v>17651.5</v>
      </c>
      <c r="V76" s="90">
        <f t="shared" si="7"/>
        <v>16217.8</v>
      </c>
      <c r="W76" s="154">
        <v>5450</v>
      </c>
      <c r="X76" s="154">
        <v>5447</v>
      </c>
      <c r="Y76" s="154">
        <v>0</v>
      </c>
      <c r="Z76" s="154">
        <v>0</v>
      </c>
      <c r="AA76" s="154">
        <v>0</v>
      </c>
      <c r="AB76" s="154">
        <v>0</v>
      </c>
      <c r="AC76" s="154">
        <v>0</v>
      </c>
      <c r="AD76" s="154">
        <v>0</v>
      </c>
      <c r="AE76" s="154">
        <v>0</v>
      </c>
      <c r="AF76" s="154">
        <v>-28.875</v>
      </c>
      <c r="AG76" s="158"/>
      <c r="AH76" s="158"/>
      <c r="AI76" s="154">
        <v>3000</v>
      </c>
      <c r="AJ76" s="154">
        <v>3000</v>
      </c>
      <c r="AK76" s="156">
        <f t="shared" si="8"/>
        <v>5450</v>
      </c>
      <c r="AL76" s="156">
        <f t="shared" si="8"/>
        <v>5418.125</v>
      </c>
    </row>
    <row r="77" spans="1:38" s="75" customFormat="1" ht="17.25" customHeight="1">
      <c r="A77" s="104">
        <v>67</v>
      </c>
      <c r="B77" s="151" t="s">
        <v>521</v>
      </c>
      <c r="C77" s="152">
        <f t="shared" si="6"/>
        <v>48276.5</v>
      </c>
      <c r="D77" s="152">
        <f t="shared" si="6"/>
        <v>42568.75</v>
      </c>
      <c r="E77" s="153">
        <v>22733.9</v>
      </c>
      <c r="F77" s="153">
        <v>21897.4</v>
      </c>
      <c r="G77" s="153">
        <v>5354.8</v>
      </c>
      <c r="H77" s="153">
        <v>4877.8</v>
      </c>
      <c r="I77" s="153">
        <v>11234.8</v>
      </c>
      <c r="J77" s="153">
        <v>9425.3</v>
      </c>
      <c r="K77" s="153">
        <v>0</v>
      </c>
      <c r="L77" s="153">
        <v>0</v>
      </c>
      <c r="M77" s="153">
        <v>0</v>
      </c>
      <c r="N77" s="153">
        <v>0</v>
      </c>
      <c r="O77" s="154">
        <v>50</v>
      </c>
      <c r="P77" s="154">
        <v>0</v>
      </c>
      <c r="Q77" s="154">
        <v>2500</v>
      </c>
      <c r="R77" s="154">
        <v>2500</v>
      </c>
      <c r="S77" s="154">
        <v>343</v>
      </c>
      <c r="T77" s="154">
        <v>150</v>
      </c>
      <c r="U77" s="90">
        <f t="shared" si="7"/>
        <v>42216.5</v>
      </c>
      <c r="V77" s="90">
        <f t="shared" si="7"/>
        <v>38850.5</v>
      </c>
      <c r="W77" s="154">
        <v>6060</v>
      </c>
      <c r="X77" s="154">
        <v>3720</v>
      </c>
      <c r="Y77" s="154">
        <v>0</v>
      </c>
      <c r="Z77" s="154">
        <v>0</v>
      </c>
      <c r="AA77" s="154">
        <v>0</v>
      </c>
      <c r="AB77" s="154">
        <v>0</v>
      </c>
      <c r="AC77" s="154">
        <v>0</v>
      </c>
      <c r="AD77" s="154">
        <v>0</v>
      </c>
      <c r="AE77" s="154">
        <v>0</v>
      </c>
      <c r="AF77" s="154">
        <v>-1.75</v>
      </c>
      <c r="AG77" s="158"/>
      <c r="AH77" s="158"/>
      <c r="AI77" s="154">
        <v>3720</v>
      </c>
      <c r="AJ77" s="154">
        <v>6060</v>
      </c>
      <c r="AK77" s="156">
        <f t="shared" si="8"/>
        <v>6060</v>
      </c>
      <c r="AL77" s="156">
        <f t="shared" si="8"/>
        <v>3718.25</v>
      </c>
    </row>
    <row r="78" spans="1:38" s="75" customFormat="1" ht="17.25" customHeight="1">
      <c r="A78" s="104">
        <v>68</v>
      </c>
      <c r="B78" s="151" t="s">
        <v>522</v>
      </c>
      <c r="C78" s="152">
        <f t="shared" si="6"/>
        <v>99234.5</v>
      </c>
      <c r="D78" s="152">
        <f t="shared" si="6"/>
        <v>95081.79999999999</v>
      </c>
      <c r="E78" s="153">
        <v>36362</v>
      </c>
      <c r="F78" s="153">
        <v>36357.7</v>
      </c>
      <c r="G78" s="153">
        <v>7498</v>
      </c>
      <c r="H78" s="153">
        <v>7465.9</v>
      </c>
      <c r="I78" s="153">
        <v>24731.2</v>
      </c>
      <c r="J78" s="153">
        <v>22388.3</v>
      </c>
      <c r="K78" s="153">
        <v>0</v>
      </c>
      <c r="L78" s="153">
        <v>0</v>
      </c>
      <c r="M78" s="153">
        <v>0</v>
      </c>
      <c r="N78" s="153">
        <v>0</v>
      </c>
      <c r="O78" s="154">
        <v>0</v>
      </c>
      <c r="P78" s="154">
        <v>0</v>
      </c>
      <c r="Q78" s="154">
        <v>8000</v>
      </c>
      <c r="R78" s="154">
        <v>8000</v>
      </c>
      <c r="S78" s="154">
        <v>1056.9</v>
      </c>
      <c r="T78" s="154">
        <v>143.5</v>
      </c>
      <c r="U78" s="90">
        <f t="shared" si="7"/>
        <v>77648.1</v>
      </c>
      <c r="V78" s="90">
        <f t="shared" si="7"/>
        <v>74355.4</v>
      </c>
      <c r="W78" s="154">
        <v>21586.4</v>
      </c>
      <c r="X78" s="154">
        <v>20726.4</v>
      </c>
      <c r="Y78" s="154">
        <v>0</v>
      </c>
      <c r="Z78" s="154">
        <v>0</v>
      </c>
      <c r="AA78" s="154">
        <v>0</v>
      </c>
      <c r="AB78" s="154">
        <v>0</v>
      </c>
      <c r="AC78" s="154">
        <v>0</v>
      </c>
      <c r="AD78" s="154">
        <v>0</v>
      </c>
      <c r="AE78" s="154">
        <v>0</v>
      </c>
      <c r="AF78" s="154">
        <v>0</v>
      </c>
      <c r="AG78" s="158"/>
      <c r="AH78" s="158"/>
      <c r="AI78" s="154">
        <v>17103</v>
      </c>
      <c r="AJ78" s="154">
        <v>17963.1</v>
      </c>
      <c r="AK78" s="156">
        <f t="shared" si="8"/>
        <v>21586.4</v>
      </c>
      <c r="AL78" s="156">
        <f t="shared" si="8"/>
        <v>20726.4</v>
      </c>
    </row>
    <row r="79" spans="1:38" s="75" customFormat="1" ht="17.25" customHeight="1">
      <c r="A79" s="104">
        <v>69</v>
      </c>
      <c r="B79" s="151" t="s">
        <v>523</v>
      </c>
      <c r="C79" s="152">
        <f t="shared" si="6"/>
        <v>84825.6</v>
      </c>
      <c r="D79" s="152">
        <f t="shared" si="6"/>
        <v>69721.3</v>
      </c>
      <c r="E79" s="153">
        <v>28089.6</v>
      </c>
      <c r="F79" s="153">
        <v>27179.6</v>
      </c>
      <c r="G79" s="153">
        <v>6022</v>
      </c>
      <c r="H79" s="153">
        <v>5638.3</v>
      </c>
      <c r="I79" s="153">
        <v>20802</v>
      </c>
      <c r="J79" s="153">
        <v>11698</v>
      </c>
      <c r="K79" s="153">
        <v>0</v>
      </c>
      <c r="L79" s="153">
        <v>0</v>
      </c>
      <c r="M79" s="153">
        <v>0</v>
      </c>
      <c r="N79" s="153">
        <v>0</v>
      </c>
      <c r="O79" s="154">
        <v>0</v>
      </c>
      <c r="P79" s="154">
        <v>0</v>
      </c>
      <c r="Q79" s="154">
        <v>4276</v>
      </c>
      <c r="R79" s="154">
        <v>4260</v>
      </c>
      <c r="S79" s="154">
        <v>2100</v>
      </c>
      <c r="T79" s="154">
        <v>1130.6</v>
      </c>
      <c r="U79" s="90">
        <f t="shared" si="7"/>
        <v>61289.6</v>
      </c>
      <c r="V79" s="90">
        <f t="shared" si="7"/>
        <v>49906.5</v>
      </c>
      <c r="W79" s="154">
        <v>23536</v>
      </c>
      <c r="X79" s="154">
        <v>19814.8</v>
      </c>
      <c r="Y79" s="154">
        <v>0</v>
      </c>
      <c r="Z79" s="154">
        <v>0</v>
      </c>
      <c r="AA79" s="154">
        <v>0</v>
      </c>
      <c r="AB79" s="154">
        <v>0</v>
      </c>
      <c r="AC79" s="154">
        <v>0</v>
      </c>
      <c r="AD79" s="154">
        <v>0</v>
      </c>
      <c r="AE79" s="154">
        <v>0</v>
      </c>
      <c r="AF79" s="154">
        <v>0</v>
      </c>
      <c r="AG79" s="158"/>
      <c r="AH79" s="158"/>
      <c r="AI79" s="154">
        <v>6202.8</v>
      </c>
      <c r="AJ79" s="154">
        <v>9924</v>
      </c>
      <c r="AK79" s="156">
        <f t="shared" si="8"/>
        <v>23536</v>
      </c>
      <c r="AL79" s="156">
        <f t="shared" si="8"/>
        <v>19814.8</v>
      </c>
    </row>
    <row r="80" spans="1:38" s="75" customFormat="1" ht="17.25" customHeight="1">
      <c r="A80" s="104">
        <v>70</v>
      </c>
      <c r="B80" s="151" t="s">
        <v>524</v>
      </c>
      <c r="C80" s="152">
        <f t="shared" si="6"/>
        <v>65344.50030000001</v>
      </c>
      <c r="D80" s="152">
        <f t="shared" si="6"/>
        <v>56513.9</v>
      </c>
      <c r="E80" s="153">
        <v>29619</v>
      </c>
      <c r="F80" s="153">
        <v>26643.5</v>
      </c>
      <c r="G80" s="153">
        <v>5597.8</v>
      </c>
      <c r="H80" s="153">
        <v>5470.2</v>
      </c>
      <c r="I80" s="153">
        <v>15538.8001</v>
      </c>
      <c r="J80" s="153">
        <v>10784.8</v>
      </c>
      <c r="K80" s="153">
        <v>0</v>
      </c>
      <c r="L80" s="153">
        <v>0</v>
      </c>
      <c r="M80" s="153">
        <v>0</v>
      </c>
      <c r="N80" s="153">
        <v>0</v>
      </c>
      <c r="O80" s="154">
        <v>0</v>
      </c>
      <c r="P80" s="154">
        <v>0</v>
      </c>
      <c r="Q80" s="154">
        <v>2080</v>
      </c>
      <c r="R80" s="154">
        <v>2010</v>
      </c>
      <c r="S80" s="154">
        <v>88.9</v>
      </c>
      <c r="T80" s="154">
        <v>0</v>
      </c>
      <c r="U80" s="90">
        <f t="shared" si="7"/>
        <v>52924.500100000005</v>
      </c>
      <c r="V80" s="90">
        <f t="shared" si="7"/>
        <v>44908.5</v>
      </c>
      <c r="W80" s="154">
        <v>12420.0002</v>
      </c>
      <c r="X80" s="154">
        <v>11605.4</v>
      </c>
      <c r="Y80" s="154">
        <v>0</v>
      </c>
      <c r="Z80" s="154">
        <v>0</v>
      </c>
      <c r="AA80" s="154">
        <v>0</v>
      </c>
      <c r="AB80" s="154">
        <v>0</v>
      </c>
      <c r="AC80" s="154">
        <v>0</v>
      </c>
      <c r="AD80" s="154">
        <v>0</v>
      </c>
      <c r="AE80" s="154">
        <v>0</v>
      </c>
      <c r="AF80" s="154">
        <v>0</v>
      </c>
      <c r="AG80" s="158"/>
      <c r="AH80" s="158"/>
      <c r="AI80" s="154">
        <v>9705.4</v>
      </c>
      <c r="AJ80" s="154">
        <v>10520</v>
      </c>
      <c r="AK80" s="156">
        <f t="shared" si="8"/>
        <v>12420.0002</v>
      </c>
      <c r="AL80" s="156">
        <f t="shared" si="8"/>
        <v>11605.400000000001</v>
      </c>
    </row>
    <row r="81" spans="1:38" s="75" customFormat="1" ht="17.25" customHeight="1">
      <c r="A81" s="104">
        <v>71</v>
      </c>
      <c r="B81" s="151" t="s">
        <v>525</v>
      </c>
      <c r="C81" s="152">
        <f t="shared" si="6"/>
        <v>47097</v>
      </c>
      <c r="D81" s="152">
        <f t="shared" si="6"/>
        <v>37777.827999999994</v>
      </c>
      <c r="E81" s="153">
        <v>21885.6</v>
      </c>
      <c r="F81" s="153">
        <v>19856.6</v>
      </c>
      <c r="G81" s="153">
        <v>5800</v>
      </c>
      <c r="H81" s="153">
        <v>4248.9</v>
      </c>
      <c r="I81" s="153">
        <v>8946.4</v>
      </c>
      <c r="J81" s="153">
        <v>5529.2</v>
      </c>
      <c r="K81" s="153">
        <v>0</v>
      </c>
      <c r="L81" s="153">
        <v>0</v>
      </c>
      <c r="M81" s="153">
        <v>0</v>
      </c>
      <c r="N81" s="153">
        <v>0</v>
      </c>
      <c r="O81" s="154">
        <v>0</v>
      </c>
      <c r="P81" s="154">
        <v>0</v>
      </c>
      <c r="Q81" s="154">
        <v>2000</v>
      </c>
      <c r="R81" s="154">
        <v>1997</v>
      </c>
      <c r="S81" s="154">
        <v>445</v>
      </c>
      <c r="T81" s="154">
        <v>365</v>
      </c>
      <c r="U81" s="90">
        <f t="shared" si="7"/>
        <v>39077</v>
      </c>
      <c r="V81" s="90">
        <f t="shared" si="7"/>
        <v>31996.699999999997</v>
      </c>
      <c r="W81" s="154">
        <v>8020</v>
      </c>
      <c r="X81" s="154">
        <v>6187.2</v>
      </c>
      <c r="Y81" s="154">
        <v>0</v>
      </c>
      <c r="Z81" s="154">
        <v>0</v>
      </c>
      <c r="AA81" s="154">
        <v>0</v>
      </c>
      <c r="AB81" s="154">
        <v>0</v>
      </c>
      <c r="AC81" s="154">
        <v>0</v>
      </c>
      <c r="AD81" s="154">
        <v>0</v>
      </c>
      <c r="AE81" s="154">
        <v>0</v>
      </c>
      <c r="AF81" s="154">
        <v>-406.072</v>
      </c>
      <c r="AG81" s="158"/>
      <c r="AH81" s="158"/>
      <c r="AI81" s="154">
        <v>4767.2</v>
      </c>
      <c r="AJ81" s="154">
        <v>6580</v>
      </c>
      <c r="AK81" s="156">
        <f t="shared" si="8"/>
        <v>8020.000000000001</v>
      </c>
      <c r="AL81" s="156">
        <f t="shared" si="8"/>
        <v>5781.128000000001</v>
      </c>
    </row>
    <row r="82" spans="1:38" s="75" customFormat="1" ht="17.25" customHeight="1">
      <c r="A82" s="104">
        <v>72</v>
      </c>
      <c r="B82" s="151" t="s">
        <v>526</v>
      </c>
      <c r="C82" s="152">
        <f t="shared" si="6"/>
        <v>152150.9</v>
      </c>
      <c r="D82" s="152">
        <f t="shared" si="6"/>
        <v>104305.94499999999</v>
      </c>
      <c r="E82" s="153">
        <v>38429.276</v>
      </c>
      <c r="F82" s="153">
        <v>31280.8</v>
      </c>
      <c r="G82" s="153">
        <v>7669.424</v>
      </c>
      <c r="H82" s="153">
        <v>6796.6</v>
      </c>
      <c r="I82" s="153">
        <v>40127.6</v>
      </c>
      <c r="J82" s="153">
        <v>5028.4</v>
      </c>
      <c r="K82" s="153">
        <v>0</v>
      </c>
      <c r="L82" s="153">
        <v>0</v>
      </c>
      <c r="M82" s="153">
        <v>0</v>
      </c>
      <c r="N82" s="153">
        <v>0</v>
      </c>
      <c r="O82" s="154">
        <v>686.4</v>
      </c>
      <c r="P82" s="154">
        <v>686.375</v>
      </c>
      <c r="Q82" s="154">
        <v>1840</v>
      </c>
      <c r="R82" s="154">
        <v>1800</v>
      </c>
      <c r="S82" s="154">
        <v>1400</v>
      </c>
      <c r="T82" s="154">
        <v>29.5</v>
      </c>
      <c r="U82" s="90">
        <f t="shared" si="7"/>
        <v>90152.7</v>
      </c>
      <c r="V82" s="90">
        <f t="shared" si="7"/>
        <v>45621.675</v>
      </c>
      <c r="W82" s="154">
        <v>61998.2</v>
      </c>
      <c r="X82" s="154">
        <v>59249.6</v>
      </c>
      <c r="Y82" s="154">
        <v>0</v>
      </c>
      <c r="Z82" s="154">
        <v>0</v>
      </c>
      <c r="AA82" s="154">
        <v>0</v>
      </c>
      <c r="AB82" s="154">
        <v>0</v>
      </c>
      <c r="AC82" s="154">
        <v>0</v>
      </c>
      <c r="AD82" s="154">
        <v>0</v>
      </c>
      <c r="AE82" s="154">
        <v>0</v>
      </c>
      <c r="AF82" s="154">
        <v>-565.33</v>
      </c>
      <c r="AG82" s="158"/>
      <c r="AH82" s="158"/>
      <c r="AI82" s="154">
        <v>17251.5</v>
      </c>
      <c r="AJ82" s="154">
        <v>20000</v>
      </c>
      <c r="AK82" s="156">
        <f t="shared" si="8"/>
        <v>61998.2</v>
      </c>
      <c r="AL82" s="156">
        <f t="shared" si="8"/>
        <v>58684.26999999999</v>
      </c>
    </row>
    <row r="83" spans="1:38" s="75" customFormat="1" ht="17.25" customHeight="1">
      <c r="A83" s="104">
        <v>73</v>
      </c>
      <c r="B83" s="151" t="s">
        <v>527</v>
      </c>
      <c r="C83" s="152">
        <f t="shared" si="6"/>
        <v>111496.1</v>
      </c>
      <c r="D83" s="152">
        <f t="shared" si="6"/>
        <v>93019.52500000001</v>
      </c>
      <c r="E83" s="153">
        <v>33486</v>
      </c>
      <c r="F83" s="153">
        <v>33483.4</v>
      </c>
      <c r="G83" s="153">
        <v>7830.6</v>
      </c>
      <c r="H83" s="153">
        <v>7380.5</v>
      </c>
      <c r="I83" s="153">
        <v>32183.9</v>
      </c>
      <c r="J83" s="153">
        <v>18187.6</v>
      </c>
      <c r="K83" s="153">
        <v>0</v>
      </c>
      <c r="L83" s="153">
        <v>0</v>
      </c>
      <c r="M83" s="153">
        <v>0</v>
      </c>
      <c r="N83" s="153">
        <v>0</v>
      </c>
      <c r="O83" s="154">
        <v>0</v>
      </c>
      <c r="P83" s="154">
        <v>0</v>
      </c>
      <c r="Q83" s="154">
        <v>4000</v>
      </c>
      <c r="R83" s="154">
        <v>4000</v>
      </c>
      <c r="S83" s="154">
        <v>4291.7</v>
      </c>
      <c r="T83" s="154">
        <v>744</v>
      </c>
      <c r="U83" s="90">
        <f t="shared" si="7"/>
        <v>81792.20000000001</v>
      </c>
      <c r="V83" s="90">
        <f t="shared" si="7"/>
        <v>63795.5</v>
      </c>
      <c r="W83" s="154">
        <v>33403.9</v>
      </c>
      <c r="X83" s="154">
        <v>32996.8</v>
      </c>
      <c r="Y83" s="154">
        <v>0</v>
      </c>
      <c r="Z83" s="154">
        <v>0</v>
      </c>
      <c r="AA83" s="154">
        <v>0</v>
      </c>
      <c r="AB83" s="154">
        <v>0</v>
      </c>
      <c r="AC83" s="154">
        <v>0</v>
      </c>
      <c r="AD83" s="154">
        <v>-3</v>
      </c>
      <c r="AE83" s="154">
        <v>-3700</v>
      </c>
      <c r="AF83" s="154">
        <v>-3769.775</v>
      </c>
      <c r="AG83" s="158"/>
      <c r="AH83" s="158"/>
      <c r="AI83" s="154">
        <v>10288.6</v>
      </c>
      <c r="AJ83" s="154">
        <v>10627.7</v>
      </c>
      <c r="AK83" s="156">
        <f t="shared" si="8"/>
        <v>29703.9</v>
      </c>
      <c r="AL83" s="156">
        <f t="shared" si="8"/>
        <v>29224.025000000005</v>
      </c>
    </row>
    <row r="84" spans="1:38" s="75" customFormat="1" ht="17.25" customHeight="1">
      <c r="A84" s="104">
        <v>74</v>
      </c>
      <c r="B84" s="151" t="s">
        <v>528</v>
      </c>
      <c r="C84" s="152">
        <f t="shared" si="6"/>
        <v>163755</v>
      </c>
      <c r="D84" s="152">
        <f t="shared" si="6"/>
        <v>87211.32</v>
      </c>
      <c r="E84" s="153">
        <v>30577</v>
      </c>
      <c r="F84" s="153">
        <v>25527.5</v>
      </c>
      <c r="G84" s="153">
        <v>6892</v>
      </c>
      <c r="H84" s="153">
        <v>4646.9</v>
      </c>
      <c r="I84" s="153">
        <v>74993</v>
      </c>
      <c r="J84" s="153">
        <v>25158.7</v>
      </c>
      <c r="K84" s="153">
        <v>0</v>
      </c>
      <c r="L84" s="153">
        <v>0</v>
      </c>
      <c r="M84" s="153">
        <v>0</v>
      </c>
      <c r="N84" s="153">
        <v>0</v>
      </c>
      <c r="O84" s="154">
        <v>0</v>
      </c>
      <c r="P84" s="154">
        <v>0</v>
      </c>
      <c r="Q84" s="154">
        <v>3225</v>
      </c>
      <c r="R84" s="154">
        <v>3030</v>
      </c>
      <c r="S84" s="154">
        <v>2113</v>
      </c>
      <c r="T84" s="154">
        <v>1302</v>
      </c>
      <c r="U84" s="90">
        <f t="shared" si="7"/>
        <v>117800</v>
      </c>
      <c r="V84" s="90">
        <f t="shared" si="7"/>
        <v>59665.1</v>
      </c>
      <c r="W84" s="154">
        <v>45955</v>
      </c>
      <c r="X84" s="154">
        <v>28110.1</v>
      </c>
      <c r="Y84" s="154">
        <v>0</v>
      </c>
      <c r="Z84" s="154">
        <v>0</v>
      </c>
      <c r="AA84" s="154">
        <v>0</v>
      </c>
      <c r="AB84" s="154">
        <v>0</v>
      </c>
      <c r="AC84" s="154">
        <v>0</v>
      </c>
      <c r="AD84" s="154">
        <v>0</v>
      </c>
      <c r="AE84" s="154">
        <v>0</v>
      </c>
      <c r="AF84" s="154">
        <v>-563.88</v>
      </c>
      <c r="AG84" s="158"/>
      <c r="AH84" s="158"/>
      <c r="AI84" s="154">
        <v>5967.3</v>
      </c>
      <c r="AJ84" s="154">
        <v>21000</v>
      </c>
      <c r="AK84" s="156">
        <f t="shared" si="8"/>
        <v>45955</v>
      </c>
      <c r="AL84" s="156">
        <f t="shared" si="8"/>
        <v>27546.22</v>
      </c>
    </row>
    <row r="85" spans="1:38" s="75" customFormat="1" ht="17.25" customHeight="1">
      <c r="A85" s="104">
        <v>75</v>
      </c>
      <c r="B85" s="151" t="s">
        <v>529</v>
      </c>
      <c r="C85" s="152">
        <f t="shared" si="6"/>
        <v>83040</v>
      </c>
      <c r="D85" s="152">
        <f t="shared" si="6"/>
        <v>60393.68</v>
      </c>
      <c r="E85" s="153">
        <v>34658.4</v>
      </c>
      <c r="F85" s="153">
        <v>31257.7</v>
      </c>
      <c r="G85" s="153">
        <v>7500.4</v>
      </c>
      <c r="H85" s="153">
        <v>6185.9</v>
      </c>
      <c r="I85" s="153">
        <v>17916.2</v>
      </c>
      <c r="J85" s="153">
        <v>3304.8</v>
      </c>
      <c r="K85" s="153">
        <v>0</v>
      </c>
      <c r="L85" s="153">
        <v>0</v>
      </c>
      <c r="M85" s="153">
        <v>0</v>
      </c>
      <c r="N85" s="153">
        <v>0</v>
      </c>
      <c r="O85" s="154">
        <v>0</v>
      </c>
      <c r="P85" s="154">
        <v>0</v>
      </c>
      <c r="Q85" s="154">
        <v>4000</v>
      </c>
      <c r="R85" s="154">
        <v>4000</v>
      </c>
      <c r="S85" s="154">
        <v>58.5</v>
      </c>
      <c r="T85" s="154">
        <v>0</v>
      </c>
      <c r="U85" s="90">
        <f t="shared" si="7"/>
        <v>64133.5</v>
      </c>
      <c r="V85" s="90">
        <f t="shared" si="7"/>
        <v>44748.4</v>
      </c>
      <c r="W85" s="154">
        <v>18906.5</v>
      </c>
      <c r="X85" s="154">
        <v>15969.4</v>
      </c>
      <c r="Y85" s="154">
        <v>0</v>
      </c>
      <c r="Z85" s="154">
        <v>0</v>
      </c>
      <c r="AA85" s="154">
        <v>0</v>
      </c>
      <c r="AB85" s="154">
        <v>0</v>
      </c>
      <c r="AC85" s="154">
        <v>0</v>
      </c>
      <c r="AD85" s="154">
        <v>0</v>
      </c>
      <c r="AE85" s="154">
        <v>0</v>
      </c>
      <c r="AF85" s="154">
        <v>-324.12</v>
      </c>
      <c r="AG85" s="158"/>
      <c r="AH85" s="158"/>
      <c r="AI85" s="154">
        <v>7371.6</v>
      </c>
      <c r="AJ85" s="154">
        <v>10306.5</v>
      </c>
      <c r="AK85" s="156">
        <f t="shared" si="8"/>
        <v>18906.5</v>
      </c>
      <c r="AL85" s="156">
        <f t="shared" si="8"/>
        <v>15645.279999999999</v>
      </c>
    </row>
    <row r="86" spans="1:38" s="75" customFormat="1" ht="17.25" customHeight="1">
      <c r="A86" s="104">
        <v>76</v>
      </c>
      <c r="B86" s="151" t="s">
        <v>530</v>
      </c>
      <c r="C86" s="152">
        <f t="shared" si="6"/>
        <v>101166.29999999999</v>
      </c>
      <c r="D86" s="152">
        <f t="shared" si="6"/>
        <v>95847</v>
      </c>
      <c r="E86" s="153">
        <v>24874.6</v>
      </c>
      <c r="F86" s="153">
        <v>24667.4</v>
      </c>
      <c r="G86" s="153">
        <v>4056.7</v>
      </c>
      <c r="H86" s="153">
        <v>3549.8</v>
      </c>
      <c r="I86" s="153">
        <v>31855</v>
      </c>
      <c r="J86" s="153">
        <v>30174.8</v>
      </c>
      <c r="K86" s="153">
        <v>0</v>
      </c>
      <c r="L86" s="153">
        <v>0</v>
      </c>
      <c r="M86" s="153">
        <v>9600</v>
      </c>
      <c r="N86" s="153">
        <v>9600</v>
      </c>
      <c r="O86" s="154">
        <v>3500</v>
      </c>
      <c r="P86" s="154">
        <v>3483.3</v>
      </c>
      <c r="Q86" s="154">
        <v>4000</v>
      </c>
      <c r="R86" s="154">
        <v>3985</v>
      </c>
      <c r="S86" s="154">
        <v>3280</v>
      </c>
      <c r="T86" s="154">
        <v>550</v>
      </c>
      <c r="U86" s="90">
        <f t="shared" si="7"/>
        <v>81166.29999999999</v>
      </c>
      <c r="V86" s="90">
        <f t="shared" si="7"/>
        <v>76010.3</v>
      </c>
      <c r="W86" s="154">
        <v>20000</v>
      </c>
      <c r="X86" s="154">
        <v>19836.7</v>
      </c>
      <c r="Y86" s="154">
        <v>0</v>
      </c>
      <c r="Z86" s="154">
        <v>0</v>
      </c>
      <c r="AA86" s="154">
        <v>0</v>
      </c>
      <c r="AB86" s="154">
        <v>0</v>
      </c>
      <c r="AC86" s="154">
        <v>0</v>
      </c>
      <c r="AD86" s="154">
        <v>0</v>
      </c>
      <c r="AE86" s="154">
        <v>0</v>
      </c>
      <c r="AF86" s="154">
        <v>0</v>
      </c>
      <c r="AG86" s="158"/>
      <c r="AH86" s="158"/>
      <c r="AI86" s="154">
        <v>9841</v>
      </c>
      <c r="AJ86" s="154">
        <v>10000</v>
      </c>
      <c r="AK86" s="156">
        <f t="shared" si="8"/>
        <v>20000</v>
      </c>
      <c r="AL86" s="156">
        <f t="shared" si="8"/>
        <v>19836.7</v>
      </c>
    </row>
    <row r="87" spans="1:38" s="75" customFormat="1" ht="17.25" customHeight="1">
      <c r="A87" s="104">
        <v>77</v>
      </c>
      <c r="B87" s="151" t="s">
        <v>531</v>
      </c>
      <c r="C87" s="152">
        <f t="shared" si="6"/>
        <v>86367.79999999999</v>
      </c>
      <c r="D87" s="152">
        <f t="shared" si="6"/>
        <v>62542.399999999994</v>
      </c>
      <c r="E87" s="153">
        <v>39139</v>
      </c>
      <c r="F87" s="153">
        <v>38509.6</v>
      </c>
      <c r="G87" s="153">
        <v>7740.2</v>
      </c>
      <c r="H87" s="153">
        <v>7478.2</v>
      </c>
      <c r="I87" s="153">
        <v>12924</v>
      </c>
      <c r="J87" s="153">
        <v>11624.1</v>
      </c>
      <c r="K87" s="153">
        <v>0</v>
      </c>
      <c r="L87" s="153">
        <v>0</v>
      </c>
      <c r="M87" s="153">
        <v>0</v>
      </c>
      <c r="N87" s="153">
        <v>0</v>
      </c>
      <c r="O87" s="154">
        <v>0</v>
      </c>
      <c r="P87" s="154">
        <v>0</v>
      </c>
      <c r="Q87" s="154">
        <v>2340</v>
      </c>
      <c r="R87" s="154">
        <v>2340</v>
      </c>
      <c r="S87" s="154">
        <v>650</v>
      </c>
      <c r="T87" s="154">
        <v>439</v>
      </c>
      <c r="U87" s="90">
        <f t="shared" si="7"/>
        <v>62793.2</v>
      </c>
      <c r="V87" s="90">
        <f t="shared" si="7"/>
        <v>60390.899999999994</v>
      </c>
      <c r="W87" s="154">
        <v>23574.6</v>
      </c>
      <c r="X87" s="154">
        <v>2440.5</v>
      </c>
      <c r="Y87" s="154">
        <v>0</v>
      </c>
      <c r="Z87" s="154">
        <v>0</v>
      </c>
      <c r="AA87" s="154">
        <v>0</v>
      </c>
      <c r="AB87" s="154">
        <v>0</v>
      </c>
      <c r="AC87" s="154">
        <v>0</v>
      </c>
      <c r="AD87" s="154">
        <v>0</v>
      </c>
      <c r="AE87" s="154">
        <v>0</v>
      </c>
      <c r="AF87" s="154">
        <v>-289</v>
      </c>
      <c r="AG87" s="158"/>
      <c r="AH87" s="158"/>
      <c r="AI87" s="154">
        <v>2440</v>
      </c>
      <c r="AJ87" s="154">
        <v>8995.6</v>
      </c>
      <c r="AK87" s="156">
        <f t="shared" si="8"/>
        <v>23574.6</v>
      </c>
      <c r="AL87" s="156">
        <f t="shared" si="8"/>
        <v>2151.5</v>
      </c>
    </row>
    <row r="88" spans="1:38" s="75" customFormat="1" ht="17.25" customHeight="1">
      <c r="A88" s="104">
        <v>78</v>
      </c>
      <c r="B88" s="151" t="s">
        <v>532</v>
      </c>
      <c r="C88" s="152">
        <f t="shared" si="6"/>
        <v>46561.2</v>
      </c>
      <c r="D88" s="152">
        <f t="shared" si="6"/>
        <v>36239.6</v>
      </c>
      <c r="E88" s="153">
        <v>20538</v>
      </c>
      <c r="F88" s="153">
        <v>18639.6</v>
      </c>
      <c r="G88" s="153">
        <v>4091.2</v>
      </c>
      <c r="H88" s="153">
        <v>3779.1</v>
      </c>
      <c r="I88" s="153">
        <v>12958</v>
      </c>
      <c r="J88" s="153">
        <v>5670.5</v>
      </c>
      <c r="K88" s="153">
        <v>0</v>
      </c>
      <c r="L88" s="153">
        <v>0</v>
      </c>
      <c r="M88" s="153">
        <v>0</v>
      </c>
      <c r="N88" s="153">
        <v>0</v>
      </c>
      <c r="O88" s="154">
        <v>0</v>
      </c>
      <c r="P88" s="154">
        <v>0</v>
      </c>
      <c r="Q88" s="154">
        <v>2300</v>
      </c>
      <c r="R88" s="154">
        <v>2300</v>
      </c>
      <c r="S88" s="154">
        <v>524</v>
      </c>
      <c r="T88" s="154">
        <v>15</v>
      </c>
      <c r="U88" s="90">
        <f t="shared" si="7"/>
        <v>40411.2</v>
      </c>
      <c r="V88" s="90">
        <f t="shared" si="7"/>
        <v>30404.199999999997</v>
      </c>
      <c r="W88" s="154">
        <v>6230</v>
      </c>
      <c r="X88" s="154">
        <v>5835.4</v>
      </c>
      <c r="Y88" s="154">
        <v>0</v>
      </c>
      <c r="Z88" s="154">
        <v>0</v>
      </c>
      <c r="AA88" s="154">
        <v>0</v>
      </c>
      <c r="AB88" s="154">
        <v>0</v>
      </c>
      <c r="AC88" s="154">
        <v>0</v>
      </c>
      <c r="AD88" s="154">
        <v>0</v>
      </c>
      <c r="AE88" s="154">
        <v>-80</v>
      </c>
      <c r="AF88" s="154">
        <v>0</v>
      </c>
      <c r="AG88" s="158"/>
      <c r="AH88" s="158"/>
      <c r="AI88" s="154">
        <v>3000</v>
      </c>
      <c r="AJ88" s="154">
        <v>3000</v>
      </c>
      <c r="AK88" s="156">
        <f t="shared" si="8"/>
        <v>6150</v>
      </c>
      <c r="AL88" s="156">
        <f t="shared" si="8"/>
        <v>5835.4</v>
      </c>
    </row>
    <row r="89" spans="1:38" s="75" customFormat="1" ht="17.25" customHeight="1">
      <c r="A89" s="104">
        <v>79</v>
      </c>
      <c r="B89" s="151" t="s">
        <v>533</v>
      </c>
      <c r="C89" s="152">
        <f t="shared" si="6"/>
        <v>74097.00039999999</v>
      </c>
      <c r="D89" s="152">
        <f t="shared" si="6"/>
        <v>62674.4</v>
      </c>
      <c r="E89" s="153">
        <v>21437.2</v>
      </c>
      <c r="F89" s="153">
        <v>21012.6</v>
      </c>
      <c r="G89" s="153">
        <v>4676.6</v>
      </c>
      <c r="H89" s="153">
        <v>4219</v>
      </c>
      <c r="I89" s="153">
        <v>19526.2002</v>
      </c>
      <c r="J89" s="153">
        <v>16528.5</v>
      </c>
      <c r="K89" s="153">
        <v>0</v>
      </c>
      <c r="L89" s="153">
        <v>0</v>
      </c>
      <c r="M89" s="153">
        <v>0</v>
      </c>
      <c r="N89" s="153">
        <v>0</v>
      </c>
      <c r="O89" s="154">
        <v>5297</v>
      </c>
      <c r="P89" s="154">
        <v>0</v>
      </c>
      <c r="Q89" s="154">
        <v>1360</v>
      </c>
      <c r="R89" s="154">
        <v>1205</v>
      </c>
      <c r="S89" s="154">
        <v>1370</v>
      </c>
      <c r="T89" s="154">
        <v>388.5</v>
      </c>
      <c r="U89" s="90">
        <f t="shared" si="7"/>
        <v>53667.000199999995</v>
      </c>
      <c r="V89" s="90">
        <f t="shared" si="7"/>
        <v>43353.6</v>
      </c>
      <c r="W89" s="154">
        <v>20837.0003</v>
      </c>
      <c r="X89" s="154">
        <v>20320.2</v>
      </c>
      <c r="Y89" s="154">
        <v>0</v>
      </c>
      <c r="Z89" s="154">
        <v>0</v>
      </c>
      <c r="AA89" s="154">
        <v>0</v>
      </c>
      <c r="AB89" s="154">
        <v>0</v>
      </c>
      <c r="AC89" s="154">
        <v>0</v>
      </c>
      <c r="AD89" s="154">
        <v>0</v>
      </c>
      <c r="AE89" s="154">
        <v>-407.0001</v>
      </c>
      <c r="AF89" s="154">
        <v>-999.4</v>
      </c>
      <c r="AG89" s="158"/>
      <c r="AH89" s="158"/>
      <c r="AI89" s="154">
        <v>8561.9</v>
      </c>
      <c r="AJ89" s="154">
        <v>8600</v>
      </c>
      <c r="AK89" s="156">
        <f t="shared" si="8"/>
        <v>20430.000200000002</v>
      </c>
      <c r="AL89" s="156">
        <f t="shared" si="8"/>
        <v>19320.800000000003</v>
      </c>
    </row>
    <row r="90" spans="1:38" s="75" customFormat="1" ht="17.25" customHeight="1">
      <c r="A90" s="104">
        <v>80</v>
      </c>
      <c r="B90" s="151" t="s">
        <v>534</v>
      </c>
      <c r="C90" s="152">
        <f t="shared" si="6"/>
        <v>86306.59999999999</v>
      </c>
      <c r="D90" s="152">
        <f t="shared" si="6"/>
        <v>72359</v>
      </c>
      <c r="E90" s="153">
        <v>42226.7</v>
      </c>
      <c r="F90" s="153">
        <v>41827.2</v>
      </c>
      <c r="G90" s="153">
        <v>7772.4</v>
      </c>
      <c r="H90" s="153">
        <v>7722.1</v>
      </c>
      <c r="I90" s="153">
        <v>17741.6</v>
      </c>
      <c r="J90" s="153">
        <v>11658.7</v>
      </c>
      <c r="K90" s="153">
        <v>0</v>
      </c>
      <c r="L90" s="153">
        <v>0</v>
      </c>
      <c r="M90" s="153">
        <v>0</v>
      </c>
      <c r="N90" s="153">
        <v>0</v>
      </c>
      <c r="O90" s="154">
        <v>0</v>
      </c>
      <c r="P90" s="154">
        <v>0</v>
      </c>
      <c r="Q90" s="154">
        <v>5500</v>
      </c>
      <c r="R90" s="154">
        <v>5500</v>
      </c>
      <c r="S90" s="154">
        <v>1695</v>
      </c>
      <c r="T90" s="154">
        <v>450</v>
      </c>
      <c r="U90" s="90">
        <f t="shared" si="7"/>
        <v>74935.7</v>
      </c>
      <c r="V90" s="90">
        <f t="shared" si="7"/>
        <v>67158</v>
      </c>
      <c r="W90" s="154">
        <v>19175.6</v>
      </c>
      <c r="X90" s="154">
        <v>13744.4</v>
      </c>
      <c r="Y90" s="154">
        <v>0</v>
      </c>
      <c r="Z90" s="154">
        <v>0</v>
      </c>
      <c r="AA90" s="154">
        <v>0</v>
      </c>
      <c r="AB90" s="154">
        <v>0</v>
      </c>
      <c r="AC90" s="154">
        <v>-785</v>
      </c>
      <c r="AD90" s="154">
        <v>-785</v>
      </c>
      <c r="AE90" s="154">
        <v>-7019.7</v>
      </c>
      <c r="AF90" s="154">
        <v>-7758.4</v>
      </c>
      <c r="AG90" s="158"/>
      <c r="AH90" s="158"/>
      <c r="AI90" s="154">
        <v>9244</v>
      </c>
      <c r="AJ90" s="154">
        <v>10000</v>
      </c>
      <c r="AK90" s="156">
        <f t="shared" si="8"/>
        <v>11370.899999999998</v>
      </c>
      <c r="AL90" s="156">
        <f t="shared" si="8"/>
        <v>5201</v>
      </c>
    </row>
    <row r="91" spans="1:39" s="75" customFormat="1" ht="17.25" customHeight="1">
      <c r="A91" s="104">
        <v>81</v>
      </c>
      <c r="B91" s="151" t="s">
        <v>535</v>
      </c>
      <c r="C91" s="152">
        <f t="shared" si="6"/>
        <v>382038.6</v>
      </c>
      <c r="D91" s="152">
        <f t="shared" si="6"/>
        <v>370272.63999999996</v>
      </c>
      <c r="E91" s="153">
        <v>45536</v>
      </c>
      <c r="F91" s="153">
        <v>45451</v>
      </c>
      <c r="G91" s="153">
        <v>9373</v>
      </c>
      <c r="H91" s="153">
        <v>9306</v>
      </c>
      <c r="I91" s="153">
        <v>79214.2</v>
      </c>
      <c r="J91" s="153">
        <v>76032.9</v>
      </c>
      <c r="K91" s="153">
        <v>0</v>
      </c>
      <c r="L91" s="153">
        <v>0</v>
      </c>
      <c r="M91" s="153">
        <v>161535</v>
      </c>
      <c r="N91" s="153">
        <v>153735</v>
      </c>
      <c r="O91" s="154">
        <v>15827.4</v>
      </c>
      <c r="P91" s="154">
        <v>15827.4</v>
      </c>
      <c r="Q91" s="154">
        <v>12782</v>
      </c>
      <c r="R91" s="154">
        <v>12489</v>
      </c>
      <c r="S91" s="154">
        <v>2640</v>
      </c>
      <c r="T91" s="154">
        <v>2500.8</v>
      </c>
      <c r="U91" s="90">
        <f t="shared" si="7"/>
        <v>326907.6</v>
      </c>
      <c r="V91" s="90">
        <f t="shared" si="7"/>
        <v>315342.1</v>
      </c>
      <c r="W91" s="154">
        <v>95349.9</v>
      </c>
      <c r="X91" s="154">
        <v>72437.2</v>
      </c>
      <c r="Y91" s="154">
        <v>0</v>
      </c>
      <c r="Z91" s="154">
        <v>0</v>
      </c>
      <c r="AA91" s="154">
        <v>0</v>
      </c>
      <c r="AB91" s="154">
        <v>0</v>
      </c>
      <c r="AC91" s="154">
        <v>0</v>
      </c>
      <c r="AD91" s="154">
        <v>0</v>
      </c>
      <c r="AE91" s="154">
        <v>-40218.9</v>
      </c>
      <c r="AF91" s="154">
        <v>-17506.66</v>
      </c>
      <c r="AG91" s="158"/>
      <c r="AH91" s="158"/>
      <c r="AI91" s="154">
        <v>48414.7</v>
      </c>
      <c r="AJ91" s="154">
        <v>48566.3</v>
      </c>
      <c r="AK91" s="156">
        <f t="shared" si="8"/>
        <v>55130.999999999985</v>
      </c>
      <c r="AL91" s="156">
        <f t="shared" si="8"/>
        <v>54930.53999999999</v>
      </c>
      <c r="AM91" s="41" t="e">
        <f>#REF!-'[2]GORC Cax'!#REF!</f>
        <v>#REF!</v>
      </c>
    </row>
    <row r="92" spans="1:38" s="75" customFormat="1" ht="17.25" customHeight="1">
      <c r="A92" s="104">
        <v>82</v>
      </c>
      <c r="B92" s="151" t="s">
        <v>536</v>
      </c>
      <c r="C92" s="152">
        <f t="shared" si="6"/>
        <v>13861.08</v>
      </c>
      <c r="D92" s="152">
        <f t="shared" si="6"/>
        <v>8778.63</v>
      </c>
      <c r="E92" s="153">
        <v>5292.8</v>
      </c>
      <c r="F92" s="153">
        <v>5179.9</v>
      </c>
      <c r="G92" s="153">
        <v>1005</v>
      </c>
      <c r="H92" s="153">
        <v>988.2</v>
      </c>
      <c r="I92" s="153">
        <v>4715</v>
      </c>
      <c r="J92" s="153">
        <v>4487.8</v>
      </c>
      <c r="K92" s="153">
        <v>0</v>
      </c>
      <c r="L92" s="153">
        <v>0</v>
      </c>
      <c r="M92" s="153">
        <v>100</v>
      </c>
      <c r="N92" s="153">
        <v>100</v>
      </c>
      <c r="O92" s="154">
        <v>0</v>
      </c>
      <c r="P92" s="154">
        <v>0</v>
      </c>
      <c r="Q92" s="154">
        <v>787</v>
      </c>
      <c r="R92" s="154">
        <v>783</v>
      </c>
      <c r="S92" s="154">
        <v>160</v>
      </c>
      <c r="T92" s="154">
        <v>145.5</v>
      </c>
      <c r="U92" s="90">
        <f t="shared" si="7"/>
        <v>12059.8</v>
      </c>
      <c r="V92" s="90">
        <f t="shared" si="7"/>
        <v>11684.4</v>
      </c>
      <c r="W92" s="154">
        <v>3101.28</v>
      </c>
      <c r="X92" s="154">
        <v>2881</v>
      </c>
      <c r="Y92" s="154">
        <v>0</v>
      </c>
      <c r="Z92" s="154">
        <v>0</v>
      </c>
      <c r="AA92" s="154">
        <v>0</v>
      </c>
      <c r="AB92" s="154">
        <v>0</v>
      </c>
      <c r="AC92" s="154">
        <v>0</v>
      </c>
      <c r="AD92" s="154">
        <v>0</v>
      </c>
      <c r="AE92" s="154">
        <v>-1300</v>
      </c>
      <c r="AF92" s="154">
        <v>-5786.77</v>
      </c>
      <c r="AG92" s="158"/>
      <c r="AH92" s="158"/>
      <c r="AI92" s="154">
        <v>0</v>
      </c>
      <c r="AJ92" s="154">
        <v>0</v>
      </c>
      <c r="AK92" s="156">
        <f t="shared" si="8"/>
        <v>1801.2800000000002</v>
      </c>
      <c r="AL92" s="156">
        <f t="shared" si="8"/>
        <v>-2905.7700000000004</v>
      </c>
    </row>
    <row r="93" spans="1:38" s="75" customFormat="1" ht="17.25" customHeight="1">
      <c r="A93" s="104">
        <v>83</v>
      </c>
      <c r="B93" s="151" t="s">
        <v>537</v>
      </c>
      <c r="C93" s="152">
        <f t="shared" si="6"/>
        <v>32114.766</v>
      </c>
      <c r="D93" s="152">
        <f t="shared" si="6"/>
        <v>27485.94</v>
      </c>
      <c r="E93" s="153">
        <v>17393</v>
      </c>
      <c r="F93" s="153">
        <v>15715.1</v>
      </c>
      <c r="G93" s="153">
        <v>3610</v>
      </c>
      <c r="H93" s="153">
        <v>3417.6</v>
      </c>
      <c r="I93" s="153">
        <v>6637.8</v>
      </c>
      <c r="J93" s="153">
        <v>5849.7</v>
      </c>
      <c r="K93" s="153">
        <v>0</v>
      </c>
      <c r="L93" s="153">
        <v>0</v>
      </c>
      <c r="M93" s="153">
        <v>0</v>
      </c>
      <c r="N93" s="153">
        <v>0</v>
      </c>
      <c r="O93" s="154">
        <v>0</v>
      </c>
      <c r="P93" s="154">
        <v>0</v>
      </c>
      <c r="Q93" s="154">
        <v>1100</v>
      </c>
      <c r="R93" s="154">
        <v>1055</v>
      </c>
      <c r="S93" s="154">
        <v>472</v>
      </c>
      <c r="T93" s="154">
        <v>438.1</v>
      </c>
      <c r="U93" s="90">
        <f t="shared" si="7"/>
        <v>29212.8</v>
      </c>
      <c r="V93" s="90">
        <f t="shared" si="7"/>
        <v>26475.5</v>
      </c>
      <c r="W93" s="154">
        <v>9901.966</v>
      </c>
      <c r="X93" s="154">
        <v>1610</v>
      </c>
      <c r="Y93" s="154">
        <v>0</v>
      </c>
      <c r="Z93" s="154">
        <v>0</v>
      </c>
      <c r="AA93" s="154">
        <v>0</v>
      </c>
      <c r="AB93" s="154">
        <v>0</v>
      </c>
      <c r="AC93" s="154">
        <v>0</v>
      </c>
      <c r="AD93" s="154">
        <v>0</v>
      </c>
      <c r="AE93" s="154">
        <v>-7000</v>
      </c>
      <c r="AF93" s="154">
        <v>-599.56</v>
      </c>
      <c r="AG93" s="158"/>
      <c r="AH93" s="158"/>
      <c r="AI93" s="154">
        <v>1010</v>
      </c>
      <c r="AJ93" s="154">
        <v>2900</v>
      </c>
      <c r="AK93" s="156">
        <f t="shared" si="8"/>
        <v>2901.9660000000003</v>
      </c>
      <c r="AL93" s="156">
        <f t="shared" si="8"/>
        <v>1010.44</v>
      </c>
    </row>
    <row r="94" spans="1:38" s="75" customFormat="1" ht="17.25" customHeight="1">
      <c r="A94" s="104">
        <v>84</v>
      </c>
      <c r="B94" s="151" t="s">
        <v>538</v>
      </c>
      <c r="C94" s="152">
        <f t="shared" si="6"/>
        <v>9742.255000000001</v>
      </c>
      <c r="D94" s="152">
        <f t="shared" si="6"/>
        <v>5991.0999999999985</v>
      </c>
      <c r="E94" s="153">
        <v>5956.7</v>
      </c>
      <c r="F94" s="153">
        <v>5956.7</v>
      </c>
      <c r="G94" s="153">
        <v>835</v>
      </c>
      <c r="H94" s="153">
        <v>835</v>
      </c>
      <c r="I94" s="153">
        <v>2332.5</v>
      </c>
      <c r="J94" s="153">
        <v>2254.8</v>
      </c>
      <c r="K94" s="153">
        <v>0</v>
      </c>
      <c r="L94" s="153">
        <v>0</v>
      </c>
      <c r="M94" s="153">
        <v>0</v>
      </c>
      <c r="N94" s="153">
        <v>0</v>
      </c>
      <c r="O94" s="154">
        <v>0</v>
      </c>
      <c r="P94" s="154">
        <v>0</v>
      </c>
      <c r="Q94" s="154">
        <v>150</v>
      </c>
      <c r="R94" s="154">
        <v>150</v>
      </c>
      <c r="S94" s="154">
        <v>456</v>
      </c>
      <c r="T94" s="154">
        <v>448.5</v>
      </c>
      <c r="U94" s="90">
        <f t="shared" si="7"/>
        <v>9730.2</v>
      </c>
      <c r="V94" s="90">
        <f t="shared" si="7"/>
        <v>9645</v>
      </c>
      <c r="W94" s="154">
        <v>52338.055</v>
      </c>
      <c r="X94" s="154">
        <v>48672.1</v>
      </c>
      <c r="Y94" s="154">
        <v>0</v>
      </c>
      <c r="Z94" s="154">
        <v>0</v>
      </c>
      <c r="AA94" s="154">
        <v>0</v>
      </c>
      <c r="AB94" s="154">
        <v>0</v>
      </c>
      <c r="AC94" s="154">
        <v>0</v>
      </c>
      <c r="AD94" s="154">
        <v>0</v>
      </c>
      <c r="AE94" s="154">
        <v>-52326</v>
      </c>
      <c r="AF94" s="154">
        <v>-52326</v>
      </c>
      <c r="AG94" s="158"/>
      <c r="AH94" s="158"/>
      <c r="AI94" s="154">
        <v>0</v>
      </c>
      <c r="AJ94" s="154">
        <v>0</v>
      </c>
      <c r="AK94" s="156">
        <f t="shared" si="8"/>
        <v>12.055000000000291</v>
      </c>
      <c r="AL94" s="156">
        <f t="shared" si="8"/>
        <v>-3653.9000000000015</v>
      </c>
    </row>
    <row r="95" spans="1:38" s="75" customFormat="1" ht="17.25" customHeight="1">
      <c r="A95" s="104">
        <v>85</v>
      </c>
      <c r="B95" s="151" t="s">
        <v>539</v>
      </c>
      <c r="C95" s="152">
        <f t="shared" si="6"/>
        <v>33858.6</v>
      </c>
      <c r="D95" s="152">
        <f t="shared" si="6"/>
        <v>33066.55</v>
      </c>
      <c r="E95" s="153">
        <v>17395.5</v>
      </c>
      <c r="F95" s="153">
        <v>17255</v>
      </c>
      <c r="G95" s="153">
        <v>3190.6</v>
      </c>
      <c r="H95" s="153">
        <v>3190.2</v>
      </c>
      <c r="I95" s="153">
        <v>1180</v>
      </c>
      <c r="J95" s="153">
        <v>1020.8</v>
      </c>
      <c r="K95" s="153">
        <v>0</v>
      </c>
      <c r="L95" s="153">
        <v>0</v>
      </c>
      <c r="M95" s="153">
        <v>300</v>
      </c>
      <c r="N95" s="153">
        <v>300</v>
      </c>
      <c r="O95" s="154">
        <v>0</v>
      </c>
      <c r="P95" s="154">
        <v>0</v>
      </c>
      <c r="Q95" s="154">
        <v>2280</v>
      </c>
      <c r="R95" s="154">
        <v>2180</v>
      </c>
      <c r="S95" s="154">
        <v>350</v>
      </c>
      <c r="T95" s="154">
        <v>280</v>
      </c>
      <c r="U95" s="90">
        <f t="shared" si="7"/>
        <v>24696.1</v>
      </c>
      <c r="V95" s="90">
        <f t="shared" si="7"/>
        <v>24226</v>
      </c>
      <c r="W95" s="154">
        <v>10462.5</v>
      </c>
      <c r="X95" s="154">
        <v>10122.6</v>
      </c>
      <c r="Y95" s="154">
        <v>0</v>
      </c>
      <c r="Z95" s="154">
        <v>0</v>
      </c>
      <c r="AA95" s="154">
        <v>0</v>
      </c>
      <c r="AB95" s="154">
        <v>0</v>
      </c>
      <c r="AC95" s="154">
        <v>0</v>
      </c>
      <c r="AD95" s="154">
        <v>0</v>
      </c>
      <c r="AE95" s="154">
        <v>-1300</v>
      </c>
      <c r="AF95" s="154">
        <v>-1282.05</v>
      </c>
      <c r="AG95" s="158"/>
      <c r="AH95" s="158"/>
      <c r="AI95" s="154">
        <v>1648</v>
      </c>
      <c r="AJ95" s="154">
        <v>1970</v>
      </c>
      <c r="AK95" s="156">
        <f t="shared" si="8"/>
        <v>9162.5</v>
      </c>
      <c r="AL95" s="156">
        <f t="shared" si="8"/>
        <v>8840.550000000001</v>
      </c>
    </row>
    <row r="96" spans="1:38" s="75" customFormat="1" ht="17.25" customHeight="1">
      <c r="A96" s="104">
        <v>86</v>
      </c>
      <c r="B96" s="151" t="s">
        <v>540</v>
      </c>
      <c r="C96" s="152">
        <f t="shared" si="6"/>
        <v>45529.138</v>
      </c>
      <c r="D96" s="152">
        <f t="shared" si="6"/>
        <v>25134.8</v>
      </c>
      <c r="E96" s="153">
        <v>16780</v>
      </c>
      <c r="F96" s="153">
        <v>14124.5</v>
      </c>
      <c r="G96" s="153">
        <v>3495</v>
      </c>
      <c r="H96" s="153">
        <v>2860.5</v>
      </c>
      <c r="I96" s="153">
        <v>11895</v>
      </c>
      <c r="J96" s="153">
        <v>5551.1</v>
      </c>
      <c r="K96" s="153">
        <v>0</v>
      </c>
      <c r="L96" s="153">
        <v>0</v>
      </c>
      <c r="M96" s="153">
        <v>0</v>
      </c>
      <c r="N96" s="153">
        <v>0</v>
      </c>
      <c r="O96" s="154">
        <v>0</v>
      </c>
      <c r="P96" s="154">
        <v>0</v>
      </c>
      <c r="Q96" s="154">
        <v>2500</v>
      </c>
      <c r="R96" s="154">
        <v>1850</v>
      </c>
      <c r="S96" s="154">
        <v>2109.138</v>
      </c>
      <c r="T96" s="154">
        <v>428.7</v>
      </c>
      <c r="U96" s="90">
        <f t="shared" si="7"/>
        <v>36779.138</v>
      </c>
      <c r="V96" s="90">
        <f t="shared" si="7"/>
        <v>24814.8</v>
      </c>
      <c r="W96" s="154">
        <v>8750</v>
      </c>
      <c r="X96" s="154">
        <v>320</v>
      </c>
      <c r="Y96" s="154">
        <v>0</v>
      </c>
      <c r="Z96" s="154">
        <v>0</v>
      </c>
      <c r="AA96" s="154">
        <v>0</v>
      </c>
      <c r="AB96" s="154">
        <v>0</v>
      </c>
      <c r="AC96" s="154">
        <v>0</v>
      </c>
      <c r="AD96" s="154">
        <v>0</v>
      </c>
      <c r="AE96" s="154">
        <v>0</v>
      </c>
      <c r="AF96" s="154">
        <v>0</v>
      </c>
      <c r="AG96" s="158"/>
      <c r="AH96" s="158"/>
      <c r="AI96" s="154">
        <v>0</v>
      </c>
      <c r="AJ96" s="154">
        <v>7270.862</v>
      </c>
      <c r="AK96" s="156">
        <f t="shared" si="8"/>
        <v>8750</v>
      </c>
      <c r="AL96" s="156">
        <f t="shared" si="8"/>
        <v>320</v>
      </c>
    </row>
    <row r="97" spans="1:38" s="75" customFormat="1" ht="17.25" customHeight="1">
      <c r="A97" s="104">
        <v>87</v>
      </c>
      <c r="B97" s="151" t="s">
        <v>541</v>
      </c>
      <c r="C97" s="152">
        <f t="shared" si="6"/>
        <v>8830.6</v>
      </c>
      <c r="D97" s="152">
        <f t="shared" si="6"/>
        <v>7629.9</v>
      </c>
      <c r="E97" s="153">
        <v>6547.3</v>
      </c>
      <c r="F97" s="153">
        <v>6262.5</v>
      </c>
      <c r="G97" s="153">
        <v>985.2</v>
      </c>
      <c r="H97" s="153">
        <v>921</v>
      </c>
      <c r="I97" s="153">
        <v>296.7</v>
      </c>
      <c r="J97" s="153">
        <v>249.4</v>
      </c>
      <c r="K97" s="153">
        <v>0</v>
      </c>
      <c r="L97" s="153">
        <v>0</v>
      </c>
      <c r="M97" s="153">
        <v>0</v>
      </c>
      <c r="N97" s="153">
        <v>0</v>
      </c>
      <c r="O97" s="154">
        <v>0</v>
      </c>
      <c r="P97" s="154">
        <v>0</v>
      </c>
      <c r="Q97" s="154">
        <v>50</v>
      </c>
      <c r="R97" s="154">
        <v>50</v>
      </c>
      <c r="S97" s="154">
        <v>261.4</v>
      </c>
      <c r="T97" s="154">
        <v>57</v>
      </c>
      <c r="U97" s="90">
        <f t="shared" si="7"/>
        <v>8140.6</v>
      </c>
      <c r="V97" s="90">
        <f t="shared" si="7"/>
        <v>7539.9</v>
      </c>
      <c r="W97" s="154">
        <v>690</v>
      </c>
      <c r="X97" s="154">
        <v>90</v>
      </c>
      <c r="Y97" s="154">
        <v>0</v>
      </c>
      <c r="Z97" s="154">
        <v>0</v>
      </c>
      <c r="AA97" s="154">
        <v>0</v>
      </c>
      <c r="AB97" s="154">
        <v>0</v>
      </c>
      <c r="AC97" s="154">
        <v>0</v>
      </c>
      <c r="AD97" s="154">
        <v>0</v>
      </c>
      <c r="AE97" s="154">
        <v>0</v>
      </c>
      <c r="AF97" s="154">
        <v>0</v>
      </c>
      <c r="AG97" s="158"/>
      <c r="AH97" s="158"/>
      <c r="AI97" s="154">
        <v>0</v>
      </c>
      <c r="AJ97" s="154">
        <v>600</v>
      </c>
      <c r="AK97" s="156">
        <f t="shared" si="8"/>
        <v>690</v>
      </c>
      <c r="AL97" s="156">
        <f t="shared" si="8"/>
        <v>90</v>
      </c>
    </row>
    <row r="98" spans="1:38" s="75" customFormat="1" ht="17.25" customHeight="1">
      <c r="A98" s="104">
        <v>88</v>
      </c>
      <c r="B98" s="160" t="s">
        <v>542</v>
      </c>
      <c r="C98" s="152">
        <f t="shared" si="6"/>
        <v>24494.9026</v>
      </c>
      <c r="D98" s="152">
        <f t="shared" si="6"/>
        <v>18765.899999999998</v>
      </c>
      <c r="E98" s="153">
        <v>14180</v>
      </c>
      <c r="F98" s="153">
        <v>14173.6</v>
      </c>
      <c r="G98" s="153">
        <v>2858</v>
      </c>
      <c r="H98" s="153">
        <v>2858</v>
      </c>
      <c r="I98" s="153">
        <v>2530</v>
      </c>
      <c r="J98" s="153">
        <v>2079.4</v>
      </c>
      <c r="K98" s="153">
        <v>0</v>
      </c>
      <c r="L98" s="153">
        <v>0</v>
      </c>
      <c r="M98" s="153">
        <v>100</v>
      </c>
      <c r="N98" s="153">
        <v>100</v>
      </c>
      <c r="O98" s="154">
        <v>0</v>
      </c>
      <c r="P98" s="154">
        <v>0</v>
      </c>
      <c r="Q98" s="154">
        <v>1600</v>
      </c>
      <c r="R98" s="154">
        <v>1560</v>
      </c>
      <c r="S98" s="154">
        <v>190</v>
      </c>
      <c r="T98" s="154">
        <v>158.8</v>
      </c>
      <c r="U98" s="90">
        <f t="shared" si="7"/>
        <v>21458</v>
      </c>
      <c r="V98" s="90">
        <f t="shared" si="7"/>
        <v>20929.8</v>
      </c>
      <c r="W98" s="154">
        <v>16536.9026</v>
      </c>
      <c r="X98" s="154">
        <v>1694.5</v>
      </c>
      <c r="Y98" s="154">
        <v>0</v>
      </c>
      <c r="Z98" s="154">
        <v>0</v>
      </c>
      <c r="AA98" s="154">
        <v>0</v>
      </c>
      <c r="AB98" s="154">
        <v>0</v>
      </c>
      <c r="AC98" s="154">
        <v>0</v>
      </c>
      <c r="AD98" s="154">
        <v>0</v>
      </c>
      <c r="AE98" s="154">
        <v>-13500</v>
      </c>
      <c r="AF98" s="154">
        <v>-3858.4</v>
      </c>
      <c r="AG98" s="158"/>
      <c r="AH98" s="158"/>
      <c r="AI98" s="154">
        <v>0</v>
      </c>
      <c r="AJ98" s="154">
        <v>0</v>
      </c>
      <c r="AK98" s="156">
        <f t="shared" si="8"/>
        <v>3036.9026000000013</v>
      </c>
      <c r="AL98" s="156">
        <f t="shared" si="8"/>
        <v>-2163.9</v>
      </c>
    </row>
    <row r="99" spans="1:38" s="75" customFormat="1" ht="17.25" customHeight="1">
      <c r="A99" s="104">
        <v>89</v>
      </c>
      <c r="B99" s="161" t="s">
        <v>543</v>
      </c>
      <c r="C99" s="152">
        <f t="shared" si="6"/>
        <v>81362.70000000001</v>
      </c>
      <c r="D99" s="152">
        <f t="shared" si="6"/>
        <v>46836.9</v>
      </c>
      <c r="E99" s="153">
        <v>22922.4</v>
      </c>
      <c r="F99" s="153">
        <v>22468.9</v>
      </c>
      <c r="G99" s="153">
        <v>4242.8</v>
      </c>
      <c r="H99" s="153">
        <v>4191.1</v>
      </c>
      <c r="I99" s="153">
        <v>22600</v>
      </c>
      <c r="J99" s="153">
        <v>15829.4</v>
      </c>
      <c r="K99" s="153">
        <v>0</v>
      </c>
      <c r="L99" s="153">
        <v>0</v>
      </c>
      <c r="M99" s="153">
        <v>0</v>
      </c>
      <c r="N99" s="153">
        <v>0</v>
      </c>
      <c r="O99" s="154">
        <v>0</v>
      </c>
      <c r="P99" s="154">
        <v>0</v>
      </c>
      <c r="Q99" s="154">
        <v>5251.9</v>
      </c>
      <c r="R99" s="154">
        <v>5130</v>
      </c>
      <c r="S99" s="154">
        <v>1650</v>
      </c>
      <c r="T99" s="154">
        <v>600</v>
      </c>
      <c r="U99" s="90">
        <f t="shared" si="7"/>
        <v>56667.100000000006</v>
      </c>
      <c r="V99" s="90">
        <f t="shared" si="7"/>
        <v>48219.4</v>
      </c>
      <c r="W99" s="154">
        <v>26695.6</v>
      </c>
      <c r="X99" s="154">
        <v>12210</v>
      </c>
      <c r="Y99" s="154">
        <v>0</v>
      </c>
      <c r="Z99" s="154">
        <v>0</v>
      </c>
      <c r="AA99" s="154">
        <v>0</v>
      </c>
      <c r="AB99" s="154">
        <v>0</v>
      </c>
      <c r="AC99" s="154">
        <v>0</v>
      </c>
      <c r="AD99" s="154">
        <v>0</v>
      </c>
      <c r="AE99" s="154">
        <v>-2000</v>
      </c>
      <c r="AF99" s="154">
        <v>-13592.5</v>
      </c>
      <c r="AG99" s="158"/>
      <c r="AH99" s="158"/>
      <c r="AI99" s="154">
        <v>0</v>
      </c>
      <c r="AJ99" s="154">
        <v>10000</v>
      </c>
      <c r="AK99" s="156">
        <f t="shared" si="8"/>
        <v>24695.6</v>
      </c>
      <c r="AL99" s="156">
        <f t="shared" si="8"/>
        <v>-1382.5</v>
      </c>
    </row>
    <row r="100" spans="1:38" s="75" customFormat="1" ht="17.25" customHeight="1">
      <c r="A100" s="104">
        <v>90</v>
      </c>
      <c r="B100" s="161" t="s">
        <v>544</v>
      </c>
      <c r="C100" s="152">
        <f t="shared" si="6"/>
        <v>90943.1</v>
      </c>
      <c r="D100" s="152">
        <f t="shared" si="6"/>
        <v>84213.72</v>
      </c>
      <c r="E100" s="153">
        <v>28482.8</v>
      </c>
      <c r="F100" s="153">
        <v>28476.5</v>
      </c>
      <c r="G100" s="153">
        <v>5620</v>
      </c>
      <c r="H100" s="153">
        <v>5184.6</v>
      </c>
      <c r="I100" s="153">
        <v>16937</v>
      </c>
      <c r="J100" s="153">
        <v>13875.7</v>
      </c>
      <c r="K100" s="153">
        <v>0</v>
      </c>
      <c r="L100" s="153">
        <v>0</v>
      </c>
      <c r="M100" s="153">
        <v>1200</v>
      </c>
      <c r="N100" s="153">
        <v>500</v>
      </c>
      <c r="O100" s="154">
        <v>0</v>
      </c>
      <c r="P100" s="154">
        <v>0</v>
      </c>
      <c r="Q100" s="154">
        <v>8900</v>
      </c>
      <c r="R100" s="154">
        <v>7468</v>
      </c>
      <c r="S100" s="154">
        <v>2501</v>
      </c>
      <c r="T100" s="154">
        <v>2228</v>
      </c>
      <c r="U100" s="90">
        <f t="shared" si="7"/>
        <v>63640.8</v>
      </c>
      <c r="V100" s="90">
        <f t="shared" si="7"/>
        <v>57732.8</v>
      </c>
      <c r="W100" s="154">
        <v>30302.3</v>
      </c>
      <c r="X100" s="154">
        <v>29892.5</v>
      </c>
      <c r="Y100" s="154">
        <v>0</v>
      </c>
      <c r="Z100" s="154">
        <v>0</v>
      </c>
      <c r="AA100" s="154">
        <v>0</v>
      </c>
      <c r="AB100" s="154">
        <v>0</v>
      </c>
      <c r="AC100" s="154">
        <v>0</v>
      </c>
      <c r="AD100" s="154">
        <v>0</v>
      </c>
      <c r="AE100" s="154">
        <v>-3000</v>
      </c>
      <c r="AF100" s="154">
        <v>-3411.58</v>
      </c>
      <c r="AG100" s="158"/>
      <c r="AH100" s="158"/>
      <c r="AI100" s="154">
        <v>16179.2</v>
      </c>
      <c r="AJ100" s="154">
        <v>17000</v>
      </c>
      <c r="AK100" s="156">
        <f t="shared" si="8"/>
        <v>27302.3</v>
      </c>
      <c r="AL100" s="156">
        <f t="shared" si="8"/>
        <v>26480.92</v>
      </c>
    </row>
    <row r="101" spans="1:38" s="75" customFormat="1" ht="17.25" customHeight="1">
      <c r="A101" s="104">
        <v>91</v>
      </c>
      <c r="B101" s="161" t="s">
        <v>545</v>
      </c>
      <c r="C101" s="152">
        <f t="shared" si="6"/>
        <v>30569</v>
      </c>
      <c r="D101" s="152">
        <f t="shared" si="6"/>
        <v>29195.800000000003</v>
      </c>
      <c r="E101" s="153">
        <v>14095</v>
      </c>
      <c r="F101" s="153">
        <v>13755.5</v>
      </c>
      <c r="G101" s="153">
        <v>2750</v>
      </c>
      <c r="H101" s="153">
        <v>2560</v>
      </c>
      <c r="I101" s="153">
        <v>4805</v>
      </c>
      <c r="J101" s="153">
        <v>4232.9</v>
      </c>
      <c r="K101" s="153">
        <v>0</v>
      </c>
      <c r="L101" s="153">
        <v>0</v>
      </c>
      <c r="M101" s="153">
        <v>0</v>
      </c>
      <c r="N101" s="153">
        <v>0</v>
      </c>
      <c r="O101" s="154">
        <v>0</v>
      </c>
      <c r="P101" s="154">
        <v>0</v>
      </c>
      <c r="Q101" s="154">
        <v>1400</v>
      </c>
      <c r="R101" s="154">
        <v>1400</v>
      </c>
      <c r="S101" s="154">
        <v>660</v>
      </c>
      <c r="T101" s="154">
        <v>589.3</v>
      </c>
      <c r="U101" s="90">
        <f t="shared" si="7"/>
        <v>23710</v>
      </c>
      <c r="V101" s="90">
        <f t="shared" si="7"/>
        <v>22537.7</v>
      </c>
      <c r="W101" s="154">
        <v>7379</v>
      </c>
      <c r="X101" s="154">
        <v>7198.1</v>
      </c>
      <c r="Y101" s="154">
        <v>0</v>
      </c>
      <c r="Z101" s="154">
        <v>0</v>
      </c>
      <c r="AA101" s="154">
        <v>0</v>
      </c>
      <c r="AB101" s="154">
        <v>0</v>
      </c>
      <c r="AC101" s="154">
        <v>-520</v>
      </c>
      <c r="AD101" s="154">
        <v>-540</v>
      </c>
      <c r="AE101" s="154">
        <v>0</v>
      </c>
      <c r="AF101" s="154">
        <v>0</v>
      </c>
      <c r="AG101" s="158"/>
      <c r="AH101" s="158"/>
      <c r="AI101" s="154">
        <v>2488.6</v>
      </c>
      <c r="AJ101" s="154">
        <v>2691.1</v>
      </c>
      <c r="AK101" s="156">
        <f t="shared" si="8"/>
        <v>6859</v>
      </c>
      <c r="AL101" s="156">
        <f t="shared" si="8"/>
        <v>6658.1</v>
      </c>
    </row>
    <row r="102" spans="1:38" s="166" customFormat="1" ht="27" customHeight="1">
      <c r="A102" s="542" t="s">
        <v>207</v>
      </c>
      <c r="B102" s="542"/>
      <c r="C102" s="162">
        <f aca="true" t="shared" si="9" ref="C102:N102">SUM(C11:C101)</f>
        <v>4449278.0441999985</v>
      </c>
      <c r="D102" s="162">
        <f t="shared" si="9"/>
        <v>3705691.035999999</v>
      </c>
      <c r="E102" s="163">
        <f t="shared" si="9"/>
        <v>1500051.376</v>
      </c>
      <c r="F102" s="163">
        <f t="shared" si="9"/>
        <v>1439518.0999999999</v>
      </c>
      <c r="G102" s="163">
        <f t="shared" si="9"/>
        <v>310740.624</v>
      </c>
      <c r="H102" s="163">
        <f t="shared" si="9"/>
        <v>288211.88999999984</v>
      </c>
      <c r="I102" s="163">
        <f t="shared" si="9"/>
        <v>1300645.9004000002</v>
      </c>
      <c r="J102" s="163">
        <f t="shared" si="9"/>
        <v>1002274.3200000002</v>
      </c>
      <c r="K102" s="163">
        <f t="shared" si="9"/>
        <v>0</v>
      </c>
      <c r="L102" s="163">
        <f t="shared" si="9"/>
        <v>0</v>
      </c>
      <c r="M102" s="163">
        <f t="shared" si="9"/>
        <v>189020.6</v>
      </c>
      <c r="N102" s="163">
        <f t="shared" si="9"/>
        <v>181229.8</v>
      </c>
      <c r="O102" s="164">
        <f aca="true" t="shared" si="10" ref="O102:AB102">SUM(O11:O101)</f>
        <v>84357.9001</v>
      </c>
      <c r="P102" s="164">
        <f t="shared" si="10"/>
        <v>68666.252</v>
      </c>
      <c r="Q102" s="164">
        <f t="shared" si="10"/>
        <v>156226.3</v>
      </c>
      <c r="R102" s="164">
        <f t="shared" si="10"/>
        <v>150080</v>
      </c>
      <c r="S102" s="164">
        <f t="shared" si="10"/>
        <v>84530.338</v>
      </c>
      <c r="T102" s="164">
        <f t="shared" si="10"/>
        <v>21384.8</v>
      </c>
      <c r="U102" s="165">
        <f t="shared" si="10"/>
        <v>3625573.0385000007</v>
      </c>
      <c r="V102" s="165">
        <f t="shared" si="10"/>
        <v>3151365.161999999</v>
      </c>
      <c r="W102" s="164">
        <f t="shared" si="10"/>
        <v>1080591.9058</v>
      </c>
      <c r="X102" s="164">
        <f t="shared" si="10"/>
        <v>769844.7999999998</v>
      </c>
      <c r="Y102" s="164">
        <f t="shared" si="10"/>
        <v>0</v>
      </c>
      <c r="Z102" s="164">
        <f t="shared" si="10"/>
        <v>0</v>
      </c>
      <c r="AA102" s="164">
        <f t="shared" si="10"/>
        <v>0</v>
      </c>
      <c r="AB102" s="164">
        <f t="shared" si="10"/>
        <v>0</v>
      </c>
      <c r="AC102" s="164">
        <f aca="true" t="shared" si="11" ref="AC102:AL102">SUM(AC11:AC101)</f>
        <v>-44440</v>
      </c>
      <c r="AD102" s="164">
        <f t="shared" si="11"/>
        <v>-33077.5</v>
      </c>
      <c r="AE102" s="164">
        <f t="shared" si="11"/>
        <v>-212446.9001</v>
      </c>
      <c r="AF102" s="164">
        <f t="shared" si="11"/>
        <v>-182441.42599999998</v>
      </c>
      <c r="AG102" s="164">
        <f t="shared" si="11"/>
        <v>0</v>
      </c>
      <c r="AH102" s="164">
        <f t="shared" si="11"/>
        <v>0</v>
      </c>
      <c r="AI102" s="164">
        <f t="shared" si="11"/>
        <v>314314.89999999997</v>
      </c>
      <c r="AJ102" s="164">
        <f t="shared" si="11"/>
        <v>404967.262</v>
      </c>
      <c r="AK102" s="164">
        <f t="shared" si="11"/>
        <v>823705.0057000001</v>
      </c>
      <c r="AL102" s="164">
        <f t="shared" si="11"/>
        <v>554325.8740000001</v>
      </c>
    </row>
    <row r="103" spans="3:38" s="75" customFormat="1" ht="16.5" customHeight="1">
      <c r="C103" s="41"/>
      <c r="D103" s="41"/>
      <c r="E103" s="41"/>
      <c r="F103" s="41"/>
      <c r="U103" s="41"/>
      <c r="AK103" s="167"/>
      <c r="AL103" s="167"/>
    </row>
    <row r="104" spans="3:38" s="75" customFormat="1" ht="16.5" customHeight="1">
      <c r="C104" s="41"/>
      <c r="D104" s="41"/>
      <c r="AK104" s="167"/>
      <c r="AL104" s="167"/>
    </row>
    <row r="105" s="75" customFormat="1" ht="16.5" customHeight="1">
      <c r="AK105" s="167"/>
    </row>
    <row r="106" s="75" customFormat="1" ht="16.5" customHeight="1">
      <c r="AK106" s="167"/>
    </row>
    <row r="107" s="75" customFormat="1" ht="16.5" customHeight="1">
      <c r="AK107" s="167"/>
    </row>
    <row r="108" s="75" customFormat="1" ht="16.5" customHeight="1">
      <c r="AK108" s="167"/>
    </row>
    <row r="109" s="75" customFormat="1" ht="16.5" customHeight="1">
      <c r="AK109" s="167"/>
    </row>
    <row r="110" s="75" customFormat="1" ht="16.5" customHeight="1">
      <c r="AK110" s="167"/>
    </row>
    <row r="111" s="75" customFormat="1" ht="16.5" customHeight="1">
      <c r="AK111" s="167"/>
    </row>
    <row r="112" s="75" customFormat="1" ht="16.5" customHeight="1">
      <c r="AK112" s="167"/>
    </row>
    <row r="113" s="75" customFormat="1" ht="16.5" customHeight="1">
      <c r="AK113" s="167"/>
    </row>
    <row r="114" s="75" customFormat="1" ht="16.5" customHeight="1">
      <c r="AK114" s="167"/>
    </row>
    <row r="115" s="75" customFormat="1" ht="16.5" customHeight="1">
      <c r="AK115" s="167"/>
    </row>
    <row r="116" s="75" customFormat="1" ht="16.5" customHeight="1">
      <c r="AK116" s="167"/>
    </row>
    <row r="117" s="75" customFormat="1" ht="16.5" customHeight="1">
      <c r="AK117" s="167"/>
    </row>
    <row r="118" s="75" customFormat="1" ht="16.5" customHeight="1">
      <c r="AK118" s="167"/>
    </row>
    <row r="119" s="75" customFormat="1" ht="16.5" customHeight="1">
      <c r="AK119" s="167"/>
    </row>
    <row r="120" s="75" customFormat="1" ht="16.5" customHeight="1">
      <c r="AK120" s="167"/>
    </row>
    <row r="121" s="75" customFormat="1" ht="16.5" customHeight="1">
      <c r="AK121" s="167"/>
    </row>
    <row r="122" s="75" customFormat="1" ht="16.5" customHeight="1">
      <c r="AK122" s="167"/>
    </row>
    <row r="123" s="75" customFormat="1" ht="16.5" customHeight="1">
      <c r="AK123" s="167"/>
    </row>
    <row r="124" s="75" customFormat="1" ht="16.5" customHeight="1">
      <c r="AK124" s="167"/>
    </row>
    <row r="125" s="75" customFormat="1" ht="16.5" customHeight="1">
      <c r="AK125" s="167"/>
    </row>
    <row r="126" s="75" customFormat="1" ht="16.5" customHeight="1">
      <c r="AK126" s="167"/>
    </row>
    <row r="127" s="75" customFormat="1" ht="16.5" customHeight="1">
      <c r="AK127" s="167"/>
    </row>
    <row r="128" s="75" customFormat="1" ht="16.5" customHeight="1">
      <c r="AK128" s="167"/>
    </row>
    <row r="129" s="75" customFormat="1" ht="16.5" customHeight="1">
      <c r="AK129" s="167"/>
    </row>
    <row r="130" s="75" customFormat="1" ht="16.5" customHeight="1">
      <c r="AK130" s="167"/>
    </row>
    <row r="131" s="75" customFormat="1" ht="16.5" customHeight="1">
      <c r="AK131" s="167"/>
    </row>
    <row r="132" s="75" customFormat="1" ht="16.5" customHeight="1">
      <c r="AK132" s="167"/>
    </row>
    <row r="133" s="75" customFormat="1" ht="16.5" customHeight="1">
      <c r="AK133" s="167"/>
    </row>
    <row r="134" s="75" customFormat="1" ht="16.5" customHeight="1">
      <c r="AK134" s="167"/>
    </row>
    <row r="135" s="75" customFormat="1" ht="16.5" customHeight="1">
      <c r="AK135" s="167"/>
    </row>
    <row r="136" s="75" customFormat="1" ht="16.5" customHeight="1">
      <c r="AK136" s="167"/>
    </row>
    <row r="137" s="75" customFormat="1" ht="16.5" customHeight="1">
      <c r="AK137" s="167"/>
    </row>
    <row r="138" s="75" customFormat="1" ht="16.5" customHeight="1">
      <c r="AK138" s="167"/>
    </row>
    <row r="139" s="75" customFormat="1" ht="16.5" customHeight="1">
      <c r="AK139" s="167"/>
    </row>
    <row r="140" s="75" customFormat="1" ht="16.5" customHeight="1">
      <c r="AK140" s="167"/>
    </row>
    <row r="141" ht="16.5" customHeight="1">
      <c r="AK141" s="4"/>
    </row>
    <row r="142" ht="16.5" customHeight="1">
      <c r="AK142" s="4"/>
    </row>
    <row r="143" ht="16.5" customHeight="1">
      <c r="AK143" s="4"/>
    </row>
    <row r="144" ht="16.5" customHeight="1">
      <c r="AK144" s="4"/>
    </row>
    <row r="145" ht="16.5" customHeight="1">
      <c r="AK145" s="4"/>
    </row>
    <row r="146" ht="16.5" customHeight="1">
      <c r="AK146" s="4"/>
    </row>
    <row r="147" ht="16.5" customHeight="1">
      <c r="AK147" s="4"/>
    </row>
    <row r="148" ht="16.5" customHeight="1">
      <c r="AK148" s="4"/>
    </row>
    <row r="149" ht="16.5" customHeight="1">
      <c r="AK149" s="4"/>
    </row>
    <row r="150" ht="16.5" customHeight="1">
      <c r="AK150" s="4"/>
    </row>
    <row r="151" ht="16.5" customHeight="1">
      <c r="AK151" s="4"/>
    </row>
    <row r="152" ht="16.5" customHeight="1">
      <c r="AK152" s="4"/>
    </row>
    <row r="153" ht="16.5" customHeight="1">
      <c r="AK153" s="4"/>
    </row>
    <row r="154" ht="16.5" customHeight="1">
      <c r="AK154" s="4"/>
    </row>
    <row r="155" ht="16.5" customHeight="1">
      <c r="AK155" s="4"/>
    </row>
    <row r="156" ht="16.5" customHeight="1">
      <c r="AK156" s="4"/>
    </row>
    <row r="157" ht="16.5" customHeight="1">
      <c r="AK157" s="4"/>
    </row>
    <row r="158" ht="16.5" customHeight="1">
      <c r="AK158" s="4"/>
    </row>
    <row r="159" ht="16.5" customHeight="1">
      <c r="AK159" s="4"/>
    </row>
    <row r="160" ht="16.5" customHeight="1">
      <c r="AK160" s="4"/>
    </row>
    <row r="161" ht="16.5" customHeight="1">
      <c r="AK161" s="4"/>
    </row>
    <row r="162" ht="16.5" customHeight="1">
      <c r="AK162" s="4"/>
    </row>
    <row r="163" ht="16.5" customHeight="1">
      <c r="AK163" s="4"/>
    </row>
    <row r="164" ht="16.5" customHeight="1">
      <c r="AK164" s="4"/>
    </row>
    <row r="165" ht="16.5" customHeight="1">
      <c r="AK165" s="4"/>
    </row>
    <row r="166" ht="16.5" customHeight="1">
      <c r="AK166" s="4"/>
    </row>
    <row r="167" ht="16.5" customHeight="1">
      <c r="AK167" s="4"/>
    </row>
    <row r="168" ht="16.5" customHeight="1">
      <c r="AK168" s="4"/>
    </row>
    <row r="169" ht="16.5" customHeight="1">
      <c r="AK169" s="4"/>
    </row>
    <row r="170" ht="16.5" customHeight="1">
      <c r="AK170" s="4"/>
    </row>
    <row r="171" ht="16.5" customHeight="1">
      <c r="AK171" s="4"/>
    </row>
    <row r="172" ht="16.5" customHeight="1">
      <c r="AK172" s="4"/>
    </row>
    <row r="173" ht="16.5" customHeight="1">
      <c r="AK173" s="4"/>
    </row>
    <row r="174" ht="16.5" customHeight="1">
      <c r="AK174" s="4"/>
    </row>
    <row r="175" ht="16.5" customHeight="1">
      <c r="AK175" s="4"/>
    </row>
    <row r="176" ht="16.5" customHeight="1">
      <c r="AK176" s="4"/>
    </row>
    <row r="177" ht="16.5" customHeight="1">
      <c r="AK177" s="4"/>
    </row>
    <row r="178" ht="16.5" customHeight="1">
      <c r="AK178" s="4"/>
    </row>
    <row r="179" ht="16.5" customHeight="1">
      <c r="AK179" s="4"/>
    </row>
    <row r="180" ht="16.5" customHeight="1">
      <c r="AK180" s="4"/>
    </row>
    <row r="181" ht="16.5" customHeight="1">
      <c r="AK181" s="4"/>
    </row>
    <row r="182" ht="16.5" customHeight="1">
      <c r="AK182" s="4"/>
    </row>
    <row r="183" ht="16.5" customHeight="1">
      <c r="AK183" s="4"/>
    </row>
    <row r="184" ht="16.5" customHeight="1">
      <c r="AK184" s="4"/>
    </row>
    <row r="185" ht="16.5" customHeight="1">
      <c r="AK185" s="4"/>
    </row>
    <row r="186" ht="16.5" customHeight="1">
      <c r="AK186" s="4"/>
    </row>
    <row r="187" ht="16.5" customHeight="1">
      <c r="AK187" s="4"/>
    </row>
    <row r="188" ht="16.5" customHeight="1">
      <c r="AK188" s="4"/>
    </row>
    <row r="189" ht="16.5" customHeight="1">
      <c r="AK189" s="4"/>
    </row>
    <row r="190" ht="16.5" customHeight="1">
      <c r="AK190" s="4"/>
    </row>
    <row r="191" ht="16.5" customHeight="1">
      <c r="AK191" s="4"/>
    </row>
    <row r="192" ht="16.5" customHeight="1">
      <c r="AK192" s="4"/>
    </row>
    <row r="193" ht="16.5" customHeight="1">
      <c r="AK193" s="4"/>
    </row>
    <row r="194" ht="16.5" customHeight="1">
      <c r="AK194" s="4"/>
    </row>
    <row r="195" ht="16.5" customHeight="1">
      <c r="AK195" s="4"/>
    </row>
    <row r="196" ht="16.5" customHeight="1">
      <c r="AK196" s="4"/>
    </row>
    <row r="197" ht="16.5" customHeight="1">
      <c r="AK197" s="4"/>
    </row>
    <row r="198" ht="16.5" customHeight="1">
      <c r="AK198" s="4"/>
    </row>
    <row r="199" ht="16.5" customHeight="1">
      <c r="AK199" s="4"/>
    </row>
    <row r="200" ht="16.5" customHeight="1">
      <c r="AK200" s="4"/>
    </row>
    <row r="201" ht="16.5" customHeight="1">
      <c r="AK201" s="4"/>
    </row>
    <row r="202" ht="16.5" customHeight="1">
      <c r="AK202" s="4"/>
    </row>
    <row r="203" ht="16.5" customHeight="1">
      <c r="AK203" s="4"/>
    </row>
    <row r="204" spans="1:37" s="6" customFormat="1" ht="22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4"/>
    </row>
    <row r="205" spans="1:36" s="6" customFormat="1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6" customFormat="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6" customFormat="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9" ht="45" customHeight="1"/>
  </sheetData>
  <sheetProtection/>
  <mergeCells count="32">
    <mergeCell ref="A102:B102"/>
    <mergeCell ref="AE6:AH7"/>
    <mergeCell ref="E7:H7"/>
    <mergeCell ref="I7:J8"/>
    <mergeCell ref="K7:L8"/>
    <mergeCell ref="G8:H8"/>
    <mergeCell ref="AA7:AB8"/>
    <mergeCell ref="W7:X8"/>
    <mergeCell ref="Y7:Z8"/>
    <mergeCell ref="AK5:AL8"/>
    <mergeCell ref="E6:T6"/>
    <mergeCell ref="AG8:AH8"/>
    <mergeCell ref="E8:F8"/>
    <mergeCell ref="S7:T8"/>
    <mergeCell ref="AI5:AJ8"/>
    <mergeCell ref="Q7:R8"/>
    <mergeCell ref="AK4:AL4"/>
    <mergeCell ref="E5:T5"/>
    <mergeCell ref="U5:V8"/>
    <mergeCell ref="W5:AB5"/>
    <mergeCell ref="AC5:AH5"/>
    <mergeCell ref="M7:N8"/>
    <mergeCell ref="O7:P8"/>
    <mergeCell ref="W6:AB6"/>
    <mergeCell ref="AC6:AD8"/>
    <mergeCell ref="AE8:AF8"/>
    <mergeCell ref="A1:N1"/>
    <mergeCell ref="A2:N2"/>
    <mergeCell ref="A4:A9"/>
    <mergeCell ref="B4:B9"/>
    <mergeCell ref="C4:D8"/>
    <mergeCell ref="E4:Z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31"/>
  <sheetViews>
    <sheetView zoomScalePageLayoutView="0" workbookViewId="0" topLeftCell="A1">
      <pane xSplit="2" ySplit="10" topLeftCell="AD1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252" customWidth="1"/>
    <col min="2" max="2" width="14.09765625" style="252" customWidth="1"/>
    <col min="3" max="3" width="13.09765625" style="252" customWidth="1"/>
    <col min="4" max="4" width="11.59765625" style="252" customWidth="1"/>
    <col min="5" max="5" width="13.5" style="252" customWidth="1"/>
    <col min="6" max="6" width="13.8984375" style="252" customWidth="1"/>
    <col min="7" max="7" width="10.8984375" style="252" customWidth="1"/>
    <col min="8" max="8" width="10" style="252" customWidth="1"/>
    <col min="9" max="9" width="12.59765625" style="252" customWidth="1"/>
    <col min="10" max="10" width="14.5" style="252" customWidth="1"/>
    <col min="11" max="11" width="10.59765625" style="252" customWidth="1"/>
    <col min="12" max="12" width="11.69921875" style="252" customWidth="1"/>
    <col min="13" max="13" width="11.8984375" style="252" customWidth="1"/>
    <col min="14" max="14" width="10.3984375" style="252" customWidth="1"/>
    <col min="15" max="15" width="11.8984375" style="252" customWidth="1"/>
    <col min="16" max="16" width="12.09765625" style="252" customWidth="1"/>
    <col min="17" max="17" width="12" style="252" customWidth="1"/>
    <col min="18" max="18" width="9.69921875" style="252" customWidth="1"/>
    <col min="19" max="19" width="12.09765625" style="252" customWidth="1"/>
    <col min="20" max="20" width="9.69921875" style="252" customWidth="1"/>
    <col min="21" max="22" width="11.59765625" style="252" customWidth="1"/>
    <col min="23" max="23" width="14.09765625" style="252" customWidth="1"/>
    <col min="24" max="24" width="12.19921875" style="252" customWidth="1"/>
    <col min="25" max="25" width="11.09765625" style="252" customWidth="1"/>
    <col min="26" max="27" width="9.09765625" style="252" customWidth="1"/>
    <col min="28" max="28" width="8" style="252" customWidth="1"/>
    <col min="29" max="29" width="10.59765625" style="252" customWidth="1"/>
    <col min="30" max="30" width="9.5" style="252" customWidth="1"/>
    <col min="31" max="31" width="10.8984375" style="252" customWidth="1"/>
    <col min="32" max="32" width="11.09765625" style="252" customWidth="1"/>
    <col min="33" max="33" width="8.09765625" style="252" customWidth="1"/>
    <col min="34" max="34" width="10.09765625" style="252" customWidth="1"/>
    <col min="35" max="35" width="11.3984375" style="252" customWidth="1"/>
    <col min="36" max="36" width="10.3984375" style="252" customWidth="1"/>
    <col min="37" max="37" width="10.59765625" style="252" customWidth="1"/>
    <col min="38" max="38" width="11.09765625" style="252" customWidth="1"/>
    <col min="39" max="16384" width="9" style="252" customWidth="1"/>
  </cols>
  <sheetData>
    <row r="1" spans="1:36" ht="24" customHeight="1">
      <c r="A1" s="447" t="s">
        <v>208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250"/>
      <c r="P1" s="250"/>
      <c r="Q1" s="250"/>
      <c r="R1" s="250"/>
      <c r="S1" s="250"/>
      <c r="T1" s="250"/>
      <c r="U1" s="250"/>
      <c r="V1" s="250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</row>
    <row r="2" spans="1:36" ht="45.75" customHeight="1">
      <c r="A2" s="448" t="s">
        <v>1137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</row>
    <row r="3" spans="2:22" ht="15.75" customHeight="1">
      <c r="B3" s="255"/>
      <c r="K3" s="555" t="s">
        <v>860</v>
      </c>
      <c r="L3" s="555"/>
      <c r="M3" s="449"/>
      <c r="N3" s="449"/>
      <c r="U3" s="450"/>
      <c r="V3" s="450"/>
    </row>
    <row r="4" spans="1:38" s="291" customFormat="1" ht="15" customHeight="1">
      <c r="A4" s="556" t="s">
        <v>210</v>
      </c>
      <c r="B4" s="557" t="s">
        <v>211</v>
      </c>
      <c r="C4" s="558" t="s">
        <v>1030</v>
      </c>
      <c r="D4" s="559"/>
      <c r="E4" s="459" t="s">
        <v>213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463"/>
      <c r="AL4" s="463"/>
    </row>
    <row r="5" spans="1:38" s="291" customFormat="1" ht="16.5" customHeight="1">
      <c r="A5" s="556"/>
      <c r="B5" s="557"/>
      <c r="C5" s="560"/>
      <c r="D5" s="561"/>
      <c r="E5" s="443" t="s">
        <v>1031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5"/>
      <c r="U5" s="552" t="s">
        <v>215</v>
      </c>
      <c r="V5" s="552"/>
      <c r="W5" s="465" t="s">
        <v>216</v>
      </c>
      <c r="X5" s="466"/>
      <c r="Y5" s="466"/>
      <c r="Z5" s="466"/>
      <c r="AA5" s="466"/>
      <c r="AB5" s="466"/>
      <c r="AC5" s="446" t="s">
        <v>217</v>
      </c>
      <c r="AD5" s="446"/>
      <c r="AE5" s="446"/>
      <c r="AF5" s="446"/>
      <c r="AG5" s="446"/>
      <c r="AH5" s="446"/>
      <c r="AI5" s="544" t="s">
        <v>218</v>
      </c>
      <c r="AJ5" s="545"/>
      <c r="AK5" s="552" t="s">
        <v>219</v>
      </c>
      <c r="AL5" s="552"/>
    </row>
    <row r="6" spans="1:38" s="291" customFormat="1" ht="15" customHeight="1">
      <c r="A6" s="556"/>
      <c r="B6" s="557"/>
      <c r="C6" s="560"/>
      <c r="D6" s="561"/>
      <c r="E6" s="469" t="s">
        <v>220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552"/>
      <c r="V6" s="552"/>
      <c r="W6" s="443" t="s">
        <v>221</v>
      </c>
      <c r="X6" s="444"/>
      <c r="Y6" s="444"/>
      <c r="Z6" s="444"/>
      <c r="AA6" s="444"/>
      <c r="AB6" s="445"/>
      <c r="AC6" s="446" t="s">
        <v>222</v>
      </c>
      <c r="AD6" s="446"/>
      <c r="AE6" s="446" t="s">
        <v>223</v>
      </c>
      <c r="AF6" s="446"/>
      <c r="AG6" s="446"/>
      <c r="AH6" s="446"/>
      <c r="AI6" s="553"/>
      <c r="AJ6" s="554"/>
      <c r="AK6" s="552"/>
      <c r="AL6" s="552"/>
    </row>
    <row r="7" spans="1:38" s="291" customFormat="1" ht="26.25" customHeight="1">
      <c r="A7" s="556"/>
      <c r="B7" s="557"/>
      <c r="C7" s="560"/>
      <c r="D7" s="561"/>
      <c r="E7" s="446" t="s">
        <v>224</v>
      </c>
      <c r="F7" s="446"/>
      <c r="G7" s="446"/>
      <c r="H7" s="446"/>
      <c r="I7" s="543" t="s">
        <v>225</v>
      </c>
      <c r="J7" s="543"/>
      <c r="K7" s="543" t="s">
        <v>227</v>
      </c>
      <c r="L7" s="543"/>
      <c r="M7" s="543" t="s">
        <v>228</v>
      </c>
      <c r="N7" s="543"/>
      <c r="O7" s="543" t="s">
        <v>229</v>
      </c>
      <c r="P7" s="543"/>
      <c r="Q7" s="543" t="s">
        <v>230</v>
      </c>
      <c r="R7" s="543"/>
      <c r="S7" s="543" t="s">
        <v>231</v>
      </c>
      <c r="T7" s="543"/>
      <c r="U7" s="552"/>
      <c r="V7" s="552"/>
      <c r="W7" s="544" t="s">
        <v>232</v>
      </c>
      <c r="X7" s="545"/>
      <c r="Y7" s="544" t="s">
        <v>233</v>
      </c>
      <c r="Z7" s="545"/>
      <c r="AA7" s="548" t="s">
        <v>234</v>
      </c>
      <c r="AB7" s="549"/>
      <c r="AC7" s="446"/>
      <c r="AD7" s="446"/>
      <c r="AE7" s="446"/>
      <c r="AF7" s="446"/>
      <c r="AG7" s="446"/>
      <c r="AH7" s="446"/>
      <c r="AI7" s="553"/>
      <c r="AJ7" s="554"/>
      <c r="AK7" s="552"/>
      <c r="AL7" s="552"/>
    </row>
    <row r="8" spans="1:38" s="291" customFormat="1" ht="57" customHeight="1">
      <c r="A8" s="556"/>
      <c r="B8" s="557"/>
      <c r="C8" s="562"/>
      <c r="D8" s="563"/>
      <c r="E8" s="543" t="s">
        <v>235</v>
      </c>
      <c r="F8" s="543"/>
      <c r="G8" s="543" t="s">
        <v>236</v>
      </c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52"/>
      <c r="V8" s="552"/>
      <c r="W8" s="546"/>
      <c r="X8" s="547"/>
      <c r="Y8" s="546"/>
      <c r="Z8" s="547"/>
      <c r="AA8" s="550"/>
      <c r="AB8" s="551"/>
      <c r="AC8" s="446"/>
      <c r="AD8" s="446"/>
      <c r="AE8" s="446" t="s">
        <v>240</v>
      </c>
      <c r="AF8" s="446"/>
      <c r="AG8" s="446" t="s">
        <v>241</v>
      </c>
      <c r="AH8" s="446"/>
      <c r="AI8" s="546"/>
      <c r="AJ8" s="547"/>
      <c r="AK8" s="552"/>
      <c r="AL8" s="552"/>
    </row>
    <row r="9" spans="1:38" s="291" customFormat="1" ht="37.5" customHeight="1">
      <c r="A9" s="556"/>
      <c r="B9" s="557"/>
      <c r="C9" s="101" t="s">
        <v>243</v>
      </c>
      <c r="D9" s="101" t="s">
        <v>244</v>
      </c>
      <c r="E9" s="102" t="s">
        <v>243</v>
      </c>
      <c r="F9" s="101" t="s">
        <v>244</v>
      </c>
      <c r="G9" s="102" t="s">
        <v>243</v>
      </c>
      <c r="H9" s="101" t="s">
        <v>244</v>
      </c>
      <c r="I9" s="102" t="s">
        <v>243</v>
      </c>
      <c r="J9" s="101" t="s">
        <v>244</v>
      </c>
      <c r="K9" s="102" t="s">
        <v>243</v>
      </c>
      <c r="L9" s="101" t="s">
        <v>244</v>
      </c>
      <c r="M9" s="102" t="s">
        <v>243</v>
      </c>
      <c r="N9" s="101" t="s">
        <v>244</v>
      </c>
      <c r="O9" s="102" t="s">
        <v>243</v>
      </c>
      <c r="P9" s="101" t="s">
        <v>244</v>
      </c>
      <c r="Q9" s="102" t="s">
        <v>243</v>
      </c>
      <c r="R9" s="101" t="s">
        <v>244</v>
      </c>
      <c r="S9" s="102" t="s">
        <v>243</v>
      </c>
      <c r="T9" s="101" t="s">
        <v>244</v>
      </c>
      <c r="U9" s="102" t="s">
        <v>243</v>
      </c>
      <c r="V9" s="101" t="s">
        <v>244</v>
      </c>
      <c r="W9" s="102" t="s">
        <v>243</v>
      </c>
      <c r="X9" s="101" t="s">
        <v>244</v>
      </c>
      <c r="Y9" s="102" t="s">
        <v>243</v>
      </c>
      <c r="Z9" s="101" t="s">
        <v>244</v>
      </c>
      <c r="AA9" s="102" t="s">
        <v>243</v>
      </c>
      <c r="AB9" s="101" t="s">
        <v>244</v>
      </c>
      <c r="AC9" s="102" t="s">
        <v>243</v>
      </c>
      <c r="AD9" s="101" t="s">
        <v>244</v>
      </c>
      <c r="AE9" s="102" t="s">
        <v>243</v>
      </c>
      <c r="AF9" s="101" t="s">
        <v>244</v>
      </c>
      <c r="AG9" s="102" t="s">
        <v>243</v>
      </c>
      <c r="AH9" s="101" t="s">
        <v>244</v>
      </c>
      <c r="AI9" s="102" t="s">
        <v>243</v>
      </c>
      <c r="AJ9" s="101" t="s">
        <v>244</v>
      </c>
      <c r="AK9" s="102" t="s">
        <v>243</v>
      </c>
      <c r="AL9" s="101" t="s">
        <v>244</v>
      </c>
    </row>
    <row r="10" spans="1:38" s="291" customFormat="1" ht="12" customHeight="1">
      <c r="A10" s="256"/>
      <c r="B10" s="272">
        <v>1</v>
      </c>
      <c r="C10" s="272">
        <v>2</v>
      </c>
      <c r="D10" s="272">
        <v>3</v>
      </c>
      <c r="E10" s="272">
        <v>4</v>
      </c>
      <c r="F10" s="272">
        <v>5</v>
      </c>
      <c r="G10" s="272">
        <v>6</v>
      </c>
      <c r="H10" s="272">
        <v>7</v>
      </c>
      <c r="I10" s="272">
        <v>8</v>
      </c>
      <c r="J10" s="272">
        <v>9</v>
      </c>
      <c r="K10" s="272">
        <v>10</v>
      </c>
      <c r="L10" s="272">
        <v>11</v>
      </c>
      <c r="M10" s="272">
        <v>12</v>
      </c>
      <c r="N10" s="272">
        <v>13</v>
      </c>
      <c r="O10" s="272">
        <v>14</v>
      </c>
      <c r="P10" s="272">
        <v>15</v>
      </c>
      <c r="Q10" s="272">
        <v>16</v>
      </c>
      <c r="R10" s="272">
        <v>17</v>
      </c>
      <c r="S10" s="272">
        <v>18</v>
      </c>
      <c r="T10" s="272">
        <v>19</v>
      </c>
      <c r="U10" s="272">
        <v>20</v>
      </c>
      <c r="V10" s="272">
        <v>21</v>
      </c>
      <c r="W10" s="272">
        <v>22</v>
      </c>
      <c r="X10" s="272">
        <v>23</v>
      </c>
      <c r="Y10" s="272">
        <v>24</v>
      </c>
      <c r="Z10" s="272">
        <v>25</v>
      </c>
      <c r="AA10" s="272">
        <v>26</v>
      </c>
      <c r="AB10" s="272">
        <v>27</v>
      </c>
      <c r="AC10" s="272">
        <v>28</v>
      </c>
      <c r="AD10" s="272">
        <v>29</v>
      </c>
      <c r="AE10" s="272">
        <v>30</v>
      </c>
      <c r="AF10" s="272">
        <v>31</v>
      </c>
      <c r="AG10" s="272">
        <v>32</v>
      </c>
      <c r="AH10" s="272">
        <v>33</v>
      </c>
      <c r="AI10" s="272">
        <v>34</v>
      </c>
      <c r="AJ10" s="272">
        <v>35</v>
      </c>
      <c r="AK10" s="272">
        <v>36</v>
      </c>
      <c r="AL10" s="272">
        <v>37</v>
      </c>
    </row>
    <row r="11" spans="1:38" s="291" customFormat="1" ht="17.25" customHeight="1">
      <c r="A11" s="262">
        <v>1</v>
      </c>
      <c r="B11" s="325" t="s">
        <v>1032</v>
      </c>
      <c r="C11" s="326">
        <v>1833151.2029000001</v>
      </c>
      <c r="D11" s="326">
        <v>1739785.757</v>
      </c>
      <c r="E11" s="326">
        <v>253180.962</v>
      </c>
      <c r="F11" s="326">
        <v>252601.76</v>
      </c>
      <c r="G11" s="326">
        <v>49269.401</v>
      </c>
      <c r="H11" s="326">
        <v>48728.954</v>
      </c>
      <c r="I11" s="326">
        <v>572973.7383</v>
      </c>
      <c r="J11" s="326">
        <v>559045.561</v>
      </c>
      <c r="K11" s="326">
        <v>0</v>
      </c>
      <c r="L11" s="326">
        <v>0</v>
      </c>
      <c r="M11" s="326">
        <v>725134.0002</v>
      </c>
      <c r="N11" s="326">
        <v>718573.366</v>
      </c>
      <c r="O11" s="326">
        <v>11770.0002</v>
      </c>
      <c r="P11" s="326">
        <v>11410</v>
      </c>
      <c r="Q11" s="326">
        <v>15000</v>
      </c>
      <c r="R11" s="326">
        <v>15000</v>
      </c>
      <c r="S11" s="326">
        <v>205644.4003</v>
      </c>
      <c r="T11" s="326">
        <v>136405.667</v>
      </c>
      <c r="U11" s="326">
        <v>1832972.502</v>
      </c>
      <c r="V11" s="326">
        <v>1741765.308</v>
      </c>
      <c r="W11" s="326">
        <v>364909.7009</v>
      </c>
      <c r="X11" s="326">
        <v>358891.517</v>
      </c>
      <c r="Y11" s="326">
        <v>0</v>
      </c>
      <c r="Z11" s="326">
        <v>0</v>
      </c>
      <c r="AA11" s="326">
        <v>0</v>
      </c>
      <c r="AB11" s="326">
        <v>0</v>
      </c>
      <c r="AC11" s="326">
        <v>0</v>
      </c>
      <c r="AD11" s="326">
        <v>-109206.928</v>
      </c>
      <c r="AE11" s="326">
        <v>-229011</v>
      </c>
      <c r="AF11" s="326">
        <v>-118065.44</v>
      </c>
      <c r="AG11" s="326">
        <v>0</v>
      </c>
      <c r="AH11" s="326">
        <v>0</v>
      </c>
      <c r="AI11" s="326">
        <v>135720</v>
      </c>
      <c r="AJ11" s="326">
        <v>133598.7</v>
      </c>
      <c r="AK11" s="326">
        <v>135898.7009</v>
      </c>
      <c r="AL11" s="326">
        <v>131619.14899999998</v>
      </c>
    </row>
    <row r="12" spans="1:38" s="291" customFormat="1" ht="17.25" customHeight="1">
      <c r="A12" s="262">
        <v>2</v>
      </c>
      <c r="B12" s="327" t="s">
        <v>1033</v>
      </c>
      <c r="C12" s="326">
        <v>96113.00089999998</v>
      </c>
      <c r="D12" s="326">
        <v>93137.056</v>
      </c>
      <c r="E12" s="326">
        <v>44700.0001</v>
      </c>
      <c r="F12" s="326">
        <v>44047.295</v>
      </c>
      <c r="G12" s="326">
        <v>9066.0001</v>
      </c>
      <c r="H12" s="326">
        <v>8799.505</v>
      </c>
      <c r="I12" s="326">
        <v>13069.0002</v>
      </c>
      <c r="J12" s="326">
        <v>11517.578</v>
      </c>
      <c r="K12" s="326">
        <v>0</v>
      </c>
      <c r="L12" s="326">
        <v>0</v>
      </c>
      <c r="M12" s="326">
        <v>500</v>
      </c>
      <c r="N12" s="326">
        <v>500</v>
      </c>
      <c r="O12" s="326">
        <v>50.0001</v>
      </c>
      <c r="P12" s="326">
        <v>50</v>
      </c>
      <c r="Q12" s="326">
        <v>8170.0002</v>
      </c>
      <c r="R12" s="326">
        <v>8159.1</v>
      </c>
      <c r="S12" s="326">
        <v>20558.1001</v>
      </c>
      <c r="T12" s="326">
        <v>20325.258</v>
      </c>
      <c r="U12" s="326">
        <v>96113.10079999999</v>
      </c>
      <c r="V12" s="326">
        <v>93398.736</v>
      </c>
      <c r="W12" s="326">
        <v>21323.9001</v>
      </c>
      <c r="X12" s="326">
        <v>20638.158</v>
      </c>
      <c r="Y12" s="326">
        <v>0</v>
      </c>
      <c r="Z12" s="326">
        <v>0</v>
      </c>
      <c r="AA12" s="326">
        <v>0</v>
      </c>
      <c r="AB12" s="326">
        <v>0</v>
      </c>
      <c r="AC12" s="326">
        <v>0</v>
      </c>
      <c r="AD12" s="326">
        <v>-163.168</v>
      </c>
      <c r="AE12" s="326">
        <v>-1000</v>
      </c>
      <c r="AF12" s="326">
        <v>-521.412</v>
      </c>
      <c r="AG12" s="326">
        <v>0</v>
      </c>
      <c r="AH12" s="326">
        <v>0</v>
      </c>
      <c r="AI12" s="326">
        <v>20324</v>
      </c>
      <c r="AJ12" s="326">
        <v>20215.258</v>
      </c>
      <c r="AK12" s="326">
        <v>20323.9001</v>
      </c>
      <c r="AL12" s="326">
        <v>19953.577999999998</v>
      </c>
    </row>
    <row r="13" spans="1:38" s="291" customFormat="1" ht="17.25" customHeight="1">
      <c r="A13" s="262">
        <v>3</v>
      </c>
      <c r="B13" s="327" t="s">
        <v>395</v>
      </c>
      <c r="C13" s="326">
        <v>42917.6019</v>
      </c>
      <c r="D13" s="326">
        <v>37896.735</v>
      </c>
      <c r="E13" s="326">
        <v>20733.0001</v>
      </c>
      <c r="F13" s="326">
        <v>20092.347</v>
      </c>
      <c r="G13" s="326">
        <v>4053.0001</v>
      </c>
      <c r="H13" s="326">
        <v>3725.673</v>
      </c>
      <c r="I13" s="326">
        <v>10854.0009</v>
      </c>
      <c r="J13" s="326">
        <v>9309.328</v>
      </c>
      <c r="K13" s="326">
        <v>0</v>
      </c>
      <c r="L13" s="326">
        <v>0</v>
      </c>
      <c r="M13" s="326">
        <v>0</v>
      </c>
      <c r="N13" s="326">
        <v>0</v>
      </c>
      <c r="O13" s="326">
        <v>1500.0002</v>
      </c>
      <c r="P13" s="326">
        <v>550</v>
      </c>
      <c r="Q13" s="326">
        <v>3710</v>
      </c>
      <c r="R13" s="326">
        <v>3650</v>
      </c>
      <c r="S13" s="326">
        <v>1680.8</v>
      </c>
      <c r="T13" s="326">
        <v>647.5</v>
      </c>
      <c r="U13" s="326">
        <v>42530.8013</v>
      </c>
      <c r="V13" s="326">
        <v>37974.848</v>
      </c>
      <c r="W13" s="326">
        <v>14299.5008</v>
      </c>
      <c r="X13" s="326">
        <v>13759.99</v>
      </c>
      <c r="Y13" s="326">
        <v>0</v>
      </c>
      <c r="Z13" s="326">
        <v>0</v>
      </c>
      <c r="AA13" s="326">
        <v>0</v>
      </c>
      <c r="AB13" s="326">
        <v>0</v>
      </c>
      <c r="AC13" s="326">
        <v>-13797.7001</v>
      </c>
      <c r="AD13" s="326">
        <v>-13826.18</v>
      </c>
      <c r="AE13" s="326">
        <v>-115.0001</v>
      </c>
      <c r="AF13" s="326">
        <v>-11.923</v>
      </c>
      <c r="AG13" s="326">
        <v>0</v>
      </c>
      <c r="AH13" s="326">
        <v>0</v>
      </c>
      <c r="AI13" s="326">
        <v>0</v>
      </c>
      <c r="AJ13" s="326">
        <v>0</v>
      </c>
      <c r="AK13" s="326">
        <v>386.8006000000005</v>
      </c>
      <c r="AL13" s="326">
        <v>-78.1130000000012</v>
      </c>
    </row>
    <row r="14" spans="1:38" s="291" customFormat="1" ht="17.25" customHeight="1">
      <c r="A14" s="262">
        <v>4</v>
      </c>
      <c r="B14" s="327" t="s">
        <v>1034</v>
      </c>
      <c r="C14" s="326">
        <v>42162.6281</v>
      </c>
      <c r="D14" s="326">
        <v>38677.119000000006</v>
      </c>
      <c r="E14" s="326">
        <v>20280.0001</v>
      </c>
      <c r="F14" s="326">
        <v>20191.821</v>
      </c>
      <c r="G14" s="326">
        <v>3993.0001</v>
      </c>
      <c r="H14" s="326">
        <v>3634.068</v>
      </c>
      <c r="I14" s="326">
        <v>6286.2005</v>
      </c>
      <c r="J14" s="326">
        <v>4469.731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0</v>
      </c>
      <c r="Q14" s="326">
        <v>6150</v>
      </c>
      <c r="R14" s="326">
        <v>6030</v>
      </c>
      <c r="S14" s="326">
        <v>899.4003</v>
      </c>
      <c r="T14" s="326">
        <v>65.82</v>
      </c>
      <c r="U14" s="326">
        <v>37608.601</v>
      </c>
      <c r="V14" s="326">
        <v>34391.44</v>
      </c>
      <c r="W14" s="326">
        <v>4918.4272</v>
      </c>
      <c r="X14" s="326">
        <v>4813.327</v>
      </c>
      <c r="Y14" s="326">
        <v>0</v>
      </c>
      <c r="Z14" s="326">
        <v>0</v>
      </c>
      <c r="AA14" s="326">
        <v>0</v>
      </c>
      <c r="AB14" s="326">
        <v>0</v>
      </c>
      <c r="AC14" s="326">
        <v>0</v>
      </c>
      <c r="AD14" s="326">
        <v>-84.48</v>
      </c>
      <c r="AE14" s="326">
        <v>-364.4001</v>
      </c>
      <c r="AF14" s="326">
        <v>-443.168</v>
      </c>
      <c r="AG14" s="326">
        <v>0</v>
      </c>
      <c r="AH14" s="326">
        <v>0</v>
      </c>
      <c r="AI14" s="326">
        <v>0</v>
      </c>
      <c r="AJ14" s="326">
        <v>0</v>
      </c>
      <c r="AK14" s="326">
        <v>4554.0271</v>
      </c>
      <c r="AL14" s="326">
        <v>4285.679</v>
      </c>
    </row>
    <row r="15" spans="1:38" s="291" customFormat="1" ht="17.25" customHeight="1">
      <c r="A15" s="262">
        <v>5</v>
      </c>
      <c r="B15" s="327" t="s">
        <v>1035</v>
      </c>
      <c r="C15" s="326">
        <v>24767.301200000005</v>
      </c>
      <c r="D15" s="326">
        <v>23438.7</v>
      </c>
      <c r="E15" s="326">
        <v>11910.0001</v>
      </c>
      <c r="F15" s="326">
        <v>11908.955</v>
      </c>
      <c r="G15" s="326">
        <v>2380.0001</v>
      </c>
      <c r="H15" s="326">
        <v>2087.355</v>
      </c>
      <c r="I15" s="326">
        <v>4670.0006</v>
      </c>
      <c r="J15" s="326">
        <v>4013.79</v>
      </c>
      <c r="K15" s="326">
        <v>0</v>
      </c>
      <c r="L15" s="326">
        <v>0</v>
      </c>
      <c r="M15" s="326">
        <v>0</v>
      </c>
      <c r="N15" s="326">
        <v>0</v>
      </c>
      <c r="O15" s="326">
        <v>941.0001</v>
      </c>
      <c r="P15" s="326">
        <v>941</v>
      </c>
      <c r="Q15" s="326">
        <v>2075.0001</v>
      </c>
      <c r="R15" s="326">
        <v>2075</v>
      </c>
      <c r="S15" s="326">
        <v>2062.1</v>
      </c>
      <c r="T15" s="326">
        <v>1683.419</v>
      </c>
      <c r="U15" s="326">
        <v>24038.101000000002</v>
      </c>
      <c r="V15" s="326">
        <v>22709.519</v>
      </c>
      <c r="W15" s="326">
        <v>4944.0002</v>
      </c>
      <c r="X15" s="326">
        <v>2814</v>
      </c>
      <c r="Y15" s="326">
        <v>0</v>
      </c>
      <c r="Z15" s="326">
        <v>0</v>
      </c>
      <c r="AA15" s="326">
        <v>0</v>
      </c>
      <c r="AB15" s="326">
        <v>0</v>
      </c>
      <c r="AC15" s="326">
        <v>-600</v>
      </c>
      <c r="AD15" s="326">
        <v>0</v>
      </c>
      <c r="AE15" s="326">
        <v>-2000</v>
      </c>
      <c r="AF15" s="326">
        <v>-470.4</v>
      </c>
      <c r="AG15" s="326">
        <v>0</v>
      </c>
      <c r="AH15" s="326">
        <v>0</v>
      </c>
      <c r="AI15" s="326">
        <v>1614.8</v>
      </c>
      <c r="AJ15" s="326">
        <v>1614.419</v>
      </c>
      <c r="AK15" s="326">
        <v>2344.0002000000004</v>
      </c>
      <c r="AL15" s="326">
        <v>2343.6</v>
      </c>
    </row>
    <row r="16" spans="1:38" s="291" customFormat="1" ht="17.25" customHeight="1">
      <c r="A16" s="262">
        <v>6</v>
      </c>
      <c r="B16" s="327" t="s">
        <v>1036</v>
      </c>
      <c r="C16" s="326">
        <v>18924.600599999998</v>
      </c>
      <c r="D16" s="326">
        <v>14700.401</v>
      </c>
      <c r="E16" s="326">
        <v>9022.0001</v>
      </c>
      <c r="F16" s="326">
        <v>8637.688</v>
      </c>
      <c r="G16" s="326">
        <v>1940.0001</v>
      </c>
      <c r="H16" s="326">
        <v>1768.506</v>
      </c>
      <c r="I16" s="326">
        <v>2227.2002</v>
      </c>
      <c r="J16" s="326">
        <v>1350.621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700</v>
      </c>
      <c r="R16" s="326">
        <v>695</v>
      </c>
      <c r="S16" s="326">
        <v>1016.7001</v>
      </c>
      <c r="T16" s="326">
        <v>103</v>
      </c>
      <c r="U16" s="326">
        <v>14905.9005</v>
      </c>
      <c r="V16" s="326">
        <v>12554.815</v>
      </c>
      <c r="W16" s="326">
        <v>4018.7001</v>
      </c>
      <c r="X16" s="326">
        <v>2590.52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0</v>
      </c>
      <c r="AE16" s="326">
        <v>0</v>
      </c>
      <c r="AF16" s="326">
        <v>-444.934</v>
      </c>
      <c r="AG16" s="326">
        <v>0</v>
      </c>
      <c r="AH16" s="326">
        <v>0</v>
      </c>
      <c r="AI16" s="326">
        <v>0</v>
      </c>
      <c r="AJ16" s="326">
        <v>0</v>
      </c>
      <c r="AK16" s="326">
        <v>4018.7001</v>
      </c>
      <c r="AL16" s="326">
        <v>2145.586</v>
      </c>
    </row>
    <row r="17" spans="1:38" s="291" customFormat="1" ht="17.25" customHeight="1">
      <c r="A17" s="262">
        <v>7</v>
      </c>
      <c r="B17" s="327" t="s">
        <v>1037</v>
      </c>
      <c r="C17" s="326">
        <v>60026.001299999996</v>
      </c>
      <c r="D17" s="326">
        <v>54840.914</v>
      </c>
      <c r="E17" s="326">
        <v>18160.0001</v>
      </c>
      <c r="F17" s="326">
        <v>17555.794</v>
      </c>
      <c r="G17" s="326">
        <v>3540.0001</v>
      </c>
      <c r="H17" s="326">
        <v>3141.42</v>
      </c>
      <c r="I17" s="326">
        <v>6248.8006</v>
      </c>
      <c r="J17" s="326">
        <v>4646.99</v>
      </c>
      <c r="K17" s="326">
        <v>0</v>
      </c>
      <c r="L17" s="326">
        <v>0</v>
      </c>
      <c r="M17" s="326">
        <v>0</v>
      </c>
      <c r="N17" s="326">
        <v>0</v>
      </c>
      <c r="O17" s="326">
        <v>21000.0001</v>
      </c>
      <c r="P17" s="326">
        <v>20114.2</v>
      </c>
      <c r="Q17" s="326">
        <v>4800</v>
      </c>
      <c r="R17" s="326">
        <v>4580.39</v>
      </c>
      <c r="S17" s="326">
        <v>4425.6001</v>
      </c>
      <c r="T17" s="326">
        <v>3412.339</v>
      </c>
      <c r="U17" s="326">
        <v>58174.401</v>
      </c>
      <c r="V17" s="326">
        <v>53451.133</v>
      </c>
      <c r="W17" s="326">
        <v>9101.6003</v>
      </c>
      <c r="X17" s="326">
        <v>4991.65</v>
      </c>
      <c r="Y17" s="326">
        <v>0</v>
      </c>
      <c r="Z17" s="326">
        <v>0</v>
      </c>
      <c r="AA17" s="326">
        <v>0</v>
      </c>
      <c r="AB17" s="326">
        <v>0</v>
      </c>
      <c r="AC17" s="326">
        <v>0</v>
      </c>
      <c r="AD17" s="326">
        <v>0</v>
      </c>
      <c r="AE17" s="326">
        <v>-3614.4</v>
      </c>
      <c r="AF17" s="326">
        <v>-461.8</v>
      </c>
      <c r="AG17" s="326">
        <v>0</v>
      </c>
      <c r="AH17" s="326">
        <v>0</v>
      </c>
      <c r="AI17" s="326">
        <v>3635.6</v>
      </c>
      <c r="AJ17" s="326">
        <v>3140.069</v>
      </c>
      <c r="AK17" s="326">
        <v>5487.2003</v>
      </c>
      <c r="AL17" s="326">
        <v>4529.85</v>
      </c>
    </row>
    <row r="18" spans="1:38" s="291" customFormat="1" ht="17.25" customHeight="1">
      <c r="A18" s="262">
        <v>8</v>
      </c>
      <c r="B18" s="327" t="s">
        <v>1038</v>
      </c>
      <c r="C18" s="326">
        <v>29109.1731</v>
      </c>
      <c r="D18" s="326">
        <v>13771.468</v>
      </c>
      <c r="E18" s="326">
        <v>11080.0001</v>
      </c>
      <c r="F18" s="326">
        <v>10353.646</v>
      </c>
      <c r="G18" s="326">
        <v>2360.0001</v>
      </c>
      <c r="H18" s="326">
        <v>2104.998</v>
      </c>
      <c r="I18" s="326">
        <v>4107.7004</v>
      </c>
      <c r="J18" s="326">
        <v>2616.674</v>
      </c>
      <c r="K18" s="326">
        <v>0</v>
      </c>
      <c r="L18" s="326">
        <v>0</v>
      </c>
      <c r="M18" s="326">
        <v>0</v>
      </c>
      <c r="N18" s="326">
        <v>0</v>
      </c>
      <c r="O18" s="326">
        <v>160.0002</v>
      </c>
      <c r="P18" s="326">
        <v>100</v>
      </c>
      <c r="Q18" s="326">
        <v>850</v>
      </c>
      <c r="R18" s="326">
        <v>530</v>
      </c>
      <c r="S18" s="326">
        <v>470</v>
      </c>
      <c r="T18" s="326">
        <v>70.1</v>
      </c>
      <c r="U18" s="326">
        <v>19027.7008</v>
      </c>
      <c r="V18" s="326">
        <v>15775.418000000001</v>
      </c>
      <c r="W18" s="326">
        <v>14901.7224</v>
      </c>
      <c r="X18" s="326">
        <v>3080.3</v>
      </c>
      <c r="Y18" s="326">
        <v>0</v>
      </c>
      <c r="Z18" s="326">
        <v>0</v>
      </c>
      <c r="AA18" s="326">
        <v>0</v>
      </c>
      <c r="AB18" s="326">
        <v>0</v>
      </c>
      <c r="AC18" s="326">
        <v>0</v>
      </c>
      <c r="AD18" s="326">
        <v>0</v>
      </c>
      <c r="AE18" s="326">
        <v>-4820.2501</v>
      </c>
      <c r="AF18" s="326">
        <v>-5084.25</v>
      </c>
      <c r="AG18" s="326">
        <v>0</v>
      </c>
      <c r="AH18" s="326">
        <v>0</v>
      </c>
      <c r="AI18" s="326">
        <v>0</v>
      </c>
      <c r="AJ18" s="326">
        <v>0</v>
      </c>
      <c r="AK18" s="326">
        <v>10081.472300000001</v>
      </c>
      <c r="AL18" s="326">
        <v>-2003.95</v>
      </c>
    </row>
    <row r="19" spans="1:38" s="291" customFormat="1" ht="17.25" customHeight="1">
      <c r="A19" s="262">
        <v>9</v>
      </c>
      <c r="B19" s="327" t="s">
        <v>1039</v>
      </c>
      <c r="C19" s="326">
        <v>26014.799799999997</v>
      </c>
      <c r="D19" s="326">
        <v>17593.201999999997</v>
      </c>
      <c r="E19" s="326">
        <v>12140.0001</v>
      </c>
      <c r="F19" s="326">
        <v>11748.542</v>
      </c>
      <c r="G19" s="326">
        <v>2370.0001</v>
      </c>
      <c r="H19" s="326">
        <v>2037.86</v>
      </c>
      <c r="I19" s="326">
        <v>4570.0004</v>
      </c>
      <c r="J19" s="326">
        <v>2366.8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2100</v>
      </c>
      <c r="R19" s="326">
        <v>1320</v>
      </c>
      <c r="S19" s="326">
        <v>855.0001</v>
      </c>
      <c r="T19" s="326">
        <v>120</v>
      </c>
      <c r="U19" s="326">
        <v>22035.000699999997</v>
      </c>
      <c r="V19" s="326">
        <v>17593.201999999997</v>
      </c>
      <c r="W19" s="326">
        <v>3979.7991</v>
      </c>
      <c r="X19" s="326">
        <v>0</v>
      </c>
      <c r="Y19" s="326">
        <v>0</v>
      </c>
      <c r="Z19" s="326">
        <v>0</v>
      </c>
      <c r="AA19" s="326">
        <v>0</v>
      </c>
      <c r="AB19" s="326">
        <v>0</v>
      </c>
      <c r="AC19" s="326">
        <v>0</v>
      </c>
      <c r="AD19" s="326">
        <v>0</v>
      </c>
      <c r="AE19" s="326">
        <v>0</v>
      </c>
      <c r="AF19" s="326">
        <v>0</v>
      </c>
      <c r="AG19" s="326">
        <v>0</v>
      </c>
      <c r="AH19" s="326">
        <v>0</v>
      </c>
      <c r="AI19" s="326">
        <v>0</v>
      </c>
      <c r="AJ19" s="326">
        <v>0</v>
      </c>
      <c r="AK19" s="326">
        <v>3979.7991</v>
      </c>
      <c r="AL19" s="326">
        <v>0</v>
      </c>
    </row>
    <row r="20" spans="1:38" s="291" customFormat="1" ht="17.25" customHeight="1">
      <c r="A20" s="262">
        <v>10</v>
      </c>
      <c r="B20" s="327" t="s">
        <v>1040</v>
      </c>
      <c r="C20" s="326">
        <v>35382.8017</v>
      </c>
      <c r="D20" s="326">
        <v>27157.351000000002</v>
      </c>
      <c r="E20" s="326">
        <v>11680.0001</v>
      </c>
      <c r="F20" s="326">
        <v>9837.694</v>
      </c>
      <c r="G20" s="326">
        <v>2488.0001</v>
      </c>
      <c r="H20" s="326">
        <v>1787.735</v>
      </c>
      <c r="I20" s="326">
        <v>5530.6008</v>
      </c>
      <c r="J20" s="326">
        <v>3275.402</v>
      </c>
      <c r="K20" s="326">
        <v>0</v>
      </c>
      <c r="L20" s="326">
        <v>0</v>
      </c>
      <c r="M20" s="326">
        <v>0</v>
      </c>
      <c r="N20" s="326">
        <v>0</v>
      </c>
      <c r="O20" s="326">
        <v>6319.0003</v>
      </c>
      <c r="P20" s="326">
        <v>5510.35</v>
      </c>
      <c r="Q20" s="326">
        <v>4470</v>
      </c>
      <c r="R20" s="326">
        <v>3316.02</v>
      </c>
      <c r="S20" s="326">
        <v>145</v>
      </c>
      <c r="T20" s="326">
        <v>30</v>
      </c>
      <c r="U20" s="326">
        <v>30632.601300000002</v>
      </c>
      <c r="V20" s="326">
        <v>23757.201</v>
      </c>
      <c r="W20" s="326">
        <v>7505.2005</v>
      </c>
      <c r="X20" s="326">
        <v>4387.15</v>
      </c>
      <c r="Y20" s="326">
        <v>0</v>
      </c>
      <c r="Z20" s="326">
        <v>0</v>
      </c>
      <c r="AA20" s="326">
        <v>0</v>
      </c>
      <c r="AB20" s="326">
        <v>0</v>
      </c>
      <c r="AC20" s="326">
        <v>-755</v>
      </c>
      <c r="AD20" s="326">
        <v>-755</v>
      </c>
      <c r="AE20" s="326">
        <v>-2000.0001</v>
      </c>
      <c r="AF20" s="326">
        <v>-232</v>
      </c>
      <c r="AG20" s="326">
        <v>0</v>
      </c>
      <c r="AH20" s="326">
        <v>0</v>
      </c>
      <c r="AI20" s="326">
        <v>0</v>
      </c>
      <c r="AJ20" s="326">
        <v>0</v>
      </c>
      <c r="AK20" s="326">
        <v>4750.2004</v>
      </c>
      <c r="AL20" s="326">
        <v>3400.15</v>
      </c>
    </row>
    <row r="21" spans="1:38" s="291" customFormat="1" ht="17.25" customHeight="1">
      <c r="A21" s="262">
        <v>11</v>
      </c>
      <c r="B21" s="327" t="s">
        <v>1041</v>
      </c>
      <c r="C21" s="326">
        <v>8395.4894</v>
      </c>
      <c r="D21" s="326">
        <v>7544.346</v>
      </c>
      <c r="E21" s="326">
        <v>4960.0001</v>
      </c>
      <c r="F21" s="326">
        <v>4816.124</v>
      </c>
      <c r="G21" s="326">
        <v>1220.0001</v>
      </c>
      <c r="H21" s="326">
        <v>1084.128</v>
      </c>
      <c r="I21" s="326">
        <v>1035.0001</v>
      </c>
      <c r="J21" s="326">
        <v>787.094</v>
      </c>
      <c r="K21" s="326">
        <v>0</v>
      </c>
      <c r="L21" s="326">
        <v>0</v>
      </c>
      <c r="M21" s="326">
        <v>0</v>
      </c>
      <c r="N21" s="326">
        <v>0</v>
      </c>
      <c r="O21" s="326">
        <v>120.0001</v>
      </c>
      <c r="P21" s="326">
        <v>120</v>
      </c>
      <c r="Q21" s="326">
        <v>519</v>
      </c>
      <c r="R21" s="326">
        <v>377</v>
      </c>
      <c r="S21" s="326">
        <v>130.1</v>
      </c>
      <c r="T21" s="326">
        <v>20</v>
      </c>
      <c r="U21" s="326">
        <v>7984.1004</v>
      </c>
      <c r="V21" s="326">
        <v>7204.346</v>
      </c>
      <c r="W21" s="326">
        <v>411.389</v>
      </c>
      <c r="X21" s="326">
        <v>340</v>
      </c>
      <c r="Y21" s="326">
        <v>0</v>
      </c>
      <c r="Z21" s="326">
        <v>0</v>
      </c>
      <c r="AA21" s="326">
        <v>0</v>
      </c>
      <c r="AB21" s="326">
        <v>0</v>
      </c>
      <c r="AC21" s="326">
        <v>0</v>
      </c>
      <c r="AD21" s="326">
        <v>0</v>
      </c>
      <c r="AE21" s="326">
        <v>0</v>
      </c>
      <c r="AF21" s="326">
        <v>0</v>
      </c>
      <c r="AG21" s="326">
        <v>0</v>
      </c>
      <c r="AH21" s="326">
        <v>0</v>
      </c>
      <c r="AI21" s="326">
        <v>0</v>
      </c>
      <c r="AJ21" s="326">
        <v>0</v>
      </c>
      <c r="AK21" s="326">
        <v>411.389</v>
      </c>
      <c r="AL21" s="326">
        <v>340</v>
      </c>
    </row>
    <row r="22" spans="1:38" s="291" customFormat="1" ht="17.25" customHeight="1">
      <c r="A22" s="262">
        <v>12</v>
      </c>
      <c r="B22" s="327" t="s">
        <v>1042</v>
      </c>
      <c r="C22" s="326">
        <v>4842.4001</v>
      </c>
      <c r="D22" s="326">
        <v>910.6939999999995</v>
      </c>
      <c r="E22" s="326">
        <v>3434.0001</v>
      </c>
      <c r="F22" s="326">
        <v>3433.58</v>
      </c>
      <c r="G22" s="326">
        <v>699.7</v>
      </c>
      <c r="H22" s="326">
        <v>685.114</v>
      </c>
      <c r="I22" s="326">
        <v>362</v>
      </c>
      <c r="J22" s="326">
        <v>362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236</v>
      </c>
      <c r="R22" s="326">
        <v>236</v>
      </c>
      <c r="S22" s="326">
        <v>110</v>
      </c>
      <c r="T22" s="326">
        <v>0</v>
      </c>
      <c r="U22" s="326">
        <v>4841.7001</v>
      </c>
      <c r="V22" s="326">
        <v>4716.6939999999995</v>
      </c>
      <c r="W22" s="326">
        <v>490</v>
      </c>
      <c r="X22" s="326">
        <v>490</v>
      </c>
      <c r="Y22" s="326">
        <v>0</v>
      </c>
      <c r="Z22" s="326">
        <v>0</v>
      </c>
      <c r="AA22" s="326">
        <v>0</v>
      </c>
      <c r="AB22" s="326">
        <v>0</v>
      </c>
      <c r="AC22" s="326">
        <v>-489.3</v>
      </c>
      <c r="AD22" s="326">
        <v>-120</v>
      </c>
      <c r="AE22" s="326">
        <v>0</v>
      </c>
      <c r="AF22" s="326">
        <v>-4176</v>
      </c>
      <c r="AG22" s="326">
        <v>0</v>
      </c>
      <c r="AH22" s="326">
        <v>0</v>
      </c>
      <c r="AI22" s="326">
        <v>0</v>
      </c>
      <c r="AJ22" s="326">
        <v>0</v>
      </c>
      <c r="AK22" s="326">
        <v>0.6999999999999886</v>
      </c>
      <c r="AL22" s="326">
        <v>-3806</v>
      </c>
    </row>
    <row r="23" spans="1:38" s="291" customFormat="1" ht="17.25" customHeight="1">
      <c r="A23" s="262">
        <v>13</v>
      </c>
      <c r="B23" s="327" t="s">
        <v>416</v>
      </c>
      <c r="C23" s="326">
        <v>18972.3602</v>
      </c>
      <c r="D23" s="326">
        <v>10458.962</v>
      </c>
      <c r="E23" s="326">
        <v>9349.0001</v>
      </c>
      <c r="F23" s="326">
        <v>7251.952</v>
      </c>
      <c r="G23" s="326">
        <v>2108.5001</v>
      </c>
      <c r="H23" s="326">
        <v>1589.56</v>
      </c>
      <c r="I23" s="326">
        <v>1600</v>
      </c>
      <c r="J23" s="326">
        <v>962.45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700</v>
      </c>
      <c r="R23" s="326">
        <v>605</v>
      </c>
      <c r="S23" s="326">
        <v>790</v>
      </c>
      <c r="T23" s="326">
        <v>50</v>
      </c>
      <c r="U23" s="326">
        <v>14547.500199999999</v>
      </c>
      <c r="V23" s="326">
        <v>10458.962</v>
      </c>
      <c r="W23" s="326">
        <v>4424.86</v>
      </c>
      <c r="X23" s="326">
        <v>0</v>
      </c>
      <c r="Y23" s="326">
        <v>0</v>
      </c>
      <c r="Z23" s="326">
        <v>0</v>
      </c>
      <c r="AA23" s="326">
        <v>0</v>
      </c>
      <c r="AB23" s="326">
        <v>0</v>
      </c>
      <c r="AC23" s="326">
        <v>0</v>
      </c>
      <c r="AD23" s="326">
        <v>0</v>
      </c>
      <c r="AE23" s="326">
        <v>0</v>
      </c>
      <c r="AF23" s="326">
        <v>0</v>
      </c>
      <c r="AG23" s="326">
        <v>0</v>
      </c>
      <c r="AH23" s="326">
        <v>0</v>
      </c>
      <c r="AI23" s="326">
        <v>0</v>
      </c>
      <c r="AJ23" s="326">
        <v>0</v>
      </c>
      <c r="AK23" s="326">
        <v>4424.86</v>
      </c>
      <c r="AL23" s="326">
        <v>0</v>
      </c>
    </row>
    <row r="24" spans="1:38" s="291" customFormat="1" ht="17.25" customHeight="1">
      <c r="A24" s="262">
        <v>14</v>
      </c>
      <c r="B24" s="327" t="s">
        <v>1043</v>
      </c>
      <c r="C24" s="326">
        <v>14176.4803</v>
      </c>
      <c r="D24" s="326">
        <v>11975.802</v>
      </c>
      <c r="E24" s="326">
        <v>8279.6001</v>
      </c>
      <c r="F24" s="326">
        <v>7670.459</v>
      </c>
      <c r="G24" s="326">
        <v>2081.7001</v>
      </c>
      <c r="H24" s="326">
        <v>1801.663</v>
      </c>
      <c r="I24" s="326">
        <v>2400.0001</v>
      </c>
      <c r="J24" s="326">
        <v>1635.68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900</v>
      </c>
      <c r="R24" s="326">
        <v>500</v>
      </c>
      <c r="S24" s="326">
        <v>166.7</v>
      </c>
      <c r="T24" s="326">
        <v>20</v>
      </c>
      <c r="U24" s="326">
        <v>13828.0003</v>
      </c>
      <c r="V24" s="326">
        <v>11627.802</v>
      </c>
      <c r="W24" s="326">
        <v>348.48</v>
      </c>
      <c r="X24" s="326">
        <v>348</v>
      </c>
      <c r="Y24" s="326">
        <v>0</v>
      </c>
      <c r="Z24" s="326">
        <v>0</v>
      </c>
      <c r="AA24" s="326">
        <v>0</v>
      </c>
      <c r="AB24" s="326">
        <v>0</v>
      </c>
      <c r="AC24" s="326">
        <v>0</v>
      </c>
      <c r="AD24" s="326">
        <v>0</v>
      </c>
      <c r="AE24" s="326">
        <v>0</v>
      </c>
      <c r="AF24" s="326">
        <v>0</v>
      </c>
      <c r="AG24" s="326">
        <v>0</v>
      </c>
      <c r="AH24" s="326">
        <v>0</v>
      </c>
      <c r="AI24" s="326">
        <v>0</v>
      </c>
      <c r="AJ24" s="326">
        <v>0</v>
      </c>
      <c r="AK24" s="326">
        <v>348.48</v>
      </c>
      <c r="AL24" s="326">
        <v>348</v>
      </c>
    </row>
    <row r="25" spans="1:38" s="291" customFormat="1" ht="17.25" customHeight="1">
      <c r="A25" s="262">
        <v>15</v>
      </c>
      <c r="B25" s="327" t="s">
        <v>1044</v>
      </c>
      <c r="C25" s="326">
        <v>6820.0135</v>
      </c>
      <c r="D25" s="326">
        <v>6523.4980000000005</v>
      </c>
      <c r="E25" s="326">
        <v>4840.0002</v>
      </c>
      <c r="F25" s="326">
        <v>4819.484</v>
      </c>
      <c r="G25" s="326">
        <v>1070.0001</v>
      </c>
      <c r="H25" s="326">
        <v>1024.307</v>
      </c>
      <c r="I25" s="326">
        <v>680.0002</v>
      </c>
      <c r="J25" s="326">
        <v>589.507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50</v>
      </c>
      <c r="R25" s="326">
        <v>36</v>
      </c>
      <c r="S25" s="326">
        <v>35</v>
      </c>
      <c r="T25" s="326">
        <v>20</v>
      </c>
      <c r="U25" s="326">
        <v>6675.0005</v>
      </c>
      <c r="V25" s="326">
        <v>6489.298000000001</v>
      </c>
      <c r="W25" s="326">
        <v>145.013</v>
      </c>
      <c r="X25" s="326">
        <v>34.2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145.013</v>
      </c>
      <c r="AL25" s="326">
        <v>34.2</v>
      </c>
    </row>
    <row r="26" spans="1:38" s="291" customFormat="1" ht="17.25" customHeight="1">
      <c r="A26" s="262">
        <v>16</v>
      </c>
      <c r="B26" s="327" t="s">
        <v>1045</v>
      </c>
      <c r="C26" s="326">
        <v>6320.9004</v>
      </c>
      <c r="D26" s="326">
        <v>5501.217000000001</v>
      </c>
      <c r="E26" s="326">
        <v>2837.1001</v>
      </c>
      <c r="F26" s="326">
        <v>2654.234</v>
      </c>
      <c r="G26" s="326">
        <v>1060.8001</v>
      </c>
      <c r="H26" s="326">
        <v>717.383</v>
      </c>
      <c r="I26" s="326">
        <v>1260.0002</v>
      </c>
      <c r="J26" s="326">
        <v>1069.6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700</v>
      </c>
      <c r="R26" s="326">
        <v>700</v>
      </c>
      <c r="S26" s="326">
        <v>463</v>
      </c>
      <c r="T26" s="326">
        <v>360</v>
      </c>
      <c r="U26" s="326">
        <v>6320.9004</v>
      </c>
      <c r="V26" s="326">
        <v>5501.217000000001</v>
      </c>
      <c r="W26" s="326">
        <v>400</v>
      </c>
      <c r="X26" s="326">
        <v>350</v>
      </c>
      <c r="Y26" s="326">
        <v>0</v>
      </c>
      <c r="Z26" s="326">
        <v>0</v>
      </c>
      <c r="AA26" s="326">
        <v>0</v>
      </c>
      <c r="AB26" s="326">
        <v>0</v>
      </c>
      <c r="AC26" s="326">
        <v>0</v>
      </c>
      <c r="AD26" s="326">
        <v>0</v>
      </c>
      <c r="AE26" s="326">
        <v>0</v>
      </c>
      <c r="AF26" s="326">
        <v>0</v>
      </c>
      <c r="AG26" s="326">
        <v>0</v>
      </c>
      <c r="AH26" s="326">
        <v>0</v>
      </c>
      <c r="AI26" s="326">
        <v>400</v>
      </c>
      <c r="AJ26" s="326">
        <v>350</v>
      </c>
      <c r="AK26" s="326">
        <v>400</v>
      </c>
      <c r="AL26" s="326">
        <v>350</v>
      </c>
    </row>
    <row r="27" spans="1:38" s="291" customFormat="1" ht="17.25" customHeight="1">
      <c r="A27" s="262">
        <v>17</v>
      </c>
      <c r="B27" s="327" t="s">
        <v>1046</v>
      </c>
      <c r="C27" s="326">
        <v>17791.701299999997</v>
      </c>
      <c r="D27" s="326">
        <v>14475.201</v>
      </c>
      <c r="E27" s="326">
        <v>9586.0001</v>
      </c>
      <c r="F27" s="326">
        <v>8966.265</v>
      </c>
      <c r="G27" s="326">
        <v>1960.0001</v>
      </c>
      <c r="H27" s="326">
        <v>1754.648</v>
      </c>
      <c r="I27" s="326">
        <v>3686.001</v>
      </c>
      <c r="J27" s="326">
        <v>2865.288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1064</v>
      </c>
      <c r="R27" s="326">
        <v>900</v>
      </c>
      <c r="S27" s="326">
        <v>454.0001</v>
      </c>
      <c r="T27" s="326">
        <v>0</v>
      </c>
      <c r="U27" s="326">
        <v>16750.0013</v>
      </c>
      <c r="V27" s="326">
        <v>14486.201</v>
      </c>
      <c r="W27" s="326">
        <v>1295.7001</v>
      </c>
      <c r="X27" s="326">
        <v>310</v>
      </c>
      <c r="Y27" s="326">
        <v>0</v>
      </c>
      <c r="Z27" s="326">
        <v>0</v>
      </c>
      <c r="AA27" s="326">
        <v>0</v>
      </c>
      <c r="AB27" s="326">
        <v>0</v>
      </c>
      <c r="AC27" s="326">
        <v>0</v>
      </c>
      <c r="AD27" s="326">
        <v>-300</v>
      </c>
      <c r="AE27" s="326">
        <v>0</v>
      </c>
      <c r="AF27" s="326">
        <v>-21</v>
      </c>
      <c r="AG27" s="326">
        <v>0</v>
      </c>
      <c r="AH27" s="326">
        <v>0</v>
      </c>
      <c r="AI27" s="326">
        <v>254.0001</v>
      </c>
      <c r="AJ27" s="326">
        <v>0</v>
      </c>
      <c r="AK27" s="326">
        <v>1295.7001</v>
      </c>
      <c r="AL27" s="326">
        <v>-11</v>
      </c>
    </row>
    <row r="28" spans="1:38" s="291" customFormat="1" ht="17.25" customHeight="1">
      <c r="A28" s="262">
        <v>18</v>
      </c>
      <c r="B28" s="327" t="s">
        <v>1047</v>
      </c>
      <c r="C28" s="326">
        <v>4763.9289</v>
      </c>
      <c r="D28" s="326">
        <v>4268.893</v>
      </c>
      <c r="E28" s="326">
        <v>2749.4</v>
      </c>
      <c r="F28" s="326">
        <v>2749.4</v>
      </c>
      <c r="G28" s="326">
        <v>600</v>
      </c>
      <c r="H28" s="326">
        <v>594.243</v>
      </c>
      <c r="I28" s="326">
        <v>680</v>
      </c>
      <c r="J28" s="326">
        <v>654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530</v>
      </c>
      <c r="R28" s="326">
        <v>420</v>
      </c>
      <c r="S28" s="326">
        <v>35</v>
      </c>
      <c r="T28" s="326">
        <v>0</v>
      </c>
      <c r="U28" s="326">
        <v>4594.4</v>
      </c>
      <c r="V28" s="326">
        <v>4417.643</v>
      </c>
      <c r="W28" s="326">
        <v>1153.839</v>
      </c>
      <c r="X28" s="326">
        <v>1135</v>
      </c>
      <c r="Y28" s="326">
        <v>0</v>
      </c>
      <c r="Z28" s="326">
        <v>0</v>
      </c>
      <c r="AA28" s="326">
        <v>0</v>
      </c>
      <c r="AB28" s="326">
        <v>0</v>
      </c>
      <c r="AC28" s="326">
        <v>0</v>
      </c>
      <c r="AD28" s="326">
        <v>0</v>
      </c>
      <c r="AE28" s="326">
        <v>-984.3101</v>
      </c>
      <c r="AF28" s="326">
        <v>-1283.75</v>
      </c>
      <c r="AG28" s="326">
        <v>0</v>
      </c>
      <c r="AH28" s="326">
        <v>0</v>
      </c>
      <c r="AI28" s="326">
        <v>0</v>
      </c>
      <c r="AJ28" s="326">
        <v>0</v>
      </c>
      <c r="AK28" s="326">
        <v>169.5288999999999</v>
      </c>
      <c r="AL28" s="326">
        <v>-148.75</v>
      </c>
    </row>
    <row r="29" spans="1:38" s="291" customFormat="1" ht="17.25" customHeight="1">
      <c r="A29" s="262">
        <v>19</v>
      </c>
      <c r="B29" s="327" t="s">
        <v>1048</v>
      </c>
      <c r="C29" s="326">
        <v>6939.0303</v>
      </c>
      <c r="D29" s="326">
        <v>5618.2</v>
      </c>
      <c r="E29" s="326">
        <v>4460.0002</v>
      </c>
      <c r="F29" s="326">
        <v>3979.6</v>
      </c>
      <c r="G29" s="326">
        <v>1024.2001</v>
      </c>
      <c r="H29" s="326">
        <v>901.2</v>
      </c>
      <c r="I29" s="326">
        <v>650</v>
      </c>
      <c r="J29" s="326">
        <v>292.4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200</v>
      </c>
      <c r="R29" s="326">
        <v>95</v>
      </c>
      <c r="S29" s="326">
        <v>101</v>
      </c>
      <c r="T29" s="326">
        <v>10</v>
      </c>
      <c r="U29" s="326">
        <v>6435.2003</v>
      </c>
      <c r="V29" s="326">
        <v>5278.2</v>
      </c>
      <c r="W29" s="326">
        <v>503.83</v>
      </c>
      <c r="X29" s="326">
        <v>340</v>
      </c>
      <c r="Y29" s="326">
        <v>0</v>
      </c>
      <c r="Z29" s="326">
        <v>0</v>
      </c>
      <c r="AA29" s="326">
        <v>0</v>
      </c>
      <c r="AB29" s="326">
        <v>0</v>
      </c>
      <c r="AC29" s="326">
        <v>0</v>
      </c>
      <c r="AD29" s="326">
        <v>0</v>
      </c>
      <c r="AE29" s="326">
        <v>0</v>
      </c>
      <c r="AF29" s="326">
        <v>0</v>
      </c>
      <c r="AG29" s="326">
        <v>0</v>
      </c>
      <c r="AH29" s="326">
        <v>0</v>
      </c>
      <c r="AI29" s="326">
        <v>0</v>
      </c>
      <c r="AJ29" s="326">
        <v>0</v>
      </c>
      <c r="AK29" s="326">
        <v>503.83</v>
      </c>
      <c r="AL29" s="326">
        <v>340</v>
      </c>
    </row>
    <row r="30" spans="1:38" s="291" customFormat="1" ht="17.25" customHeight="1">
      <c r="A30" s="262">
        <v>20</v>
      </c>
      <c r="B30" s="327" t="s">
        <v>1049</v>
      </c>
      <c r="C30" s="326">
        <v>4819.7825</v>
      </c>
      <c r="D30" s="326">
        <v>4046.374</v>
      </c>
      <c r="E30" s="326">
        <v>3440.0002</v>
      </c>
      <c r="F30" s="326">
        <v>2960</v>
      </c>
      <c r="G30" s="326">
        <v>847.0001</v>
      </c>
      <c r="H30" s="326">
        <v>700.474</v>
      </c>
      <c r="I30" s="326">
        <v>355.9001</v>
      </c>
      <c r="J30" s="326">
        <v>355.9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50</v>
      </c>
      <c r="R30" s="326">
        <v>30</v>
      </c>
      <c r="S30" s="326">
        <v>0</v>
      </c>
      <c r="T30" s="326">
        <v>0</v>
      </c>
      <c r="U30" s="326">
        <v>4692.9004</v>
      </c>
      <c r="V30" s="326">
        <v>4046.374</v>
      </c>
      <c r="W30" s="326">
        <v>126.8821</v>
      </c>
      <c r="X30" s="326">
        <v>0</v>
      </c>
      <c r="Y30" s="326">
        <v>0</v>
      </c>
      <c r="Z30" s="326">
        <v>0</v>
      </c>
      <c r="AA30" s="326">
        <v>0</v>
      </c>
      <c r="AB30" s="326">
        <v>0</v>
      </c>
      <c r="AC30" s="32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26">
        <v>0</v>
      </c>
      <c r="AJ30" s="326">
        <v>0</v>
      </c>
      <c r="AK30" s="326">
        <v>126.8821</v>
      </c>
      <c r="AL30" s="326">
        <v>0</v>
      </c>
    </row>
    <row r="31" spans="1:38" s="291" customFormat="1" ht="17.25" customHeight="1">
      <c r="A31" s="262">
        <v>21</v>
      </c>
      <c r="B31" s="327" t="s">
        <v>1050</v>
      </c>
      <c r="C31" s="326">
        <v>7236.3616</v>
      </c>
      <c r="D31" s="326">
        <v>5480.126</v>
      </c>
      <c r="E31" s="326">
        <v>3257.0001</v>
      </c>
      <c r="F31" s="326">
        <v>2967.221</v>
      </c>
      <c r="G31" s="326">
        <v>752.0001</v>
      </c>
      <c r="H31" s="326">
        <v>667.305</v>
      </c>
      <c r="I31" s="326">
        <v>1680.0002</v>
      </c>
      <c r="J31" s="326">
        <v>902.6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400</v>
      </c>
      <c r="R31" s="326">
        <v>210</v>
      </c>
      <c r="S31" s="326">
        <v>447.7002</v>
      </c>
      <c r="T31" s="326">
        <v>35</v>
      </c>
      <c r="U31" s="326">
        <v>6536.7006</v>
      </c>
      <c r="V31" s="326">
        <v>4782.126</v>
      </c>
      <c r="W31" s="326">
        <v>699.661</v>
      </c>
      <c r="X31" s="326">
        <v>698</v>
      </c>
      <c r="Y31" s="326">
        <v>0</v>
      </c>
      <c r="Z31" s="326">
        <v>0</v>
      </c>
      <c r="AA31" s="326">
        <v>0</v>
      </c>
      <c r="AB31" s="326">
        <v>0</v>
      </c>
      <c r="AC31" s="326">
        <v>0</v>
      </c>
      <c r="AD31" s="326">
        <v>0</v>
      </c>
      <c r="AE31" s="326">
        <v>0</v>
      </c>
      <c r="AF31" s="326">
        <v>0</v>
      </c>
      <c r="AG31" s="326">
        <v>0</v>
      </c>
      <c r="AH31" s="326">
        <v>0</v>
      </c>
      <c r="AI31" s="326">
        <v>0</v>
      </c>
      <c r="AJ31" s="326">
        <v>0</v>
      </c>
      <c r="AK31" s="326">
        <v>699.661</v>
      </c>
      <c r="AL31" s="326">
        <v>698</v>
      </c>
    </row>
    <row r="32" spans="1:38" s="291" customFormat="1" ht="17.25" customHeight="1">
      <c r="A32" s="262">
        <v>22</v>
      </c>
      <c r="B32" s="327" t="s">
        <v>1051</v>
      </c>
      <c r="C32" s="326">
        <v>5912.4825</v>
      </c>
      <c r="D32" s="326">
        <v>3513.672</v>
      </c>
      <c r="E32" s="326">
        <v>2560</v>
      </c>
      <c r="F32" s="326">
        <v>2499.274</v>
      </c>
      <c r="G32" s="326">
        <v>620</v>
      </c>
      <c r="H32" s="326">
        <v>579.138</v>
      </c>
      <c r="I32" s="326">
        <v>926.0003</v>
      </c>
      <c r="J32" s="326">
        <v>387.26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120</v>
      </c>
      <c r="R32" s="326">
        <v>20</v>
      </c>
      <c r="S32" s="326">
        <v>485.0001</v>
      </c>
      <c r="T32" s="326">
        <v>28</v>
      </c>
      <c r="U32" s="326">
        <v>4711.0004</v>
      </c>
      <c r="V32" s="326">
        <v>3513.672</v>
      </c>
      <c r="W32" s="326">
        <v>1201.4821</v>
      </c>
      <c r="X32" s="326">
        <v>0</v>
      </c>
      <c r="Y32" s="326">
        <v>0</v>
      </c>
      <c r="Z32" s="326">
        <v>0</v>
      </c>
      <c r="AA32" s="326">
        <v>0</v>
      </c>
      <c r="AB32" s="326">
        <v>0</v>
      </c>
      <c r="AC32" s="326">
        <v>0</v>
      </c>
      <c r="AD32" s="326">
        <v>0</v>
      </c>
      <c r="AE32" s="326">
        <v>0</v>
      </c>
      <c r="AF32" s="326">
        <v>0</v>
      </c>
      <c r="AG32" s="326">
        <v>0</v>
      </c>
      <c r="AH32" s="326">
        <v>0</v>
      </c>
      <c r="AI32" s="326">
        <v>0</v>
      </c>
      <c r="AJ32" s="326">
        <v>0</v>
      </c>
      <c r="AK32" s="326">
        <v>1201.4821</v>
      </c>
      <c r="AL32" s="326">
        <v>0</v>
      </c>
    </row>
    <row r="33" spans="1:38" s="291" customFormat="1" ht="17.25" customHeight="1">
      <c r="A33" s="262">
        <v>23</v>
      </c>
      <c r="B33" s="327" t="s">
        <v>1052</v>
      </c>
      <c r="C33" s="326">
        <f aca="true" t="shared" si="0" ref="C33:D73">U33+AK33-AI33</f>
        <v>411988.465</v>
      </c>
      <c r="D33" s="326">
        <f t="shared" si="0"/>
        <v>348209.756</v>
      </c>
      <c r="E33" s="326">
        <v>44335</v>
      </c>
      <c r="F33" s="326">
        <v>43408.437</v>
      </c>
      <c r="G33" s="326">
        <v>9070</v>
      </c>
      <c r="H33" s="326">
        <v>8981.422</v>
      </c>
      <c r="I33" s="326">
        <v>84882.1</v>
      </c>
      <c r="J33" s="326">
        <v>82366.39</v>
      </c>
      <c r="K33" s="326">
        <v>0</v>
      </c>
      <c r="L33" s="326">
        <v>0</v>
      </c>
      <c r="M33" s="326">
        <v>97702.165</v>
      </c>
      <c r="N33" s="326">
        <v>97290.65</v>
      </c>
      <c r="O33" s="326">
        <v>1500</v>
      </c>
      <c r="P33" s="326">
        <v>1500</v>
      </c>
      <c r="Q33" s="326">
        <v>5710</v>
      </c>
      <c r="R33" s="326">
        <v>5709</v>
      </c>
      <c r="S33" s="326">
        <v>459</v>
      </c>
      <c r="T33" s="326">
        <v>408</v>
      </c>
      <c r="U33" s="326">
        <f aca="true" t="shared" si="1" ref="U33:V73">S33+Q33+O33+M33+K33+I33+G33+E33</f>
        <v>243658.265</v>
      </c>
      <c r="V33" s="326">
        <f t="shared" si="1"/>
        <v>239663.89899999998</v>
      </c>
      <c r="W33" s="326">
        <v>162481.9</v>
      </c>
      <c r="X33" s="326">
        <v>110611.409</v>
      </c>
      <c r="Y33" s="326">
        <v>7851.2</v>
      </c>
      <c r="Z33" s="326">
        <v>0</v>
      </c>
      <c r="AA33" s="326">
        <v>0</v>
      </c>
      <c r="AB33" s="326">
        <v>0</v>
      </c>
      <c r="AC33" s="326">
        <v>-2002.9</v>
      </c>
      <c r="AD33" s="326">
        <v>-1623.4</v>
      </c>
      <c r="AE33" s="326">
        <v>0</v>
      </c>
      <c r="AF33" s="326">
        <v>-442.152</v>
      </c>
      <c r="AG33" s="326">
        <v>0</v>
      </c>
      <c r="AH33" s="326">
        <v>0</v>
      </c>
      <c r="AI33" s="326">
        <v>0</v>
      </c>
      <c r="AJ33" s="326">
        <v>0</v>
      </c>
      <c r="AK33" s="326">
        <f aca="true" t="shared" si="2" ref="AK33:AL73">W33+Y33+AA33+AC33+AE33+AG33</f>
        <v>168330.2</v>
      </c>
      <c r="AL33" s="326">
        <f t="shared" si="2"/>
        <v>108545.857</v>
      </c>
    </row>
    <row r="34" spans="1:38" s="291" customFormat="1" ht="17.25" customHeight="1">
      <c r="A34" s="262">
        <v>24</v>
      </c>
      <c r="B34" s="327" t="s">
        <v>1053</v>
      </c>
      <c r="C34" s="326">
        <f t="shared" si="0"/>
        <v>17788.8</v>
      </c>
      <c r="D34" s="326">
        <f t="shared" si="0"/>
        <v>17166.199</v>
      </c>
      <c r="E34" s="326">
        <v>8525</v>
      </c>
      <c r="F34" s="326">
        <v>8473.672</v>
      </c>
      <c r="G34" s="326">
        <v>1466.8</v>
      </c>
      <c r="H34" s="326">
        <v>1354.727</v>
      </c>
      <c r="I34" s="326">
        <v>4426</v>
      </c>
      <c r="J34" s="326">
        <v>4098.8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3122</v>
      </c>
      <c r="R34" s="326">
        <v>3120</v>
      </c>
      <c r="S34" s="326">
        <v>198.8</v>
      </c>
      <c r="T34" s="326">
        <v>68.85</v>
      </c>
      <c r="U34" s="326">
        <f t="shared" si="1"/>
        <v>17738.6</v>
      </c>
      <c r="V34" s="326">
        <f t="shared" si="1"/>
        <v>17116.049</v>
      </c>
      <c r="W34" s="326">
        <v>2280</v>
      </c>
      <c r="X34" s="326">
        <v>104</v>
      </c>
      <c r="Y34" s="326">
        <v>0</v>
      </c>
      <c r="Z34" s="326">
        <v>0</v>
      </c>
      <c r="AA34" s="326">
        <v>0</v>
      </c>
      <c r="AB34" s="326">
        <v>0</v>
      </c>
      <c r="AC34" s="326">
        <v>-1500</v>
      </c>
      <c r="AD34" s="326">
        <v>0</v>
      </c>
      <c r="AE34" s="326">
        <v>-600</v>
      </c>
      <c r="AF34" s="326">
        <v>0</v>
      </c>
      <c r="AG34" s="326">
        <v>0</v>
      </c>
      <c r="AH34" s="326">
        <v>0</v>
      </c>
      <c r="AI34" s="326">
        <v>129.8</v>
      </c>
      <c r="AJ34" s="326">
        <v>53.85</v>
      </c>
      <c r="AK34" s="326">
        <f t="shared" si="2"/>
        <v>180</v>
      </c>
      <c r="AL34" s="326">
        <f t="shared" si="2"/>
        <v>104</v>
      </c>
    </row>
    <row r="35" spans="1:38" s="291" customFormat="1" ht="17.25" customHeight="1">
      <c r="A35" s="262">
        <v>25</v>
      </c>
      <c r="B35" s="327" t="s">
        <v>1054</v>
      </c>
      <c r="C35" s="326">
        <f t="shared" si="0"/>
        <v>20526</v>
      </c>
      <c r="D35" s="326">
        <f t="shared" si="0"/>
        <v>17952.283000000003</v>
      </c>
      <c r="E35" s="326">
        <v>6338</v>
      </c>
      <c r="F35" s="326">
        <v>5358.616</v>
      </c>
      <c r="G35" s="326">
        <v>1323.8</v>
      </c>
      <c r="H35" s="326">
        <v>1211.947</v>
      </c>
      <c r="I35" s="326">
        <v>6838</v>
      </c>
      <c r="J35" s="326">
        <v>5867.72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2440</v>
      </c>
      <c r="R35" s="326">
        <v>2350</v>
      </c>
      <c r="S35" s="326">
        <v>2264</v>
      </c>
      <c r="T35" s="326">
        <v>1841.763</v>
      </c>
      <c r="U35" s="326">
        <f t="shared" si="1"/>
        <v>19203.8</v>
      </c>
      <c r="V35" s="326">
        <f t="shared" si="1"/>
        <v>16630.046000000002</v>
      </c>
      <c r="W35" s="326">
        <v>5322.2</v>
      </c>
      <c r="X35" s="326">
        <v>3123</v>
      </c>
      <c r="Y35" s="326">
        <v>0</v>
      </c>
      <c r="Z35" s="326">
        <v>0</v>
      </c>
      <c r="AA35" s="326">
        <v>0</v>
      </c>
      <c r="AB35" s="326">
        <v>0</v>
      </c>
      <c r="AC35" s="326">
        <v>-2000</v>
      </c>
      <c r="AD35" s="326">
        <v>0</v>
      </c>
      <c r="AE35" s="326">
        <v>0</v>
      </c>
      <c r="AF35" s="326">
        <v>0</v>
      </c>
      <c r="AG35" s="326">
        <v>0</v>
      </c>
      <c r="AH35" s="326">
        <v>0</v>
      </c>
      <c r="AI35" s="326">
        <v>2000</v>
      </c>
      <c r="AJ35" s="326">
        <v>1800.763</v>
      </c>
      <c r="AK35" s="326">
        <f t="shared" si="2"/>
        <v>3322.2</v>
      </c>
      <c r="AL35" s="326">
        <f t="shared" si="2"/>
        <v>3123</v>
      </c>
    </row>
    <row r="36" spans="1:38" s="291" customFormat="1" ht="17.25" customHeight="1">
      <c r="A36" s="262">
        <v>26</v>
      </c>
      <c r="B36" s="327" t="s">
        <v>1055</v>
      </c>
      <c r="C36" s="326">
        <f t="shared" si="0"/>
        <v>27927</v>
      </c>
      <c r="D36" s="326">
        <f t="shared" si="0"/>
        <v>18598.493000000002</v>
      </c>
      <c r="E36" s="326">
        <v>8640</v>
      </c>
      <c r="F36" s="326">
        <v>8134.511</v>
      </c>
      <c r="G36" s="326">
        <v>1782</v>
      </c>
      <c r="H36" s="326">
        <v>1560.882</v>
      </c>
      <c r="I36" s="326">
        <v>7285</v>
      </c>
      <c r="J36" s="326">
        <v>5119.2</v>
      </c>
      <c r="K36" s="326">
        <v>0</v>
      </c>
      <c r="L36" s="326">
        <v>0</v>
      </c>
      <c r="M36" s="326">
        <v>0</v>
      </c>
      <c r="N36" s="326">
        <v>0</v>
      </c>
      <c r="O36" s="326">
        <v>650</v>
      </c>
      <c r="P36" s="326">
        <v>650</v>
      </c>
      <c r="Q36" s="326">
        <v>2350</v>
      </c>
      <c r="R36" s="326">
        <v>1670</v>
      </c>
      <c r="S36" s="326">
        <v>2536</v>
      </c>
      <c r="T36" s="326">
        <v>87</v>
      </c>
      <c r="U36" s="326">
        <f t="shared" si="1"/>
        <v>23243</v>
      </c>
      <c r="V36" s="326">
        <f t="shared" si="1"/>
        <v>17221.593</v>
      </c>
      <c r="W36" s="326">
        <v>7700</v>
      </c>
      <c r="X36" s="326">
        <v>5717.5</v>
      </c>
      <c r="Y36" s="326">
        <v>0</v>
      </c>
      <c r="Z36" s="326">
        <v>0</v>
      </c>
      <c r="AA36" s="326">
        <v>0</v>
      </c>
      <c r="AB36" s="326">
        <v>0</v>
      </c>
      <c r="AC36" s="326">
        <v>0</v>
      </c>
      <c r="AD36" s="326">
        <v>0</v>
      </c>
      <c r="AE36" s="326">
        <v>-1000</v>
      </c>
      <c r="AF36" s="326">
        <v>-4340.6</v>
      </c>
      <c r="AG36" s="326">
        <v>0</v>
      </c>
      <c r="AH36" s="326">
        <v>0</v>
      </c>
      <c r="AI36" s="326">
        <v>2016</v>
      </c>
      <c r="AJ36" s="326">
        <v>0</v>
      </c>
      <c r="AK36" s="326">
        <f t="shared" si="2"/>
        <v>6700</v>
      </c>
      <c r="AL36" s="326">
        <f t="shared" si="2"/>
        <v>1376.8999999999996</v>
      </c>
    </row>
    <row r="37" spans="1:38" s="291" customFormat="1" ht="17.25" customHeight="1">
      <c r="A37" s="262">
        <v>27</v>
      </c>
      <c r="B37" s="327" t="s">
        <v>1056</v>
      </c>
      <c r="C37" s="326">
        <f t="shared" si="0"/>
        <v>36482.2</v>
      </c>
      <c r="D37" s="326">
        <f t="shared" si="0"/>
        <v>28387.251</v>
      </c>
      <c r="E37" s="326">
        <v>9930</v>
      </c>
      <c r="F37" s="326">
        <v>9929.954</v>
      </c>
      <c r="G37" s="326">
        <v>1892.2</v>
      </c>
      <c r="H37" s="326">
        <v>1870.066</v>
      </c>
      <c r="I37" s="326">
        <v>11215</v>
      </c>
      <c r="J37" s="326">
        <v>8381.231</v>
      </c>
      <c r="K37" s="326">
        <v>0</v>
      </c>
      <c r="L37" s="326">
        <v>0</v>
      </c>
      <c r="M37" s="326">
        <v>0</v>
      </c>
      <c r="N37" s="326">
        <v>0</v>
      </c>
      <c r="O37" s="326">
        <v>1300</v>
      </c>
      <c r="P37" s="326">
        <v>1200</v>
      </c>
      <c r="Q37" s="326">
        <v>1550</v>
      </c>
      <c r="R37" s="326">
        <v>845</v>
      </c>
      <c r="S37" s="326">
        <v>913.37</v>
      </c>
      <c r="T37" s="326">
        <v>74</v>
      </c>
      <c r="U37" s="326">
        <f t="shared" si="1"/>
        <v>26800.57</v>
      </c>
      <c r="V37" s="326">
        <f t="shared" si="1"/>
        <v>22300.251</v>
      </c>
      <c r="W37" s="326">
        <v>12400</v>
      </c>
      <c r="X37" s="326">
        <v>7935</v>
      </c>
      <c r="Y37" s="326">
        <v>0</v>
      </c>
      <c r="Z37" s="326">
        <v>0</v>
      </c>
      <c r="AA37" s="326">
        <v>0</v>
      </c>
      <c r="AB37" s="326">
        <v>0</v>
      </c>
      <c r="AC37" s="326">
        <v>-2200</v>
      </c>
      <c r="AD37" s="326">
        <v>-1848</v>
      </c>
      <c r="AE37" s="326">
        <v>-300</v>
      </c>
      <c r="AF37" s="326">
        <v>0</v>
      </c>
      <c r="AG37" s="326">
        <v>0</v>
      </c>
      <c r="AH37" s="326">
        <v>0</v>
      </c>
      <c r="AI37" s="326">
        <v>218.37</v>
      </c>
      <c r="AJ37" s="326">
        <v>0</v>
      </c>
      <c r="AK37" s="326">
        <f t="shared" si="2"/>
        <v>9900</v>
      </c>
      <c r="AL37" s="326">
        <f t="shared" si="2"/>
        <v>6087</v>
      </c>
    </row>
    <row r="38" spans="1:38" s="291" customFormat="1" ht="17.25" customHeight="1">
      <c r="A38" s="262">
        <v>28</v>
      </c>
      <c r="B38" s="327" t="s">
        <v>1057</v>
      </c>
      <c r="C38" s="326">
        <f t="shared" si="0"/>
        <v>24678.2</v>
      </c>
      <c r="D38" s="326">
        <f t="shared" si="0"/>
        <v>15757.454000000002</v>
      </c>
      <c r="E38" s="326">
        <v>9085</v>
      </c>
      <c r="F38" s="326">
        <v>7166.154</v>
      </c>
      <c r="G38" s="326">
        <v>1949.5</v>
      </c>
      <c r="H38" s="326">
        <v>1394</v>
      </c>
      <c r="I38" s="326">
        <v>5785</v>
      </c>
      <c r="J38" s="326">
        <v>4754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2700</v>
      </c>
      <c r="R38" s="326">
        <v>1925</v>
      </c>
      <c r="S38" s="326">
        <v>897.5</v>
      </c>
      <c r="T38" s="326">
        <v>61.1</v>
      </c>
      <c r="U38" s="326">
        <f t="shared" si="1"/>
        <v>20417</v>
      </c>
      <c r="V38" s="326">
        <f t="shared" si="1"/>
        <v>15300.254</v>
      </c>
      <c r="W38" s="326">
        <v>5950</v>
      </c>
      <c r="X38" s="326">
        <v>516</v>
      </c>
      <c r="Y38" s="326">
        <v>0</v>
      </c>
      <c r="Z38" s="326">
        <v>0</v>
      </c>
      <c r="AA38" s="326">
        <v>0</v>
      </c>
      <c r="AB38" s="326">
        <v>0</v>
      </c>
      <c r="AC38" s="326">
        <v>-500</v>
      </c>
      <c r="AD38" s="326">
        <v>-58.8</v>
      </c>
      <c r="AE38" s="326">
        <v>-500</v>
      </c>
      <c r="AF38" s="326">
        <v>0</v>
      </c>
      <c r="AG38" s="326">
        <v>0</v>
      </c>
      <c r="AH38" s="326">
        <v>0</v>
      </c>
      <c r="AI38" s="326">
        <v>688.8</v>
      </c>
      <c r="AJ38" s="326">
        <v>0</v>
      </c>
      <c r="AK38" s="326">
        <f t="shared" si="2"/>
        <v>4950</v>
      </c>
      <c r="AL38" s="326">
        <f t="shared" si="2"/>
        <v>457.2</v>
      </c>
    </row>
    <row r="39" spans="1:38" s="291" customFormat="1" ht="17.25" customHeight="1">
      <c r="A39" s="262">
        <v>29</v>
      </c>
      <c r="B39" s="327" t="s">
        <v>1058</v>
      </c>
      <c r="C39" s="326">
        <f t="shared" si="0"/>
        <v>33564.700000000004</v>
      </c>
      <c r="D39" s="326">
        <f t="shared" si="0"/>
        <v>30936.361999999997</v>
      </c>
      <c r="E39" s="326">
        <v>12096</v>
      </c>
      <c r="F39" s="326">
        <v>11995.167</v>
      </c>
      <c r="G39" s="326">
        <v>2542.4</v>
      </c>
      <c r="H39" s="326">
        <v>2311.125</v>
      </c>
      <c r="I39" s="326">
        <v>8037</v>
      </c>
      <c r="J39" s="326">
        <v>6147.416</v>
      </c>
      <c r="K39" s="326">
        <v>0</v>
      </c>
      <c r="L39" s="326">
        <v>0</v>
      </c>
      <c r="M39" s="326">
        <v>0</v>
      </c>
      <c r="N39" s="326">
        <v>0</v>
      </c>
      <c r="O39" s="326">
        <v>1000</v>
      </c>
      <c r="P39" s="326">
        <v>1000</v>
      </c>
      <c r="Q39" s="326">
        <v>7750</v>
      </c>
      <c r="R39" s="326">
        <v>7496</v>
      </c>
      <c r="S39" s="326">
        <v>621</v>
      </c>
      <c r="T39" s="326">
        <v>468.5</v>
      </c>
      <c r="U39" s="326">
        <f t="shared" si="1"/>
        <v>32046.4</v>
      </c>
      <c r="V39" s="326">
        <f t="shared" si="1"/>
        <v>29418.208</v>
      </c>
      <c r="W39" s="326">
        <v>4848.3</v>
      </c>
      <c r="X39" s="326">
        <v>1845.154</v>
      </c>
      <c r="Y39" s="326">
        <v>0</v>
      </c>
      <c r="Z39" s="326">
        <v>0</v>
      </c>
      <c r="AA39" s="326">
        <v>0</v>
      </c>
      <c r="AB39" s="326">
        <v>0</v>
      </c>
      <c r="AC39" s="326">
        <v>0</v>
      </c>
      <c r="AD39" s="326">
        <v>0</v>
      </c>
      <c r="AE39" s="326">
        <v>-3000</v>
      </c>
      <c r="AF39" s="326">
        <v>0</v>
      </c>
      <c r="AG39" s="326">
        <v>0</v>
      </c>
      <c r="AH39" s="326">
        <v>0</v>
      </c>
      <c r="AI39" s="326">
        <v>330</v>
      </c>
      <c r="AJ39" s="326">
        <v>327</v>
      </c>
      <c r="AK39" s="326">
        <f t="shared" si="2"/>
        <v>1848.3000000000002</v>
      </c>
      <c r="AL39" s="326">
        <f t="shared" si="2"/>
        <v>1845.154</v>
      </c>
    </row>
    <row r="40" spans="1:38" s="291" customFormat="1" ht="17.25" customHeight="1">
      <c r="A40" s="262">
        <v>30</v>
      </c>
      <c r="B40" s="327" t="s">
        <v>1059</v>
      </c>
      <c r="C40" s="326">
        <f t="shared" si="0"/>
        <v>45441</v>
      </c>
      <c r="D40" s="326">
        <f t="shared" si="0"/>
        <v>39991.931000000004</v>
      </c>
      <c r="E40" s="326">
        <v>23341.5</v>
      </c>
      <c r="F40" s="326">
        <v>22385.068</v>
      </c>
      <c r="G40" s="326">
        <v>5331</v>
      </c>
      <c r="H40" s="326">
        <v>4920.183</v>
      </c>
      <c r="I40" s="326">
        <v>9283.5</v>
      </c>
      <c r="J40" s="326">
        <v>8349.259</v>
      </c>
      <c r="K40" s="326">
        <v>0</v>
      </c>
      <c r="L40" s="326">
        <v>0</v>
      </c>
      <c r="M40" s="326">
        <v>0</v>
      </c>
      <c r="N40" s="326">
        <v>0</v>
      </c>
      <c r="O40" s="326">
        <v>800</v>
      </c>
      <c r="P40" s="326">
        <v>778.181</v>
      </c>
      <c r="Q40" s="326">
        <v>1860</v>
      </c>
      <c r="R40" s="326">
        <v>1854.7</v>
      </c>
      <c r="S40" s="326">
        <v>110.8</v>
      </c>
      <c r="T40" s="326">
        <v>110</v>
      </c>
      <c r="U40" s="326">
        <f t="shared" si="1"/>
        <v>40726.8</v>
      </c>
      <c r="V40" s="326">
        <f t="shared" si="1"/>
        <v>38397.391</v>
      </c>
      <c r="W40" s="326">
        <v>5714.2</v>
      </c>
      <c r="X40" s="326">
        <v>2515.75</v>
      </c>
      <c r="Y40" s="326">
        <v>0</v>
      </c>
      <c r="Z40" s="326">
        <v>0</v>
      </c>
      <c r="AA40" s="326">
        <v>0</v>
      </c>
      <c r="AB40" s="326">
        <v>0</v>
      </c>
      <c r="AC40" s="326">
        <v>-500</v>
      </c>
      <c r="AD40" s="326">
        <v>0</v>
      </c>
      <c r="AE40" s="326">
        <v>-500</v>
      </c>
      <c r="AF40" s="326">
        <v>-921.21</v>
      </c>
      <c r="AG40" s="326">
        <v>0</v>
      </c>
      <c r="AH40" s="326">
        <v>0</v>
      </c>
      <c r="AI40" s="326">
        <v>0</v>
      </c>
      <c r="AJ40" s="326">
        <v>0</v>
      </c>
      <c r="AK40" s="326">
        <f t="shared" si="2"/>
        <v>4714.2</v>
      </c>
      <c r="AL40" s="326">
        <f t="shared" si="2"/>
        <v>1594.54</v>
      </c>
    </row>
    <row r="41" spans="1:38" s="291" customFormat="1" ht="17.25" customHeight="1">
      <c r="A41" s="262">
        <v>31</v>
      </c>
      <c r="B41" s="327" t="s">
        <v>1060</v>
      </c>
      <c r="C41" s="326">
        <f t="shared" si="0"/>
        <v>42396.00000000001</v>
      </c>
      <c r="D41" s="326">
        <f t="shared" si="0"/>
        <v>41645.97</v>
      </c>
      <c r="E41" s="326">
        <v>10210</v>
      </c>
      <c r="F41" s="326">
        <v>10129.912</v>
      </c>
      <c r="G41" s="326">
        <v>2036</v>
      </c>
      <c r="H41" s="326">
        <v>1990.088</v>
      </c>
      <c r="I41" s="326">
        <v>6068</v>
      </c>
      <c r="J41" s="326">
        <v>5766.4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5350</v>
      </c>
      <c r="R41" s="326">
        <v>5141</v>
      </c>
      <c r="S41" s="326">
        <v>17218.8</v>
      </c>
      <c r="T41" s="326">
        <v>17137.729</v>
      </c>
      <c r="U41" s="326">
        <f t="shared" si="1"/>
        <v>40882.8</v>
      </c>
      <c r="V41" s="326">
        <f t="shared" si="1"/>
        <v>40165.129</v>
      </c>
      <c r="W41" s="326">
        <v>32036.3</v>
      </c>
      <c r="X41" s="326">
        <v>18600</v>
      </c>
      <c r="Y41" s="326">
        <v>0</v>
      </c>
      <c r="Z41" s="326">
        <v>0</v>
      </c>
      <c r="AA41" s="326">
        <v>0</v>
      </c>
      <c r="AB41" s="326">
        <v>0</v>
      </c>
      <c r="AC41" s="326">
        <v>-13000</v>
      </c>
      <c r="AD41" s="326">
        <v>0</v>
      </c>
      <c r="AE41" s="326">
        <v>-500</v>
      </c>
      <c r="AF41" s="326">
        <v>-96.11</v>
      </c>
      <c r="AG41" s="326">
        <v>0</v>
      </c>
      <c r="AH41" s="326">
        <v>0</v>
      </c>
      <c r="AI41" s="326">
        <v>17023.1</v>
      </c>
      <c r="AJ41" s="326">
        <v>17023.049</v>
      </c>
      <c r="AK41" s="326">
        <f t="shared" si="2"/>
        <v>18536.3</v>
      </c>
      <c r="AL41" s="326">
        <f t="shared" si="2"/>
        <v>18503.89</v>
      </c>
    </row>
    <row r="42" spans="1:38" s="291" customFormat="1" ht="17.25" customHeight="1">
      <c r="A42" s="262">
        <v>32</v>
      </c>
      <c r="B42" s="327" t="s">
        <v>1061</v>
      </c>
      <c r="C42" s="326">
        <f t="shared" si="0"/>
        <v>25288.999999999996</v>
      </c>
      <c r="D42" s="326">
        <f t="shared" si="0"/>
        <v>24971.993000000002</v>
      </c>
      <c r="E42" s="326">
        <v>8692</v>
      </c>
      <c r="F42" s="326">
        <v>8691.904</v>
      </c>
      <c r="G42" s="326">
        <v>1894.4</v>
      </c>
      <c r="H42" s="326">
        <v>1893.594</v>
      </c>
      <c r="I42" s="326">
        <v>8567</v>
      </c>
      <c r="J42" s="326">
        <v>8466.595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2060</v>
      </c>
      <c r="R42" s="326">
        <v>1975</v>
      </c>
      <c r="S42" s="326">
        <v>2555.8</v>
      </c>
      <c r="T42" s="326">
        <v>2434</v>
      </c>
      <c r="U42" s="326">
        <f t="shared" si="1"/>
        <v>23769.199999999997</v>
      </c>
      <c r="V42" s="326">
        <f t="shared" si="1"/>
        <v>23461.093</v>
      </c>
      <c r="W42" s="326">
        <v>5300</v>
      </c>
      <c r="X42" s="326">
        <v>4600</v>
      </c>
      <c r="Y42" s="326">
        <v>0</v>
      </c>
      <c r="Z42" s="326">
        <v>0</v>
      </c>
      <c r="AA42" s="326">
        <v>0</v>
      </c>
      <c r="AB42" s="326">
        <v>0</v>
      </c>
      <c r="AC42" s="326">
        <v>-500</v>
      </c>
      <c r="AD42" s="326">
        <v>0</v>
      </c>
      <c r="AE42" s="326">
        <v>-800</v>
      </c>
      <c r="AF42" s="326">
        <v>-705.1</v>
      </c>
      <c r="AG42" s="326">
        <v>0</v>
      </c>
      <c r="AH42" s="326">
        <v>0</v>
      </c>
      <c r="AI42" s="326">
        <v>2480.2</v>
      </c>
      <c r="AJ42" s="326">
        <v>2384</v>
      </c>
      <c r="AK42" s="326">
        <f t="shared" si="2"/>
        <v>4000</v>
      </c>
      <c r="AL42" s="326">
        <f t="shared" si="2"/>
        <v>3894.9</v>
      </c>
    </row>
    <row r="43" spans="1:38" s="291" customFormat="1" ht="17.25" customHeight="1">
      <c r="A43" s="262">
        <v>33</v>
      </c>
      <c r="B43" s="327" t="s">
        <v>1062</v>
      </c>
      <c r="C43" s="326">
        <f t="shared" si="0"/>
        <v>21690.7</v>
      </c>
      <c r="D43" s="326">
        <f t="shared" si="0"/>
        <v>20643.812</v>
      </c>
      <c r="E43" s="326">
        <v>8193.7</v>
      </c>
      <c r="F43" s="326">
        <v>8177.292</v>
      </c>
      <c r="G43" s="326">
        <v>1987</v>
      </c>
      <c r="H43" s="326">
        <v>1986.52</v>
      </c>
      <c r="I43" s="326">
        <v>4375</v>
      </c>
      <c r="J43" s="326">
        <v>4350</v>
      </c>
      <c r="K43" s="326">
        <v>0</v>
      </c>
      <c r="L43" s="326">
        <v>0</v>
      </c>
      <c r="M43" s="326">
        <v>0</v>
      </c>
      <c r="N43" s="326">
        <v>0</v>
      </c>
      <c r="O43" s="326">
        <v>2400</v>
      </c>
      <c r="P43" s="326">
        <v>2400</v>
      </c>
      <c r="Q43" s="326">
        <v>1490</v>
      </c>
      <c r="R43" s="326">
        <v>1490</v>
      </c>
      <c r="S43" s="326">
        <v>3245</v>
      </c>
      <c r="T43" s="326">
        <v>2240</v>
      </c>
      <c r="U43" s="326">
        <f t="shared" si="1"/>
        <v>21690.7</v>
      </c>
      <c r="V43" s="326">
        <f t="shared" si="1"/>
        <v>20643.812</v>
      </c>
      <c r="W43" s="326">
        <v>3200</v>
      </c>
      <c r="X43" s="326">
        <v>2200</v>
      </c>
      <c r="Y43" s="326">
        <v>0</v>
      </c>
      <c r="Z43" s="326">
        <v>0</v>
      </c>
      <c r="AA43" s="326">
        <v>0</v>
      </c>
      <c r="AB43" s="326">
        <v>0</v>
      </c>
      <c r="AC43" s="326">
        <v>0</v>
      </c>
      <c r="AD43" s="326">
        <v>0</v>
      </c>
      <c r="AE43" s="326">
        <v>0</v>
      </c>
      <c r="AF43" s="326">
        <v>0</v>
      </c>
      <c r="AG43" s="326">
        <v>0</v>
      </c>
      <c r="AH43" s="326">
        <v>0</v>
      </c>
      <c r="AI43" s="326">
        <v>3200</v>
      </c>
      <c r="AJ43" s="326">
        <v>2200</v>
      </c>
      <c r="AK43" s="326">
        <f t="shared" si="2"/>
        <v>3200</v>
      </c>
      <c r="AL43" s="326">
        <f t="shared" si="2"/>
        <v>2200</v>
      </c>
    </row>
    <row r="44" spans="1:38" s="291" customFormat="1" ht="17.25" customHeight="1">
      <c r="A44" s="262">
        <v>34</v>
      </c>
      <c r="B44" s="327" t="s">
        <v>1063</v>
      </c>
      <c r="C44" s="326">
        <f t="shared" si="0"/>
        <v>17792.5</v>
      </c>
      <c r="D44" s="326">
        <f t="shared" si="0"/>
        <v>12868.504</v>
      </c>
      <c r="E44" s="326">
        <v>7301</v>
      </c>
      <c r="F44" s="326">
        <v>7261.544</v>
      </c>
      <c r="G44" s="326">
        <v>1470.3</v>
      </c>
      <c r="H44" s="326">
        <v>1470.3</v>
      </c>
      <c r="I44" s="326">
        <v>3317.3</v>
      </c>
      <c r="J44" s="326">
        <v>2706.84</v>
      </c>
      <c r="K44" s="326">
        <v>0</v>
      </c>
      <c r="L44" s="326">
        <v>0</v>
      </c>
      <c r="M44" s="326">
        <v>0</v>
      </c>
      <c r="N44" s="326">
        <v>0</v>
      </c>
      <c r="O44" s="326">
        <v>222.7</v>
      </c>
      <c r="P44" s="326">
        <v>222.7</v>
      </c>
      <c r="Q44" s="326">
        <v>1170</v>
      </c>
      <c r="R44" s="326">
        <v>1140</v>
      </c>
      <c r="S44" s="326">
        <v>689.2</v>
      </c>
      <c r="T44" s="326">
        <v>70</v>
      </c>
      <c r="U44" s="326">
        <f t="shared" si="1"/>
        <v>14170.5</v>
      </c>
      <c r="V44" s="326">
        <f t="shared" si="1"/>
        <v>12871.384</v>
      </c>
      <c r="W44" s="326">
        <v>3622</v>
      </c>
      <c r="X44" s="326">
        <v>0</v>
      </c>
      <c r="Y44" s="326">
        <v>0</v>
      </c>
      <c r="Z44" s="326">
        <v>0</v>
      </c>
      <c r="AA44" s="326">
        <v>0</v>
      </c>
      <c r="AB44" s="326">
        <v>0</v>
      </c>
      <c r="AC44" s="326">
        <v>0</v>
      </c>
      <c r="AD44" s="326">
        <v>0</v>
      </c>
      <c r="AE44" s="326">
        <v>0</v>
      </c>
      <c r="AF44" s="326">
        <v>-2.88</v>
      </c>
      <c r="AG44" s="326">
        <v>0</v>
      </c>
      <c r="AH44" s="326">
        <v>0</v>
      </c>
      <c r="AI44" s="326">
        <v>0</v>
      </c>
      <c r="AJ44" s="326">
        <v>0</v>
      </c>
      <c r="AK44" s="326">
        <f t="shared" si="2"/>
        <v>3622</v>
      </c>
      <c r="AL44" s="326">
        <f t="shared" si="2"/>
        <v>-2.88</v>
      </c>
    </row>
    <row r="45" spans="1:38" s="291" customFormat="1" ht="17.25" customHeight="1">
      <c r="A45" s="262">
        <v>35</v>
      </c>
      <c r="B45" s="327" t="s">
        <v>1064</v>
      </c>
      <c r="C45" s="326">
        <f t="shared" si="0"/>
        <v>11577.800000000001</v>
      </c>
      <c r="D45" s="326">
        <f t="shared" si="0"/>
        <v>9168.848</v>
      </c>
      <c r="E45" s="326">
        <v>5005</v>
      </c>
      <c r="F45" s="326">
        <v>5004.996</v>
      </c>
      <c r="G45" s="326">
        <v>1062.8</v>
      </c>
      <c r="H45" s="326">
        <v>1013.542</v>
      </c>
      <c r="I45" s="326">
        <v>2185</v>
      </c>
      <c r="J45" s="326">
        <v>1984.24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700</v>
      </c>
      <c r="R45" s="326">
        <v>510</v>
      </c>
      <c r="S45" s="326">
        <v>449.4</v>
      </c>
      <c r="T45" s="326">
        <v>58</v>
      </c>
      <c r="U45" s="326">
        <f t="shared" si="1"/>
        <v>9402.2</v>
      </c>
      <c r="V45" s="326">
        <f t="shared" si="1"/>
        <v>8570.778</v>
      </c>
      <c r="W45" s="326">
        <v>2730</v>
      </c>
      <c r="X45" s="326">
        <v>2529.9</v>
      </c>
      <c r="Y45" s="326">
        <v>0</v>
      </c>
      <c r="Z45" s="326">
        <v>0</v>
      </c>
      <c r="AA45" s="326">
        <v>0</v>
      </c>
      <c r="AB45" s="326">
        <v>0</v>
      </c>
      <c r="AC45" s="326">
        <v>0</v>
      </c>
      <c r="AD45" s="326">
        <v>-399</v>
      </c>
      <c r="AE45" s="326">
        <v>-460</v>
      </c>
      <c r="AF45" s="326">
        <v>-1532.83</v>
      </c>
      <c r="AG45" s="326">
        <v>0</v>
      </c>
      <c r="AH45" s="326">
        <v>0</v>
      </c>
      <c r="AI45" s="326">
        <v>94.4</v>
      </c>
      <c r="AJ45" s="326">
        <v>0</v>
      </c>
      <c r="AK45" s="326">
        <f t="shared" si="2"/>
        <v>2270</v>
      </c>
      <c r="AL45" s="326">
        <f t="shared" si="2"/>
        <v>598.0700000000002</v>
      </c>
    </row>
    <row r="46" spans="1:38" s="291" customFormat="1" ht="17.25" customHeight="1">
      <c r="A46" s="262">
        <v>36</v>
      </c>
      <c r="B46" s="327" t="s">
        <v>1065</v>
      </c>
      <c r="C46" s="326">
        <f t="shared" si="0"/>
        <v>8406.8</v>
      </c>
      <c r="D46" s="326">
        <f t="shared" si="0"/>
        <v>7811.192000000001</v>
      </c>
      <c r="E46" s="326">
        <v>3575</v>
      </c>
      <c r="F46" s="326">
        <v>3537.3</v>
      </c>
      <c r="G46" s="326">
        <v>916.3</v>
      </c>
      <c r="H46" s="326">
        <v>915.62</v>
      </c>
      <c r="I46" s="326">
        <v>2941</v>
      </c>
      <c r="J46" s="326">
        <v>2749.472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730</v>
      </c>
      <c r="R46" s="326">
        <v>680</v>
      </c>
      <c r="S46" s="326">
        <v>80</v>
      </c>
      <c r="T46" s="326">
        <v>25</v>
      </c>
      <c r="U46" s="326">
        <f t="shared" si="1"/>
        <v>8242.3</v>
      </c>
      <c r="V46" s="326">
        <f t="shared" si="1"/>
        <v>7907.392000000001</v>
      </c>
      <c r="W46" s="326">
        <v>794.5</v>
      </c>
      <c r="X46" s="326">
        <v>530</v>
      </c>
      <c r="Y46" s="326">
        <v>0</v>
      </c>
      <c r="Z46" s="326">
        <v>0</v>
      </c>
      <c r="AA46" s="326">
        <v>0</v>
      </c>
      <c r="AB46" s="326">
        <v>0</v>
      </c>
      <c r="AC46" s="326">
        <v>0</v>
      </c>
      <c r="AD46" s="326">
        <v>0</v>
      </c>
      <c r="AE46" s="326">
        <v>-630</v>
      </c>
      <c r="AF46" s="326">
        <v>-626.2</v>
      </c>
      <c r="AG46" s="326">
        <v>0</v>
      </c>
      <c r="AH46" s="326">
        <v>0</v>
      </c>
      <c r="AI46" s="326">
        <v>0</v>
      </c>
      <c r="AJ46" s="326">
        <v>0</v>
      </c>
      <c r="AK46" s="326">
        <f t="shared" si="2"/>
        <v>164.5</v>
      </c>
      <c r="AL46" s="326">
        <f t="shared" si="2"/>
        <v>-96.20000000000005</v>
      </c>
    </row>
    <row r="47" spans="1:38" s="291" customFormat="1" ht="17.25" customHeight="1">
      <c r="A47" s="262">
        <v>37</v>
      </c>
      <c r="B47" s="327" t="s">
        <v>1018</v>
      </c>
      <c r="C47" s="326">
        <f t="shared" si="0"/>
        <v>6578.799999999999</v>
      </c>
      <c r="D47" s="326">
        <f t="shared" si="0"/>
        <v>5474.317000000001</v>
      </c>
      <c r="E47" s="326">
        <v>3336.2</v>
      </c>
      <c r="F47" s="326">
        <v>3247.84</v>
      </c>
      <c r="G47" s="326">
        <v>612.6</v>
      </c>
      <c r="H47" s="326">
        <v>612.6</v>
      </c>
      <c r="I47" s="326">
        <v>1200</v>
      </c>
      <c r="J47" s="326">
        <v>954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1180</v>
      </c>
      <c r="R47" s="326">
        <v>1095</v>
      </c>
      <c r="S47" s="326">
        <v>250</v>
      </c>
      <c r="T47" s="326">
        <v>10</v>
      </c>
      <c r="U47" s="326">
        <f t="shared" si="1"/>
        <v>6578.799999999999</v>
      </c>
      <c r="V47" s="326">
        <f t="shared" si="1"/>
        <v>5919.4400000000005</v>
      </c>
      <c r="W47" s="326">
        <v>1145</v>
      </c>
      <c r="X47" s="326">
        <v>700</v>
      </c>
      <c r="Y47" s="326">
        <v>0</v>
      </c>
      <c r="Z47" s="326">
        <v>0</v>
      </c>
      <c r="AA47" s="326">
        <v>0</v>
      </c>
      <c r="AB47" s="326">
        <v>0</v>
      </c>
      <c r="AC47" s="326">
        <v>-1145</v>
      </c>
      <c r="AD47" s="326">
        <v>-1145.123</v>
      </c>
      <c r="AE47" s="326">
        <v>0</v>
      </c>
      <c r="AF47" s="326">
        <v>0</v>
      </c>
      <c r="AG47" s="326">
        <v>0</v>
      </c>
      <c r="AH47" s="326">
        <v>0</v>
      </c>
      <c r="AI47" s="326">
        <v>0</v>
      </c>
      <c r="AJ47" s="326">
        <v>0</v>
      </c>
      <c r="AK47" s="326">
        <f t="shared" si="2"/>
        <v>0</v>
      </c>
      <c r="AL47" s="326">
        <f t="shared" si="2"/>
        <v>-445.12300000000005</v>
      </c>
    </row>
    <row r="48" spans="1:38" s="291" customFormat="1" ht="17.25" customHeight="1">
      <c r="A48" s="262">
        <v>38</v>
      </c>
      <c r="B48" s="327" t="s">
        <v>436</v>
      </c>
      <c r="C48" s="326">
        <f t="shared" si="0"/>
        <v>7820.900000000001</v>
      </c>
      <c r="D48" s="326">
        <f t="shared" si="0"/>
        <v>6967.086000000001</v>
      </c>
      <c r="E48" s="326">
        <v>3566</v>
      </c>
      <c r="F48" s="326">
        <v>3019.003</v>
      </c>
      <c r="G48" s="326">
        <v>854.9</v>
      </c>
      <c r="H48" s="326">
        <v>843.405</v>
      </c>
      <c r="I48" s="326">
        <v>1960</v>
      </c>
      <c r="J48" s="326">
        <v>1734.678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1200</v>
      </c>
      <c r="R48" s="326">
        <v>1150</v>
      </c>
      <c r="S48" s="326">
        <v>239.4</v>
      </c>
      <c r="T48" s="326">
        <v>219.4</v>
      </c>
      <c r="U48" s="326">
        <f t="shared" si="1"/>
        <v>7820.3</v>
      </c>
      <c r="V48" s="326">
        <f t="shared" si="1"/>
        <v>6966.486000000001</v>
      </c>
      <c r="W48" s="326">
        <v>2200</v>
      </c>
      <c r="X48" s="326">
        <v>200</v>
      </c>
      <c r="Y48" s="326">
        <v>0</v>
      </c>
      <c r="Z48" s="326">
        <v>0</v>
      </c>
      <c r="AA48" s="326">
        <v>0</v>
      </c>
      <c r="AB48" s="326">
        <v>0</v>
      </c>
      <c r="AC48" s="326">
        <v>-1700</v>
      </c>
      <c r="AD48" s="326">
        <v>0</v>
      </c>
      <c r="AE48" s="326">
        <v>-300</v>
      </c>
      <c r="AF48" s="326">
        <v>0</v>
      </c>
      <c r="AG48" s="326">
        <v>0</v>
      </c>
      <c r="AH48" s="326">
        <v>0</v>
      </c>
      <c r="AI48" s="326">
        <v>199.4</v>
      </c>
      <c r="AJ48" s="326">
        <v>199.4</v>
      </c>
      <c r="AK48" s="326">
        <f t="shared" si="2"/>
        <v>200</v>
      </c>
      <c r="AL48" s="326">
        <f t="shared" si="2"/>
        <v>200</v>
      </c>
    </row>
    <row r="49" spans="1:38" s="291" customFormat="1" ht="17.25" customHeight="1">
      <c r="A49" s="262">
        <v>39</v>
      </c>
      <c r="B49" s="327" t="s">
        <v>1066</v>
      </c>
      <c r="C49" s="326">
        <f t="shared" si="0"/>
        <v>27730.5</v>
      </c>
      <c r="D49" s="326">
        <f t="shared" si="0"/>
        <v>20233.273</v>
      </c>
      <c r="E49" s="326">
        <v>8585</v>
      </c>
      <c r="F49" s="326">
        <v>7669</v>
      </c>
      <c r="G49" s="326">
        <v>1822.5</v>
      </c>
      <c r="H49" s="326">
        <v>1438.324</v>
      </c>
      <c r="I49" s="326">
        <v>7303</v>
      </c>
      <c r="J49" s="326">
        <v>5491.995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2925</v>
      </c>
      <c r="R49" s="326">
        <v>2925</v>
      </c>
      <c r="S49" s="326">
        <v>2468.8</v>
      </c>
      <c r="T49" s="326">
        <v>32</v>
      </c>
      <c r="U49" s="326">
        <f t="shared" si="1"/>
        <v>23104.3</v>
      </c>
      <c r="V49" s="326">
        <f t="shared" si="1"/>
        <v>17556.319</v>
      </c>
      <c r="W49" s="326">
        <v>11400</v>
      </c>
      <c r="X49" s="326">
        <v>6749.7</v>
      </c>
      <c r="Y49" s="326">
        <v>0</v>
      </c>
      <c r="Z49" s="326">
        <v>0</v>
      </c>
      <c r="AA49" s="326">
        <v>0</v>
      </c>
      <c r="AB49" s="326">
        <v>0</v>
      </c>
      <c r="AC49" s="326">
        <v>-4500</v>
      </c>
      <c r="AD49" s="326">
        <v>-4072.746</v>
      </c>
      <c r="AE49" s="326">
        <v>0</v>
      </c>
      <c r="AF49" s="326">
        <v>0</v>
      </c>
      <c r="AG49" s="326">
        <v>0</v>
      </c>
      <c r="AH49" s="326">
        <v>0</v>
      </c>
      <c r="AI49" s="326">
        <v>2273.8</v>
      </c>
      <c r="AJ49" s="326">
        <v>0</v>
      </c>
      <c r="AK49" s="326">
        <f t="shared" si="2"/>
        <v>6900</v>
      </c>
      <c r="AL49" s="326">
        <f t="shared" si="2"/>
        <v>2676.9539999999997</v>
      </c>
    </row>
    <row r="50" spans="1:38" s="291" customFormat="1" ht="17.25" customHeight="1">
      <c r="A50" s="262">
        <v>40</v>
      </c>
      <c r="B50" s="327" t="s">
        <v>1067</v>
      </c>
      <c r="C50" s="326">
        <f t="shared" si="0"/>
        <v>21972</v>
      </c>
      <c r="D50" s="326">
        <f t="shared" si="0"/>
        <v>20546.783000000003</v>
      </c>
      <c r="E50" s="326">
        <v>7587</v>
      </c>
      <c r="F50" s="326">
        <v>7161.631</v>
      </c>
      <c r="G50" s="326">
        <v>1680</v>
      </c>
      <c r="H50" s="326">
        <v>1579.816</v>
      </c>
      <c r="I50" s="326">
        <v>5631</v>
      </c>
      <c r="J50" s="326">
        <v>5578.4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2620</v>
      </c>
      <c r="R50" s="326">
        <v>2321</v>
      </c>
      <c r="S50" s="326">
        <v>3996.8</v>
      </c>
      <c r="T50" s="326">
        <v>3449</v>
      </c>
      <c r="U50" s="326">
        <f t="shared" si="1"/>
        <v>21514.8</v>
      </c>
      <c r="V50" s="326">
        <f t="shared" si="1"/>
        <v>20089.847</v>
      </c>
      <c r="W50" s="326">
        <v>4250</v>
      </c>
      <c r="X50" s="326">
        <v>3944.8</v>
      </c>
      <c r="Y50" s="326">
        <v>0</v>
      </c>
      <c r="Z50" s="326">
        <v>0</v>
      </c>
      <c r="AA50" s="326">
        <v>0</v>
      </c>
      <c r="AB50" s="326">
        <v>0</v>
      </c>
      <c r="AC50" s="326">
        <v>0</v>
      </c>
      <c r="AD50" s="326">
        <v>0</v>
      </c>
      <c r="AE50" s="326">
        <v>0</v>
      </c>
      <c r="AF50" s="326">
        <v>-72.864</v>
      </c>
      <c r="AG50" s="326">
        <v>0</v>
      </c>
      <c r="AH50" s="326">
        <v>0</v>
      </c>
      <c r="AI50" s="326">
        <v>3792.8</v>
      </c>
      <c r="AJ50" s="326">
        <v>3415</v>
      </c>
      <c r="AK50" s="326">
        <f t="shared" si="2"/>
        <v>4250</v>
      </c>
      <c r="AL50" s="326">
        <f t="shared" si="2"/>
        <v>3871.936</v>
      </c>
    </row>
    <row r="51" spans="1:38" s="291" customFormat="1" ht="17.25" customHeight="1">
      <c r="A51" s="262">
        <v>41</v>
      </c>
      <c r="B51" s="327" t="s">
        <v>1068</v>
      </c>
      <c r="C51" s="326">
        <f t="shared" si="0"/>
        <v>8901.400000000001</v>
      </c>
      <c r="D51" s="326">
        <f t="shared" si="0"/>
        <v>7145.335999999999</v>
      </c>
      <c r="E51" s="326">
        <v>4168.1</v>
      </c>
      <c r="F51" s="326">
        <v>3666.729</v>
      </c>
      <c r="G51" s="326">
        <v>1386.3</v>
      </c>
      <c r="H51" s="326">
        <v>724.277</v>
      </c>
      <c r="I51" s="326">
        <v>2437</v>
      </c>
      <c r="J51" s="326">
        <v>2048.33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780</v>
      </c>
      <c r="R51" s="326">
        <v>690</v>
      </c>
      <c r="S51" s="326">
        <v>129.8</v>
      </c>
      <c r="T51" s="326">
        <v>16</v>
      </c>
      <c r="U51" s="326">
        <f t="shared" si="1"/>
        <v>8901.2</v>
      </c>
      <c r="V51" s="326">
        <f t="shared" si="1"/>
        <v>7145.335999999999</v>
      </c>
      <c r="W51" s="326">
        <v>100</v>
      </c>
      <c r="X51" s="326">
        <v>0</v>
      </c>
      <c r="Y51" s="326">
        <v>0</v>
      </c>
      <c r="Z51" s="326">
        <v>0</v>
      </c>
      <c r="AA51" s="326">
        <v>0</v>
      </c>
      <c r="AB51" s="326">
        <v>0</v>
      </c>
      <c r="AC51" s="326">
        <v>0</v>
      </c>
      <c r="AD51" s="326">
        <v>0</v>
      </c>
      <c r="AE51" s="326">
        <v>0</v>
      </c>
      <c r="AF51" s="326">
        <v>0</v>
      </c>
      <c r="AG51" s="326">
        <v>0</v>
      </c>
      <c r="AH51" s="326">
        <v>0</v>
      </c>
      <c r="AI51" s="326">
        <v>99.8</v>
      </c>
      <c r="AJ51" s="326">
        <v>0</v>
      </c>
      <c r="AK51" s="326">
        <f t="shared" si="2"/>
        <v>100</v>
      </c>
      <c r="AL51" s="326">
        <f t="shared" si="2"/>
        <v>0</v>
      </c>
    </row>
    <row r="52" spans="1:38" s="291" customFormat="1" ht="17.25" customHeight="1">
      <c r="A52" s="262">
        <v>42</v>
      </c>
      <c r="B52" s="327" t="s">
        <v>438</v>
      </c>
      <c r="C52" s="326">
        <f t="shared" si="0"/>
        <v>50440.9</v>
      </c>
      <c r="D52" s="326">
        <f t="shared" si="0"/>
        <v>34842.453</v>
      </c>
      <c r="E52" s="326">
        <v>14332</v>
      </c>
      <c r="F52" s="326">
        <v>14300.083</v>
      </c>
      <c r="G52" s="326">
        <v>2685.8</v>
      </c>
      <c r="H52" s="326">
        <v>2643.66</v>
      </c>
      <c r="I52" s="326">
        <v>17803</v>
      </c>
      <c r="J52" s="326">
        <v>10340.2</v>
      </c>
      <c r="K52" s="326">
        <v>0</v>
      </c>
      <c r="L52" s="326">
        <v>0</v>
      </c>
      <c r="M52" s="326">
        <v>0</v>
      </c>
      <c r="N52" s="326">
        <v>0</v>
      </c>
      <c r="O52" s="326">
        <v>528.5</v>
      </c>
      <c r="P52" s="326">
        <v>528.41</v>
      </c>
      <c r="Q52" s="326">
        <v>7100</v>
      </c>
      <c r="R52" s="326">
        <v>5972.1</v>
      </c>
      <c r="S52" s="326">
        <v>6278.8</v>
      </c>
      <c r="T52" s="326">
        <v>80.2</v>
      </c>
      <c r="U52" s="326">
        <f t="shared" si="1"/>
        <v>48728.1</v>
      </c>
      <c r="V52" s="326">
        <f t="shared" si="1"/>
        <v>33864.653</v>
      </c>
      <c r="W52" s="326">
        <v>7400</v>
      </c>
      <c r="X52" s="326">
        <v>1000</v>
      </c>
      <c r="Y52" s="326">
        <v>0</v>
      </c>
      <c r="Z52" s="326">
        <v>0</v>
      </c>
      <c r="AA52" s="326">
        <v>0</v>
      </c>
      <c r="AB52" s="326">
        <v>0</v>
      </c>
      <c r="AC52" s="326">
        <v>-300</v>
      </c>
      <c r="AD52" s="326">
        <v>-22.2</v>
      </c>
      <c r="AE52" s="326">
        <v>0</v>
      </c>
      <c r="AF52" s="326">
        <v>0</v>
      </c>
      <c r="AG52" s="326">
        <v>0</v>
      </c>
      <c r="AH52" s="326">
        <v>0</v>
      </c>
      <c r="AI52" s="326">
        <v>5387.2</v>
      </c>
      <c r="AJ52" s="326">
        <v>0</v>
      </c>
      <c r="AK52" s="326">
        <f t="shared" si="2"/>
        <v>7100</v>
      </c>
      <c r="AL52" s="326">
        <f t="shared" si="2"/>
        <v>977.8</v>
      </c>
    </row>
    <row r="53" spans="1:38" s="291" customFormat="1" ht="17.25" customHeight="1">
      <c r="A53" s="262">
        <v>43</v>
      </c>
      <c r="B53" s="327" t="s">
        <v>1069</v>
      </c>
      <c r="C53" s="326">
        <f t="shared" si="0"/>
        <v>16779.199999999997</v>
      </c>
      <c r="D53" s="326">
        <f t="shared" si="0"/>
        <v>7051.149</v>
      </c>
      <c r="E53" s="326">
        <v>5358</v>
      </c>
      <c r="F53" s="326">
        <v>5184.817</v>
      </c>
      <c r="G53" s="326">
        <v>1169.3</v>
      </c>
      <c r="H53" s="326">
        <v>1164.203</v>
      </c>
      <c r="I53" s="326">
        <v>2003</v>
      </c>
      <c r="J53" s="326">
        <v>1727.989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  <c r="Q53" s="326">
        <v>1040</v>
      </c>
      <c r="R53" s="326">
        <v>1000</v>
      </c>
      <c r="S53" s="326">
        <v>113</v>
      </c>
      <c r="T53" s="326">
        <v>51</v>
      </c>
      <c r="U53" s="326">
        <f t="shared" si="1"/>
        <v>9683.3</v>
      </c>
      <c r="V53" s="326">
        <f t="shared" si="1"/>
        <v>9128.009</v>
      </c>
      <c r="W53" s="326">
        <v>10895.9</v>
      </c>
      <c r="X53" s="326">
        <v>1930</v>
      </c>
      <c r="Y53" s="326">
        <v>0</v>
      </c>
      <c r="Z53" s="326">
        <v>0</v>
      </c>
      <c r="AA53" s="326">
        <v>0</v>
      </c>
      <c r="AB53" s="326">
        <v>0</v>
      </c>
      <c r="AC53" s="326">
        <v>-3000</v>
      </c>
      <c r="AD53" s="326">
        <v>-2000</v>
      </c>
      <c r="AE53" s="326">
        <v>-800</v>
      </c>
      <c r="AF53" s="326">
        <v>-2006.86</v>
      </c>
      <c r="AG53" s="326">
        <v>0</v>
      </c>
      <c r="AH53" s="326">
        <v>0</v>
      </c>
      <c r="AI53" s="326">
        <v>0</v>
      </c>
      <c r="AJ53" s="326">
        <v>0</v>
      </c>
      <c r="AK53" s="326">
        <f t="shared" si="2"/>
        <v>7095.9</v>
      </c>
      <c r="AL53" s="326">
        <f t="shared" si="2"/>
        <v>-2076.8599999999997</v>
      </c>
    </row>
    <row r="54" spans="1:38" s="291" customFormat="1" ht="17.25" customHeight="1">
      <c r="A54" s="262">
        <v>44</v>
      </c>
      <c r="B54" s="327" t="s">
        <v>1070</v>
      </c>
      <c r="C54" s="326">
        <f t="shared" si="0"/>
        <v>171778.90000000002</v>
      </c>
      <c r="D54" s="326">
        <f t="shared" si="0"/>
        <v>131822.823</v>
      </c>
      <c r="E54" s="326">
        <v>71820</v>
      </c>
      <c r="F54" s="326">
        <v>65429.656</v>
      </c>
      <c r="G54" s="326">
        <v>16635.8</v>
      </c>
      <c r="H54" s="326">
        <v>15096.089</v>
      </c>
      <c r="I54" s="326">
        <v>55295.2</v>
      </c>
      <c r="J54" s="326">
        <v>43123.133</v>
      </c>
      <c r="K54" s="326">
        <v>0</v>
      </c>
      <c r="L54" s="326">
        <v>0</v>
      </c>
      <c r="M54" s="326">
        <v>0</v>
      </c>
      <c r="N54" s="326">
        <v>0</v>
      </c>
      <c r="O54" s="326">
        <v>960</v>
      </c>
      <c r="P54" s="326">
        <v>818</v>
      </c>
      <c r="Q54" s="326">
        <v>2800</v>
      </c>
      <c r="R54" s="326">
        <v>1481</v>
      </c>
      <c r="S54" s="326">
        <v>3470.7</v>
      </c>
      <c r="T54" s="326">
        <v>1689.5</v>
      </c>
      <c r="U54" s="326">
        <f t="shared" si="1"/>
        <v>150981.7</v>
      </c>
      <c r="V54" s="326">
        <f t="shared" si="1"/>
        <v>127637.378</v>
      </c>
      <c r="W54" s="326">
        <v>27560.7</v>
      </c>
      <c r="X54" s="326">
        <v>14108.973</v>
      </c>
      <c r="Y54" s="326">
        <v>2482.2</v>
      </c>
      <c r="Z54" s="326">
        <v>2482.2</v>
      </c>
      <c r="AA54" s="326">
        <v>0</v>
      </c>
      <c r="AB54" s="326">
        <v>0</v>
      </c>
      <c r="AC54" s="326">
        <v>-5245.7</v>
      </c>
      <c r="AD54" s="326">
        <v>-815.669</v>
      </c>
      <c r="AE54" s="326">
        <v>-4000</v>
      </c>
      <c r="AF54" s="326">
        <v>-11590.059</v>
      </c>
      <c r="AG54" s="326">
        <v>0</v>
      </c>
      <c r="AH54" s="326">
        <v>0</v>
      </c>
      <c r="AI54" s="326">
        <v>0</v>
      </c>
      <c r="AJ54" s="326">
        <v>0</v>
      </c>
      <c r="AK54" s="326">
        <f t="shared" si="2"/>
        <v>20797.2</v>
      </c>
      <c r="AL54" s="326">
        <f t="shared" si="2"/>
        <v>4185.445</v>
      </c>
    </row>
    <row r="55" spans="1:38" s="291" customFormat="1" ht="17.25" customHeight="1">
      <c r="A55" s="262">
        <v>45</v>
      </c>
      <c r="B55" s="327" t="s">
        <v>1071</v>
      </c>
      <c r="C55" s="326">
        <f t="shared" si="0"/>
        <v>89606.2</v>
      </c>
      <c r="D55" s="326">
        <f t="shared" si="0"/>
        <v>78670.405</v>
      </c>
      <c r="E55" s="326">
        <v>21161</v>
      </c>
      <c r="F55" s="326">
        <v>18285.787</v>
      </c>
      <c r="G55" s="326">
        <v>5053.4</v>
      </c>
      <c r="H55" s="326">
        <v>4198.399</v>
      </c>
      <c r="I55" s="326">
        <v>13595</v>
      </c>
      <c r="J55" s="326">
        <v>11011.876</v>
      </c>
      <c r="K55" s="326">
        <v>0</v>
      </c>
      <c r="L55" s="326">
        <v>0</v>
      </c>
      <c r="M55" s="326">
        <v>0</v>
      </c>
      <c r="N55" s="326">
        <v>0</v>
      </c>
      <c r="O55" s="326">
        <v>2000</v>
      </c>
      <c r="P55" s="326">
        <v>2000</v>
      </c>
      <c r="Q55" s="326">
        <v>7500</v>
      </c>
      <c r="R55" s="326">
        <v>7000</v>
      </c>
      <c r="S55" s="326">
        <v>25133.1</v>
      </c>
      <c r="T55" s="326">
        <v>21010.6</v>
      </c>
      <c r="U55" s="326">
        <f t="shared" si="1"/>
        <v>74442.5</v>
      </c>
      <c r="V55" s="326">
        <f t="shared" si="1"/>
        <v>63506.662</v>
      </c>
      <c r="W55" s="326">
        <v>36900</v>
      </c>
      <c r="X55" s="326">
        <v>34128.803</v>
      </c>
      <c r="Y55" s="326">
        <v>0</v>
      </c>
      <c r="Z55" s="326">
        <v>0</v>
      </c>
      <c r="AA55" s="326">
        <v>0</v>
      </c>
      <c r="AB55" s="326">
        <v>0</v>
      </c>
      <c r="AC55" s="326">
        <v>0</v>
      </c>
      <c r="AD55" s="326">
        <v>0</v>
      </c>
      <c r="AE55" s="326">
        <v>0</v>
      </c>
      <c r="AF55" s="326">
        <v>-306.4</v>
      </c>
      <c r="AG55" s="326">
        <v>0</v>
      </c>
      <c r="AH55" s="326">
        <v>0</v>
      </c>
      <c r="AI55" s="326">
        <v>21736.3</v>
      </c>
      <c r="AJ55" s="326">
        <v>18658.66</v>
      </c>
      <c r="AK55" s="326">
        <f t="shared" si="2"/>
        <v>36900</v>
      </c>
      <c r="AL55" s="326">
        <f t="shared" si="2"/>
        <v>33822.403</v>
      </c>
    </row>
    <row r="56" spans="1:38" s="291" customFormat="1" ht="17.25" customHeight="1">
      <c r="A56" s="262">
        <v>46</v>
      </c>
      <c r="B56" s="327" t="s">
        <v>1072</v>
      </c>
      <c r="C56" s="326">
        <f t="shared" si="0"/>
        <v>32950.799999999996</v>
      </c>
      <c r="D56" s="326">
        <f t="shared" si="0"/>
        <v>24908.807999999997</v>
      </c>
      <c r="E56" s="326">
        <v>10020</v>
      </c>
      <c r="F56" s="326">
        <v>8158.462</v>
      </c>
      <c r="G56" s="326">
        <v>2071.3</v>
      </c>
      <c r="H56" s="326">
        <v>1669.444</v>
      </c>
      <c r="I56" s="326">
        <v>11836</v>
      </c>
      <c r="J56" s="326">
        <v>10301.06</v>
      </c>
      <c r="K56" s="326">
        <v>0</v>
      </c>
      <c r="L56" s="326">
        <v>0</v>
      </c>
      <c r="M56" s="326">
        <v>0</v>
      </c>
      <c r="N56" s="326">
        <v>0</v>
      </c>
      <c r="O56" s="326">
        <v>700</v>
      </c>
      <c r="P56" s="326">
        <v>673.05</v>
      </c>
      <c r="Q56" s="326">
        <v>1520</v>
      </c>
      <c r="R56" s="326">
        <v>1158.6</v>
      </c>
      <c r="S56" s="326">
        <v>2929.8</v>
      </c>
      <c r="T56" s="326">
        <v>227.57</v>
      </c>
      <c r="U56" s="326">
        <f t="shared" si="1"/>
        <v>29077.1</v>
      </c>
      <c r="V56" s="326">
        <f t="shared" si="1"/>
        <v>22188.185999999998</v>
      </c>
      <c r="W56" s="326">
        <v>3873.7</v>
      </c>
      <c r="X56" s="326">
        <v>2720.6220000000003</v>
      </c>
      <c r="Y56" s="326">
        <v>0</v>
      </c>
      <c r="Z56" s="326">
        <v>0</v>
      </c>
      <c r="AA56" s="326">
        <v>0</v>
      </c>
      <c r="AB56" s="326">
        <v>0</v>
      </c>
      <c r="AC56" s="326">
        <v>0</v>
      </c>
      <c r="AD56" s="326">
        <v>0</v>
      </c>
      <c r="AE56" s="326">
        <v>0</v>
      </c>
      <c r="AF56" s="326">
        <v>0</v>
      </c>
      <c r="AG56" s="326">
        <v>0</v>
      </c>
      <c r="AH56" s="326">
        <v>0</v>
      </c>
      <c r="AI56" s="326">
        <v>0</v>
      </c>
      <c r="AJ56" s="326">
        <v>0</v>
      </c>
      <c r="AK56" s="326">
        <f t="shared" si="2"/>
        <v>3873.7</v>
      </c>
      <c r="AL56" s="326">
        <f t="shared" si="2"/>
        <v>2720.6220000000003</v>
      </c>
    </row>
    <row r="57" spans="1:38" s="291" customFormat="1" ht="17.25" customHeight="1">
      <c r="A57" s="262">
        <v>47</v>
      </c>
      <c r="B57" s="327" t="s">
        <v>911</v>
      </c>
      <c r="C57" s="326">
        <f t="shared" si="0"/>
        <v>22091.3</v>
      </c>
      <c r="D57" s="326">
        <f t="shared" si="0"/>
        <v>17690.292999999998</v>
      </c>
      <c r="E57" s="326">
        <v>7844</v>
      </c>
      <c r="F57" s="326">
        <v>6761.584</v>
      </c>
      <c r="G57" s="326">
        <v>1665.6</v>
      </c>
      <c r="H57" s="326">
        <v>1366.385</v>
      </c>
      <c r="I57" s="326">
        <v>5570</v>
      </c>
      <c r="J57" s="326">
        <v>4700.781</v>
      </c>
      <c r="K57" s="326">
        <v>0</v>
      </c>
      <c r="L57" s="326">
        <v>0</v>
      </c>
      <c r="M57" s="326">
        <v>0</v>
      </c>
      <c r="N57" s="326">
        <v>0</v>
      </c>
      <c r="O57" s="326">
        <v>520</v>
      </c>
      <c r="P57" s="326">
        <v>507.455</v>
      </c>
      <c r="Q57" s="326">
        <v>1000</v>
      </c>
      <c r="R57" s="326">
        <v>540</v>
      </c>
      <c r="S57" s="326">
        <v>1519</v>
      </c>
      <c r="T57" s="326">
        <v>192.088</v>
      </c>
      <c r="U57" s="326">
        <f t="shared" si="1"/>
        <v>18118.6</v>
      </c>
      <c r="V57" s="326">
        <f t="shared" si="1"/>
        <v>14068.293</v>
      </c>
      <c r="W57" s="326">
        <v>4800</v>
      </c>
      <c r="X57" s="326">
        <v>3622</v>
      </c>
      <c r="Y57" s="326">
        <v>0</v>
      </c>
      <c r="Z57" s="326">
        <v>0</v>
      </c>
      <c r="AA57" s="326">
        <v>0</v>
      </c>
      <c r="AB57" s="326">
        <v>0</v>
      </c>
      <c r="AC57" s="326">
        <v>0</v>
      </c>
      <c r="AD57" s="326">
        <v>0</v>
      </c>
      <c r="AE57" s="326">
        <v>0</v>
      </c>
      <c r="AF57" s="326">
        <v>0</v>
      </c>
      <c r="AG57" s="326">
        <v>0</v>
      </c>
      <c r="AH57" s="326">
        <v>0</v>
      </c>
      <c r="AI57" s="326">
        <v>827.3</v>
      </c>
      <c r="AJ57" s="326">
        <v>0</v>
      </c>
      <c r="AK57" s="326">
        <f t="shared" si="2"/>
        <v>4800</v>
      </c>
      <c r="AL57" s="326">
        <f t="shared" si="2"/>
        <v>3622</v>
      </c>
    </row>
    <row r="58" spans="1:38" s="291" customFormat="1" ht="17.25" customHeight="1">
      <c r="A58" s="262">
        <v>48</v>
      </c>
      <c r="B58" s="327" t="s">
        <v>1073</v>
      </c>
      <c r="C58" s="326">
        <f t="shared" si="0"/>
        <v>22148.6</v>
      </c>
      <c r="D58" s="326">
        <f t="shared" si="0"/>
        <v>11901.349999999999</v>
      </c>
      <c r="E58" s="326">
        <v>6135</v>
      </c>
      <c r="F58" s="326">
        <v>5093</v>
      </c>
      <c r="G58" s="326">
        <v>1280.3</v>
      </c>
      <c r="H58" s="326">
        <v>885.65</v>
      </c>
      <c r="I58" s="326">
        <v>6050</v>
      </c>
      <c r="J58" s="326">
        <v>3171.7</v>
      </c>
      <c r="K58" s="326">
        <v>0</v>
      </c>
      <c r="L58" s="326">
        <v>0</v>
      </c>
      <c r="M58" s="326">
        <v>0</v>
      </c>
      <c r="N58" s="326">
        <v>0</v>
      </c>
      <c r="O58" s="326">
        <v>600</v>
      </c>
      <c r="P58" s="326">
        <v>500</v>
      </c>
      <c r="Q58" s="326">
        <v>800</v>
      </c>
      <c r="R58" s="326">
        <v>730</v>
      </c>
      <c r="S58" s="326">
        <v>4150</v>
      </c>
      <c r="T58" s="326">
        <v>188</v>
      </c>
      <c r="U58" s="326">
        <f t="shared" si="1"/>
        <v>19015.3</v>
      </c>
      <c r="V58" s="326">
        <f t="shared" si="1"/>
        <v>10568.349999999999</v>
      </c>
      <c r="W58" s="326">
        <v>6663.3</v>
      </c>
      <c r="X58" s="326">
        <v>1333</v>
      </c>
      <c r="Y58" s="326">
        <v>0</v>
      </c>
      <c r="Z58" s="326">
        <v>0</v>
      </c>
      <c r="AA58" s="326">
        <v>0</v>
      </c>
      <c r="AB58" s="326">
        <v>0</v>
      </c>
      <c r="AC58" s="326">
        <v>0</v>
      </c>
      <c r="AD58" s="326">
        <v>0</v>
      </c>
      <c r="AE58" s="326">
        <v>0</v>
      </c>
      <c r="AF58" s="326">
        <v>0</v>
      </c>
      <c r="AG58" s="326">
        <v>0</v>
      </c>
      <c r="AH58" s="326">
        <v>0</v>
      </c>
      <c r="AI58" s="326">
        <v>3530</v>
      </c>
      <c r="AJ58" s="326">
        <v>0</v>
      </c>
      <c r="AK58" s="326">
        <f t="shared" si="2"/>
        <v>6663.3</v>
      </c>
      <c r="AL58" s="326">
        <f t="shared" si="2"/>
        <v>1333</v>
      </c>
    </row>
    <row r="59" spans="1:38" s="291" customFormat="1" ht="17.25" customHeight="1">
      <c r="A59" s="262">
        <v>49</v>
      </c>
      <c r="B59" s="327" t="s">
        <v>1074</v>
      </c>
      <c r="C59" s="326">
        <f t="shared" si="0"/>
        <v>19512.9</v>
      </c>
      <c r="D59" s="326">
        <f t="shared" si="0"/>
        <v>18058.174</v>
      </c>
      <c r="E59" s="326">
        <v>8760</v>
      </c>
      <c r="F59" s="326">
        <v>8758.054</v>
      </c>
      <c r="G59" s="326">
        <v>1930</v>
      </c>
      <c r="H59" s="326">
        <v>1799.98</v>
      </c>
      <c r="I59" s="326">
        <v>3870</v>
      </c>
      <c r="J59" s="326">
        <v>2957.32</v>
      </c>
      <c r="K59" s="326">
        <v>0</v>
      </c>
      <c r="L59" s="326">
        <v>0</v>
      </c>
      <c r="M59" s="326">
        <v>0</v>
      </c>
      <c r="N59" s="326">
        <v>0</v>
      </c>
      <c r="O59" s="326">
        <v>150</v>
      </c>
      <c r="P59" s="326">
        <v>100</v>
      </c>
      <c r="Q59" s="326">
        <v>4600</v>
      </c>
      <c r="R59" s="326">
        <v>4472</v>
      </c>
      <c r="S59" s="326">
        <v>102.4</v>
      </c>
      <c r="T59" s="326">
        <v>60</v>
      </c>
      <c r="U59" s="326">
        <f t="shared" si="1"/>
        <v>19412.4</v>
      </c>
      <c r="V59" s="326">
        <f t="shared" si="1"/>
        <v>18147.354</v>
      </c>
      <c r="W59" s="326">
        <v>2929.7</v>
      </c>
      <c r="X59" s="326">
        <v>2740</v>
      </c>
      <c r="Y59" s="326">
        <v>0</v>
      </c>
      <c r="Z59" s="326">
        <v>0</v>
      </c>
      <c r="AA59" s="326">
        <v>0</v>
      </c>
      <c r="AB59" s="326">
        <v>0</v>
      </c>
      <c r="AC59" s="326">
        <v>0</v>
      </c>
      <c r="AD59" s="326">
        <v>0</v>
      </c>
      <c r="AE59" s="326">
        <v>-2829.2</v>
      </c>
      <c r="AF59" s="326">
        <v>-2829.18</v>
      </c>
      <c r="AG59" s="326">
        <v>0</v>
      </c>
      <c r="AH59" s="326">
        <v>0</v>
      </c>
      <c r="AI59" s="326">
        <v>0</v>
      </c>
      <c r="AJ59" s="326">
        <v>0</v>
      </c>
      <c r="AK59" s="326">
        <f t="shared" si="2"/>
        <v>100.5</v>
      </c>
      <c r="AL59" s="326">
        <f t="shared" si="2"/>
        <v>-89.17999999999984</v>
      </c>
    </row>
    <row r="60" spans="1:38" s="291" customFormat="1" ht="17.25" customHeight="1">
      <c r="A60" s="262">
        <v>50</v>
      </c>
      <c r="B60" s="327" t="s">
        <v>1075</v>
      </c>
      <c r="C60" s="326">
        <f t="shared" si="0"/>
        <v>8318.7</v>
      </c>
      <c r="D60" s="326">
        <f t="shared" si="0"/>
        <v>6217.085</v>
      </c>
      <c r="E60" s="326">
        <v>3166</v>
      </c>
      <c r="F60" s="326">
        <v>3165.079</v>
      </c>
      <c r="G60" s="326">
        <v>763</v>
      </c>
      <c r="H60" s="326">
        <v>761.506</v>
      </c>
      <c r="I60" s="326">
        <v>1599</v>
      </c>
      <c r="J60" s="326">
        <v>970.5</v>
      </c>
      <c r="K60" s="326">
        <v>0</v>
      </c>
      <c r="L60" s="326">
        <v>0</v>
      </c>
      <c r="M60" s="326">
        <v>0</v>
      </c>
      <c r="N60" s="326">
        <v>0</v>
      </c>
      <c r="O60" s="326">
        <v>100</v>
      </c>
      <c r="P60" s="326">
        <v>90</v>
      </c>
      <c r="Q60" s="326">
        <v>1550</v>
      </c>
      <c r="R60" s="326">
        <v>1200</v>
      </c>
      <c r="S60" s="326">
        <v>1113.5</v>
      </c>
      <c r="T60" s="326">
        <v>30</v>
      </c>
      <c r="U60" s="326">
        <f t="shared" si="1"/>
        <v>8291.5</v>
      </c>
      <c r="V60" s="326">
        <f t="shared" si="1"/>
        <v>6217.085</v>
      </c>
      <c r="W60" s="326">
        <v>1000</v>
      </c>
      <c r="X60" s="326">
        <v>0</v>
      </c>
      <c r="Y60" s="326">
        <v>0</v>
      </c>
      <c r="Z60" s="326">
        <v>0</v>
      </c>
      <c r="AA60" s="326">
        <v>0</v>
      </c>
      <c r="AB60" s="326">
        <v>0</v>
      </c>
      <c r="AC60" s="326">
        <v>0</v>
      </c>
      <c r="AD60" s="326">
        <v>0</v>
      </c>
      <c r="AE60" s="326">
        <v>0</v>
      </c>
      <c r="AF60" s="326">
        <v>0</v>
      </c>
      <c r="AG60" s="326">
        <v>0</v>
      </c>
      <c r="AH60" s="326">
        <v>0</v>
      </c>
      <c r="AI60" s="326">
        <v>972.8</v>
      </c>
      <c r="AJ60" s="326">
        <v>0</v>
      </c>
      <c r="AK60" s="326">
        <f t="shared" si="2"/>
        <v>1000</v>
      </c>
      <c r="AL60" s="326">
        <f t="shared" si="2"/>
        <v>0</v>
      </c>
    </row>
    <row r="61" spans="1:38" s="291" customFormat="1" ht="17.25" customHeight="1">
      <c r="A61" s="262">
        <v>51</v>
      </c>
      <c r="B61" s="327" t="s">
        <v>1076</v>
      </c>
      <c r="C61" s="326">
        <f t="shared" si="0"/>
        <v>13230.9</v>
      </c>
      <c r="D61" s="326">
        <f t="shared" si="0"/>
        <v>9166.11</v>
      </c>
      <c r="E61" s="326">
        <v>4884</v>
      </c>
      <c r="F61" s="326">
        <v>4818.987</v>
      </c>
      <c r="G61" s="326">
        <v>1068.6</v>
      </c>
      <c r="H61" s="326">
        <v>976.357</v>
      </c>
      <c r="I61" s="326">
        <v>2760</v>
      </c>
      <c r="J61" s="326">
        <v>2045.766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6">
        <v>1400</v>
      </c>
      <c r="R61" s="326">
        <v>775</v>
      </c>
      <c r="S61" s="326">
        <v>3118.3</v>
      </c>
      <c r="T61" s="326">
        <v>550</v>
      </c>
      <c r="U61" s="326">
        <f t="shared" si="1"/>
        <v>13230.9</v>
      </c>
      <c r="V61" s="326">
        <f t="shared" si="1"/>
        <v>9166.11</v>
      </c>
      <c r="W61" s="326">
        <v>3000</v>
      </c>
      <c r="X61" s="326">
        <v>500</v>
      </c>
      <c r="Y61" s="326">
        <v>0</v>
      </c>
      <c r="Z61" s="326">
        <v>0</v>
      </c>
      <c r="AA61" s="326">
        <v>0</v>
      </c>
      <c r="AB61" s="326">
        <v>0</v>
      </c>
      <c r="AC61" s="326">
        <v>0</v>
      </c>
      <c r="AD61" s="326">
        <v>0</v>
      </c>
      <c r="AE61" s="326">
        <v>0</v>
      </c>
      <c r="AF61" s="326">
        <v>0</v>
      </c>
      <c r="AG61" s="326">
        <v>0</v>
      </c>
      <c r="AH61" s="326">
        <v>0</v>
      </c>
      <c r="AI61" s="326">
        <v>3000</v>
      </c>
      <c r="AJ61" s="326">
        <v>500</v>
      </c>
      <c r="AK61" s="326">
        <f t="shared" si="2"/>
        <v>3000</v>
      </c>
      <c r="AL61" s="326">
        <f t="shared" si="2"/>
        <v>500</v>
      </c>
    </row>
    <row r="62" spans="1:38" s="291" customFormat="1" ht="17.25" customHeight="1">
      <c r="A62" s="262">
        <v>52</v>
      </c>
      <c r="B62" s="327" t="s">
        <v>1077</v>
      </c>
      <c r="C62" s="326">
        <f t="shared" si="0"/>
        <v>8599.800000000001</v>
      </c>
      <c r="D62" s="326">
        <f t="shared" si="0"/>
        <v>7631.708</v>
      </c>
      <c r="E62" s="326">
        <v>4310</v>
      </c>
      <c r="F62" s="326">
        <v>4308.432</v>
      </c>
      <c r="G62" s="326">
        <v>868</v>
      </c>
      <c r="H62" s="326">
        <v>867.934</v>
      </c>
      <c r="I62" s="326">
        <v>1406</v>
      </c>
      <c r="J62" s="326">
        <v>833.928</v>
      </c>
      <c r="K62" s="326">
        <v>0</v>
      </c>
      <c r="L62" s="326">
        <v>0</v>
      </c>
      <c r="M62" s="326">
        <v>0</v>
      </c>
      <c r="N62" s="326">
        <v>0</v>
      </c>
      <c r="O62" s="326">
        <v>200</v>
      </c>
      <c r="P62" s="326">
        <v>125.74</v>
      </c>
      <c r="Q62" s="326">
        <v>200</v>
      </c>
      <c r="R62" s="326">
        <v>60</v>
      </c>
      <c r="S62" s="326">
        <v>330.6</v>
      </c>
      <c r="T62" s="326">
        <v>150.5</v>
      </c>
      <c r="U62" s="326">
        <f t="shared" si="1"/>
        <v>7314.6</v>
      </c>
      <c r="V62" s="326">
        <f t="shared" si="1"/>
        <v>6346.534</v>
      </c>
      <c r="W62" s="326">
        <v>1500</v>
      </c>
      <c r="X62" s="326">
        <v>1378.174</v>
      </c>
      <c r="Y62" s="326">
        <v>0</v>
      </c>
      <c r="Z62" s="326">
        <v>0</v>
      </c>
      <c r="AA62" s="326">
        <v>0</v>
      </c>
      <c r="AB62" s="326">
        <v>0</v>
      </c>
      <c r="AC62" s="326">
        <v>0</v>
      </c>
      <c r="AD62" s="326">
        <v>0</v>
      </c>
      <c r="AE62" s="326">
        <v>0</v>
      </c>
      <c r="AF62" s="326">
        <v>0</v>
      </c>
      <c r="AG62" s="326">
        <v>0</v>
      </c>
      <c r="AH62" s="326">
        <v>0</v>
      </c>
      <c r="AI62" s="326">
        <v>214.8</v>
      </c>
      <c r="AJ62" s="326">
        <v>93</v>
      </c>
      <c r="AK62" s="326">
        <f t="shared" si="2"/>
        <v>1500</v>
      </c>
      <c r="AL62" s="326">
        <f t="shared" si="2"/>
        <v>1378.174</v>
      </c>
    </row>
    <row r="63" spans="1:38" s="291" customFormat="1" ht="17.25" customHeight="1">
      <c r="A63" s="262">
        <v>53</v>
      </c>
      <c r="B63" s="327" t="s">
        <v>1078</v>
      </c>
      <c r="C63" s="326">
        <f t="shared" si="0"/>
        <v>6897.3</v>
      </c>
      <c r="D63" s="326">
        <f t="shared" si="0"/>
        <v>4801.689</v>
      </c>
      <c r="E63" s="326">
        <v>2924</v>
      </c>
      <c r="F63" s="326">
        <v>2924</v>
      </c>
      <c r="G63" s="326">
        <v>642.6</v>
      </c>
      <c r="H63" s="326">
        <v>626.789</v>
      </c>
      <c r="I63" s="326">
        <v>2325</v>
      </c>
      <c r="J63" s="326">
        <v>810.9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6">
        <v>0</v>
      </c>
      <c r="Q63" s="326">
        <v>200</v>
      </c>
      <c r="R63" s="326">
        <v>130</v>
      </c>
      <c r="S63" s="326">
        <v>544.5</v>
      </c>
      <c r="T63" s="326">
        <v>210</v>
      </c>
      <c r="U63" s="326">
        <f t="shared" si="1"/>
        <v>6636.1</v>
      </c>
      <c r="V63" s="326">
        <f t="shared" si="1"/>
        <v>4701.689</v>
      </c>
      <c r="W63" s="326">
        <v>411.2</v>
      </c>
      <c r="X63" s="326">
        <v>100</v>
      </c>
      <c r="Y63" s="326">
        <v>0</v>
      </c>
      <c r="Z63" s="326">
        <v>0</v>
      </c>
      <c r="AA63" s="326">
        <v>0</v>
      </c>
      <c r="AB63" s="326">
        <v>0</v>
      </c>
      <c r="AC63" s="326">
        <v>0</v>
      </c>
      <c r="AD63" s="326">
        <v>0</v>
      </c>
      <c r="AE63" s="326">
        <v>0</v>
      </c>
      <c r="AF63" s="326">
        <v>0</v>
      </c>
      <c r="AG63" s="326">
        <v>0</v>
      </c>
      <c r="AH63" s="326">
        <v>0</v>
      </c>
      <c r="AI63" s="326">
        <v>150</v>
      </c>
      <c r="AJ63" s="326">
        <v>0</v>
      </c>
      <c r="AK63" s="326">
        <f t="shared" si="2"/>
        <v>411.2</v>
      </c>
      <c r="AL63" s="326">
        <f t="shared" si="2"/>
        <v>100</v>
      </c>
    </row>
    <row r="64" spans="1:38" s="291" customFormat="1" ht="17.25" customHeight="1">
      <c r="A64" s="262">
        <v>54</v>
      </c>
      <c r="B64" s="327" t="s">
        <v>1079</v>
      </c>
      <c r="C64" s="326">
        <f t="shared" si="0"/>
        <v>8529.7</v>
      </c>
      <c r="D64" s="326">
        <f t="shared" si="0"/>
        <v>6290.0199999999995</v>
      </c>
      <c r="E64" s="326">
        <v>4057</v>
      </c>
      <c r="F64" s="326">
        <v>4054.999</v>
      </c>
      <c r="G64" s="326">
        <v>916.3</v>
      </c>
      <c r="H64" s="326">
        <v>900.849</v>
      </c>
      <c r="I64" s="326">
        <v>1306</v>
      </c>
      <c r="J64" s="326">
        <v>612.7470000000001</v>
      </c>
      <c r="K64" s="326">
        <v>0</v>
      </c>
      <c r="L64" s="326">
        <v>0</v>
      </c>
      <c r="M64" s="326">
        <v>0</v>
      </c>
      <c r="N64" s="326">
        <v>0</v>
      </c>
      <c r="O64" s="326">
        <v>100</v>
      </c>
      <c r="P64" s="326">
        <v>79</v>
      </c>
      <c r="Q64" s="326">
        <v>700</v>
      </c>
      <c r="R64" s="326">
        <v>564</v>
      </c>
      <c r="S64" s="326">
        <v>1298.2</v>
      </c>
      <c r="T64" s="326">
        <v>170</v>
      </c>
      <c r="U64" s="326">
        <f t="shared" si="1"/>
        <v>8377.5</v>
      </c>
      <c r="V64" s="326">
        <f t="shared" si="1"/>
        <v>6381.594999999999</v>
      </c>
      <c r="W64" s="326">
        <v>1200</v>
      </c>
      <c r="X64" s="326">
        <v>230</v>
      </c>
      <c r="Y64" s="326">
        <v>0</v>
      </c>
      <c r="Z64" s="326">
        <v>0</v>
      </c>
      <c r="AA64" s="326">
        <v>0</v>
      </c>
      <c r="AB64" s="326">
        <v>0</v>
      </c>
      <c r="AC64" s="326">
        <v>0</v>
      </c>
      <c r="AD64" s="326">
        <v>0</v>
      </c>
      <c r="AE64" s="326">
        <v>0</v>
      </c>
      <c r="AF64" s="326">
        <v>-241.575</v>
      </c>
      <c r="AG64" s="326">
        <v>0</v>
      </c>
      <c r="AH64" s="326">
        <v>0</v>
      </c>
      <c r="AI64" s="326">
        <v>1047.8</v>
      </c>
      <c r="AJ64" s="326">
        <v>80</v>
      </c>
      <c r="AK64" s="326">
        <f t="shared" si="2"/>
        <v>1200</v>
      </c>
      <c r="AL64" s="326">
        <f t="shared" si="2"/>
        <v>-11.574999999999989</v>
      </c>
    </row>
    <row r="65" spans="1:38" s="291" customFormat="1" ht="17.25" customHeight="1">
      <c r="A65" s="262">
        <v>55</v>
      </c>
      <c r="B65" s="327" t="s">
        <v>1080</v>
      </c>
      <c r="C65" s="326">
        <f t="shared" si="0"/>
        <v>6200.5</v>
      </c>
      <c r="D65" s="326">
        <f t="shared" si="0"/>
        <v>5814.371</v>
      </c>
      <c r="E65" s="326">
        <v>3236</v>
      </c>
      <c r="F65" s="326">
        <v>3235.999</v>
      </c>
      <c r="G65" s="326">
        <v>679</v>
      </c>
      <c r="H65" s="326">
        <v>657.095</v>
      </c>
      <c r="I65" s="326">
        <v>1490</v>
      </c>
      <c r="J65" s="326">
        <v>1445.277</v>
      </c>
      <c r="K65" s="326">
        <v>0</v>
      </c>
      <c r="L65" s="326">
        <v>0</v>
      </c>
      <c r="M65" s="326">
        <v>0</v>
      </c>
      <c r="N65" s="326">
        <v>0</v>
      </c>
      <c r="O65" s="326">
        <v>0</v>
      </c>
      <c r="P65" s="326">
        <v>0</v>
      </c>
      <c r="Q65" s="326">
        <v>470</v>
      </c>
      <c r="R65" s="326">
        <v>460</v>
      </c>
      <c r="S65" s="326">
        <v>65.3</v>
      </c>
      <c r="T65" s="326">
        <v>16</v>
      </c>
      <c r="U65" s="326">
        <f t="shared" si="1"/>
        <v>5940.3</v>
      </c>
      <c r="V65" s="326">
        <f t="shared" si="1"/>
        <v>5814.371</v>
      </c>
      <c r="W65" s="326">
        <v>260.2</v>
      </c>
      <c r="X65" s="326">
        <v>0</v>
      </c>
      <c r="Y65" s="326">
        <v>0</v>
      </c>
      <c r="Z65" s="326">
        <v>0</v>
      </c>
      <c r="AA65" s="326">
        <v>0</v>
      </c>
      <c r="AB65" s="326">
        <v>0</v>
      </c>
      <c r="AC65" s="326">
        <v>0</v>
      </c>
      <c r="AD65" s="326">
        <v>0</v>
      </c>
      <c r="AE65" s="326">
        <v>0</v>
      </c>
      <c r="AF65" s="326">
        <v>0</v>
      </c>
      <c r="AG65" s="326">
        <v>0</v>
      </c>
      <c r="AH65" s="326">
        <v>0</v>
      </c>
      <c r="AI65" s="326">
        <v>0</v>
      </c>
      <c r="AJ65" s="326">
        <v>0</v>
      </c>
      <c r="AK65" s="326">
        <f t="shared" si="2"/>
        <v>260.2</v>
      </c>
      <c r="AL65" s="326">
        <f t="shared" si="2"/>
        <v>0</v>
      </c>
    </row>
    <row r="66" spans="1:38" s="291" customFormat="1" ht="17.25" customHeight="1">
      <c r="A66" s="262">
        <v>56</v>
      </c>
      <c r="B66" s="327" t="s">
        <v>1081</v>
      </c>
      <c r="C66" s="326">
        <f t="shared" si="0"/>
        <v>5245</v>
      </c>
      <c r="D66" s="326">
        <f t="shared" si="0"/>
        <v>4306.039</v>
      </c>
      <c r="E66" s="326">
        <v>2495</v>
      </c>
      <c r="F66" s="326">
        <v>2494.322</v>
      </c>
      <c r="G66" s="326">
        <v>515</v>
      </c>
      <c r="H66" s="326">
        <v>512.093</v>
      </c>
      <c r="I66" s="326">
        <v>855</v>
      </c>
      <c r="J66" s="326">
        <v>729.605</v>
      </c>
      <c r="K66" s="326">
        <v>0</v>
      </c>
      <c r="L66" s="326">
        <v>0</v>
      </c>
      <c r="M66" s="326">
        <v>0</v>
      </c>
      <c r="N66" s="326">
        <v>0</v>
      </c>
      <c r="O66" s="326">
        <v>100</v>
      </c>
      <c r="P66" s="326">
        <v>95.02</v>
      </c>
      <c r="Q66" s="326">
        <v>200</v>
      </c>
      <c r="R66" s="326">
        <v>200</v>
      </c>
      <c r="S66" s="326">
        <v>1030</v>
      </c>
      <c r="T66" s="326">
        <v>225</v>
      </c>
      <c r="U66" s="326">
        <f t="shared" si="1"/>
        <v>5195</v>
      </c>
      <c r="V66" s="326">
        <f t="shared" si="1"/>
        <v>4256.04</v>
      </c>
      <c r="W66" s="326">
        <v>1000</v>
      </c>
      <c r="X66" s="326">
        <v>199.999</v>
      </c>
      <c r="Y66" s="326">
        <v>0</v>
      </c>
      <c r="Z66" s="326">
        <v>0</v>
      </c>
      <c r="AA66" s="326">
        <v>0</v>
      </c>
      <c r="AB66" s="326">
        <v>0</v>
      </c>
      <c r="AC66" s="326">
        <v>0</v>
      </c>
      <c r="AD66" s="326">
        <v>0</v>
      </c>
      <c r="AE66" s="326">
        <v>0</v>
      </c>
      <c r="AF66" s="326">
        <v>0</v>
      </c>
      <c r="AG66" s="326">
        <v>0</v>
      </c>
      <c r="AH66" s="326">
        <v>0</v>
      </c>
      <c r="AI66" s="326">
        <v>950</v>
      </c>
      <c r="AJ66" s="326">
        <v>150</v>
      </c>
      <c r="AK66" s="326">
        <f t="shared" si="2"/>
        <v>1000</v>
      </c>
      <c r="AL66" s="326">
        <f t="shared" si="2"/>
        <v>199.999</v>
      </c>
    </row>
    <row r="67" spans="1:38" s="291" customFormat="1" ht="17.25" customHeight="1">
      <c r="A67" s="262">
        <v>57</v>
      </c>
      <c r="B67" s="327" t="s">
        <v>1082</v>
      </c>
      <c r="C67" s="326">
        <f t="shared" si="0"/>
        <v>4702.700000000001</v>
      </c>
      <c r="D67" s="326">
        <f t="shared" si="0"/>
        <v>4074.5350000000003</v>
      </c>
      <c r="E67" s="326">
        <v>2040</v>
      </c>
      <c r="F67" s="326">
        <v>2039.659</v>
      </c>
      <c r="G67" s="326">
        <v>498</v>
      </c>
      <c r="H67" s="326">
        <v>493.949</v>
      </c>
      <c r="I67" s="326">
        <v>1240</v>
      </c>
      <c r="J67" s="326">
        <v>925.927</v>
      </c>
      <c r="K67" s="326">
        <v>0</v>
      </c>
      <c r="L67" s="326">
        <v>0</v>
      </c>
      <c r="M67" s="326">
        <v>0</v>
      </c>
      <c r="N67" s="326">
        <v>0</v>
      </c>
      <c r="O67" s="326">
        <v>0</v>
      </c>
      <c r="P67" s="326">
        <v>0</v>
      </c>
      <c r="Q67" s="326">
        <v>600</v>
      </c>
      <c r="R67" s="326">
        <v>600</v>
      </c>
      <c r="S67" s="326">
        <v>300.6</v>
      </c>
      <c r="T67" s="326">
        <v>15</v>
      </c>
      <c r="U67" s="326">
        <f t="shared" si="1"/>
        <v>4678.6</v>
      </c>
      <c r="V67" s="326">
        <f t="shared" si="1"/>
        <v>4074.5350000000003</v>
      </c>
      <c r="W67" s="326">
        <v>150</v>
      </c>
      <c r="X67" s="326">
        <v>0</v>
      </c>
      <c r="Y67" s="326">
        <v>0</v>
      </c>
      <c r="Z67" s="326">
        <v>0</v>
      </c>
      <c r="AA67" s="326">
        <v>0</v>
      </c>
      <c r="AB67" s="326">
        <v>0</v>
      </c>
      <c r="AC67" s="326">
        <v>0</v>
      </c>
      <c r="AD67" s="326">
        <v>0</v>
      </c>
      <c r="AE67" s="326">
        <v>0</v>
      </c>
      <c r="AF67" s="326">
        <v>0</v>
      </c>
      <c r="AG67" s="326">
        <v>0</v>
      </c>
      <c r="AH67" s="326">
        <v>0</v>
      </c>
      <c r="AI67" s="326">
        <v>125.9</v>
      </c>
      <c r="AJ67" s="326">
        <v>0</v>
      </c>
      <c r="AK67" s="326">
        <f t="shared" si="2"/>
        <v>150</v>
      </c>
      <c r="AL67" s="326">
        <f t="shared" si="2"/>
        <v>0</v>
      </c>
    </row>
    <row r="68" spans="1:38" s="291" customFormat="1" ht="17.25" customHeight="1">
      <c r="A68" s="262">
        <v>58</v>
      </c>
      <c r="B68" s="327" t="s">
        <v>1083</v>
      </c>
      <c r="C68" s="326">
        <f t="shared" si="0"/>
        <v>10685.4</v>
      </c>
      <c r="D68" s="326">
        <f t="shared" si="0"/>
        <v>5395.1789</v>
      </c>
      <c r="E68" s="326">
        <v>3221.5</v>
      </c>
      <c r="F68" s="326">
        <v>3196.8069</v>
      </c>
      <c r="G68" s="326">
        <v>737.5</v>
      </c>
      <c r="H68" s="326">
        <v>707.194</v>
      </c>
      <c r="I68" s="326">
        <v>1720</v>
      </c>
      <c r="J68" s="326">
        <v>320.8</v>
      </c>
      <c r="K68" s="326">
        <v>0</v>
      </c>
      <c r="L68" s="326">
        <v>0</v>
      </c>
      <c r="M68" s="326">
        <v>0</v>
      </c>
      <c r="N68" s="326">
        <v>0</v>
      </c>
      <c r="O68" s="326">
        <v>40</v>
      </c>
      <c r="P68" s="326">
        <v>23.158</v>
      </c>
      <c r="Q68" s="326">
        <v>1900</v>
      </c>
      <c r="R68" s="326">
        <v>1118</v>
      </c>
      <c r="S68" s="326">
        <v>3066.4</v>
      </c>
      <c r="T68" s="326">
        <v>29.22</v>
      </c>
      <c r="U68" s="326">
        <f t="shared" si="1"/>
        <v>10685.4</v>
      </c>
      <c r="V68" s="326">
        <f t="shared" si="1"/>
        <v>5395.1789</v>
      </c>
      <c r="W68" s="326">
        <v>2500</v>
      </c>
      <c r="X68" s="326">
        <v>0</v>
      </c>
      <c r="Y68" s="326">
        <v>0</v>
      </c>
      <c r="Z68" s="326">
        <v>0</v>
      </c>
      <c r="AA68" s="326">
        <v>0</v>
      </c>
      <c r="AB68" s="326">
        <v>0</v>
      </c>
      <c r="AC68" s="326">
        <v>0</v>
      </c>
      <c r="AD68" s="326">
        <v>0</v>
      </c>
      <c r="AE68" s="326">
        <v>0</v>
      </c>
      <c r="AF68" s="326">
        <v>0</v>
      </c>
      <c r="AG68" s="326">
        <v>0</v>
      </c>
      <c r="AH68" s="326">
        <v>0</v>
      </c>
      <c r="AI68" s="326">
        <v>2500</v>
      </c>
      <c r="AJ68" s="326">
        <v>0</v>
      </c>
      <c r="AK68" s="326">
        <f t="shared" si="2"/>
        <v>2500</v>
      </c>
      <c r="AL68" s="326">
        <f t="shared" si="2"/>
        <v>0</v>
      </c>
    </row>
    <row r="69" spans="1:38" s="291" customFormat="1" ht="17.25" customHeight="1">
      <c r="A69" s="262">
        <v>59</v>
      </c>
      <c r="B69" s="327" t="s">
        <v>1084</v>
      </c>
      <c r="C69" s="326">
        <f t="shared" si="0"/>
        <v>7688.5</v>
      </c>
      <c r="D69" s="326">
        <f t="shared" si="0"/>
        <v>6437.174999999999</v>
      </c>
      <c r="E69" s="326">
        <v>3950</v>
      </c>
      <c r="F69" s="326">
        <v>3947.6</v>
      </c>
      <c r="G69" s="326">
        <v>920.5</v>
      </c>
      <c r="H69" s="326">
        <v>842.055</v>
      </c>
      <c r="I69" s="326">
        <v>1680</v>
      </c>
      <c r="J69" s="326">
        <v>1077.2</v>
      </c>
      <c r="K69" s="326">
        <v>0</v>
      </c>
      <c r="L69" s="326">
        <v>0</v>
      </c>
      <c r="M69" s="326">
        <v>0</v>
      </c>
      <c r="N69" s="326">
        <v>0</v>
      </c>
      <c r="O69" s="326">
        <v>0</v>
      </c>
      <c r="P69" s="326">
        <v>0</v>
      </c>
      <c r="Q69" s="326">
        <v>930</v>
      </c>
      <c r="R69" s="326">
        <v>540.32</v>
      </c>
      <c r="S69" s="326">
        <v>137.3</v>
      </c>
      <c r="T69" s="326">
        <v>30</v>
      </c>
      <c r="U69" s="326">
        <f t="shared" si="1"/>
        <v>7617.8</v>
      </c>
      <c r="V69" s="326">
        <f t="shared" si="1"/>
        <v>6437.174999999999</v>
      </c>
      <c r="W69" s="326">
        <v>70.7</v>
      </c>
      <c r="X69" s="326">
        <v>0</v>
      </c>
      <c r="Y69" s="326">
        <v>0</v>
      </c>
      <c r="Z69" s="326">
        <v>0</v>
      </c>
      <c r="AA69" s="326">
        <v>0</v>
      </c>
      <c r="AB69" s="326">
        <v>0</v>
      </c>
      <c r="AC69" s="326">
        <v>0</v>
      </c>
      <c r="AD69" s="326">
        <v>0</v>
      </c>
      <c r="AE69" s="326">
        <v>0</v>
      </c>
      <c r="AF69" s="326">
        <v>0</v>
      </c>
      <c r="AG69" s="326">
        <v>0</v>
      </c>
      <c r="AH69" s="326">
        <v>0</v>
      </c>
      <c r="AI69" s="326">
        <v>0</v>
      </c>
      <c r="AJ69" s="326">
        <v>0</v>
      </c>
      <c r="AK69" s="326">
        <f t="shared" si="2"/>
        <v>70.7</v>
      </c>
      <c r="AL69" s="326">
        <f t="shared" si="2"/>
        <v>0</v>
      </c>
    </row>
    <row r="70" spans="1:38" s="291" customFormat="1" ht="17.25" customHeight="1">
      <c r="A70" s="262">
        <v>60</v>
      </c>
      <c r="B70" s="327" t="s">
        <v>1085</v>
      </c>
      <c r="C70" s="326">
        <f t="shared" si="0"/>
        <v>8201.8</v>
      </c>
      <c r="D70" s="326">
        <f t="shared" si="0"/>
        <v>6251.736</v>
      </c>
      <c r="E70" s="326">
        <v>3740</v>
      </c>
      <c r="F70" s="326">
        <v>3694.192</v>
      </c>
      <c r="G70" s="326">
        <v>819</v>
      </c>
      <c r="H70" s="326">
        <v>722.892</v>
      </c>
      <c r="I70" s="326">
        <v>1590</v>
      </c>
      <c r="J70" s="326">
        <v>949.352</v>
      </c>
      <c r="K70" s="326">
        <v>0</v>
      </c>
      <c r="L70" s="326">
        <v>0</v>
      </c>
      <c r="M70" s="326">
        <v>0</v>
      </c>
      <c r="N70" s="326">
        <v>0</v>
      </c>
      <c r="O70" s="326">
        <v>50</v>
      </c>
      <c r="P70" s="326">
        <v>0</v>
      </c>
      <c r="Q70" s="326">
        <v>1200</v>
      </c>
      <c r="R70" s="326">
        <v>870</v>
      </c>
      <c r="S70" s="326">
        <v>794.4</v>
      </c>
      <c r="T70" s="326">
        <v>15.3</v>
      </c>
      <c r="U70" s="326">
        <f t="shared" si="1"/>
        <v>8193.4</v>
      </c>
      <c r="V70" s="326">
        <f t="shared" si="1"/>
        <v>6251.736</v>
      </c>
      <c r="W70" s="326">
        <v>100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-50</v>
      </c>
      <c r="AD70" s="326">
        <v>0</v>
      </c>
      <c r="AE70" s="326">
        <v>-41.6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f t="shared" si="2"/>
        <v>8.399999999999999</v>
      </c>
      <c r="AL70" s="326">
        <f t="shared" si="2"/>
        <v>0</v>
      </c>
    </row>
    <row r="71" spans="1:38" s="291" customFormat="1" ht="17.25" customHeight="1">
      <c r="A71" s="262">
        <v>61</v>
      </c>
      <c r="B71" s="327" t="s">
        <v>1086</v>
      </c>
      <c r="C71" s="326">
        <f t="shared" si="0"/>
        <v>4198.035</v>
      </c>
      <c r="D71" s="326">
        <f t="shared" si="0"/>
        <v>-3808.866</v>
      </c>
      <c r="E71" s="326">
        <v>3055</v>
      </c>
      <c r="F71" s="326">
        <v>2347.261</v>
      </c>
      <c r="G71" s="326">
        <v>718.25</v>
      </c>
      <c r="H71" s="326">
        <v>608.873</v>
      </c>
      <c r="I71" s="326">
        <v>111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6">
        <v>130</v>
      </c>
      <c r="R71" s="326">
        <v>120</v>
      </c>
      <c r="S71" s="326">
        <v>70</v>
      </c>
      <c r="T71" s="326">
        <v>15</v>
      </c>
      <c r="U71" s="326">
        <f t="shared" si="1"/>
        <v>4084.25</v>
      </c>
      <c r="V71" s="326">
        <f t="shared" si="1"/>
        <v>3091.134</v>
      </c>
      <c r="W71" s="326">
        <v>113.785</v>
      </c>
      <c r="X71" s="326">
        <v>0</v>
      </c>
      <c r="Y71" s="326">
        <v>0</v>
      </c>
      <c r="Z71" s="326">
        <v>0</v>
      </c>
      <c r="AA71" s="326">
        <v>0</v>
      </c>
      <c r="AB71" s="326">
        <v>0</v>
      </c>
      <c r="AC71" s="326">
        <v>0</v>
      </c>
      <c r="AD71" s="326">
        <v>0</v>
      </c>
      <c r="AE71" s="326">
        <v>0</v>
      </c>
      <c r="AF71" s="326">
        <v>-6900</v>
      </c>
      <c r="AG71" s="326">
        <v>0</v>
      </c>
      <c r="AH71" s="326">
        <v>0</v>
      </c>
      <c r="AI71" s="326">
        <v>0</v>
      </c>
      <c r="AJ71" s="326">
        <v>0</v>
      </c>
      <c r="AK71" s="326">
        <f t="shared" si="2"/>
        <v>113.785</v>
      </c>
      <c r="AL71" s="326">
        <f t="shared" si="2"/>
        <v>-6900</v>
      </c>
    </row>
    <row r="72" spans="1:38" s="291" customFormat="1" ht="17.25" customHeight="1">
      <c r="A72" s="262">
        <v>62</v>
      </c>
      <c r="B72" s="327" t="s">
        <v>1087</v>
      </c>
      <c r="C72" s="326">
        <f t="shared" si="0"/>
        <v>20009.299999999996</v>
      </c>
      <c r="D72" s="326">
        <f t="shared" si="0"/>
        <v>12237.752</v>
      </c>
      <c r="E72" s="326">
        <v>6452</v>
      </c>
      <c r="F72" s="326">
        <v>5763.205</v>
      </c>
      <c r="G72" s="326">
        <v>1569.3</v>
      </c>
      <c r="H72" s="326">
        <v>1315.888</v>
      </c>
      <c r="I72" s="326">
        <v>2340</v>
      </c>
      <c r="J72" s="326">
        <v>1009.259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6450</v>
      </c>
      <c r="R72" s="326">
        <v>3800</v>
      </c>
      <c r="S72" s="326">
        <v>3174.4</v>
      </c>
      <c r="T72" s="326">
        <v>325.8</v>
      </c>
      <c r="U72" s="326">
        <f t="shared" si="1"/>
        <v>19985.699999999997</v>
      </c>
      <c r="V72" s="326">
        <f t="shared" si="1"/>
        <v>12214.152</v>
      </c>
      <c r="W72" s="326">
        <v>2523.6</v>
      </c>
      <c r="X72" s="326">
        <v>319.4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2500</v>
      </c>
      <c r="AJ72" s="326">
        <v>295.8</v>
      </c>
      <c r="AK72" s="326">
        <f t="shared" si="2"/>
        <v>2523.6</v>
      </c>
      <c r="AL72" s="326">
        <f t="shared" si="2"/>
        <v>319.4</v>
      </c>
    </row>
    <row r="73" spans="1:38" s="291" customFormat="1" ht="17.25" customHeight="1">
      <c r="A73" s="262">
        <v>63</v>
      </c>
      <c r="B73" s="327" t="s">
        <v>1088</v>
      </c>
      <c r="C73" s="326">
        <f t="shared" si="0"/>
        <v>12550.4</v>
      </c>
      <c r="D73" s="326">
        <f t="shared" si="0"/>
        <v>9061.061</v>
      </c>
      <c r="E73" s="326">
        <v>5480</v>
      </c>
      <c r="F73" s="326">
        <v>5478.938</v>
      </c>
      <c r="G73" s="326">
        <v>1224</v>
      </c>
      <c r="H73" s="326">
        <v>1201</v>
      </c>
      <c r="I73" s="326">
        <v>3709.8</v>
      </c>
      <c r="J73" s="326">
        <v>2116.123</v>
      </c>
      <c r="K73" s="326">
        <v>0</v>
      </c>
      <c r="L73" s="326">
        <v>0</v>
      </c>
      <c r="M73" s="326">
        <v>0</v>
      </c>
      <c r="N73" s="326">
        <v>0</v>
      </c>
      <c r="O73" s="326">
        <v>200</v>
      </c>
      <c r="P73" s="326">
        <v>0</v>
      </c>
      <c r="Q73" s="326">
        <v>1000</v>
      </c>
      <c r="R73" s="326">
        <v>210</v>
      </c>
      <c r="S73" s="326">
        <v>929.1</v>
      </c>
      <c r="T73" s="326">
        <v>55</v>
      </c>
      <c r="U73" s="326">
        <f t="shared" si="1"/>
        <v>12542.9</v>
      </c>
      <c r="V73" s="326">
        <f t="shared" si="1"/>
        <v>9061.061</v>
      </c>
      <c r="W73" s="326">
        <v>500</v>
      </c>
      <c r="X73" s="326">
        <v>0</v>
      </c>
      <c r="Y73" s="326">
        <v>0</v>
      </c>
      <c r="Z73" s="326">
        <v>0</v>
      </c>
      <c r="AA73" s="326">
        <v>0</v>
      </c>
      <c r="AB73" s="326">
        <v>0</v>
      </c>
      <c r="AC73" s="326">
        <v>0</v>
      </c>
      <c r="AD73" s="326">
        <v>0</v>
      </c>
      <c r="AE73" s="326">
        <v>0</v>
      </c>
      <c r="AF73" s="326">
        <v>0</v>
      </c>
      <c r="AG73" s="326">
        <v>0</v>
      </c>
      <c r="AH73" s="326">
        <v>0</v>
      </c>
      <c r="AI73" s="326">
        <v>492.5</v>
      </c>
      <c r="AJ73" s="326">
        <v>0</v>
      </c>
      <c r="AK73" s="326">
        <f t="shared" si="2"/>
        <v>500</v>
      </c>
      <c r="AL73" s="326">
        <f t="shared" si="2"/>
        <v>0</v>
      </c>
    </row>
    <row r="74" spans="1:38" s="291" customFormat="1" ht="17.25" customHeight="1">
      <c r="A74" s="262">
        <v>64</v>
      </c>
      <c r="B74" s="327" t="s">
        <v>1089</v>
      </c>
      <c r="C74" s="326">
        <f aca="true" t="shared" si="3" ref="C74:D104">U74+AK74-AI74</f>
        <v>306400.5</v>
      </c>
      <c r="D74" s="326">
        <f t="shared" si="3"/>
        <v>298114.155</v>
      </c>
      <c r="E74" s="326">
        <v>41080</v>
      </c>
      <c r="F74" s="326">
        <v>40315.137</v>
      </c>
      <c r="G74" s="326">
        <v>8200</v>
      </c>
      <c r="H74" s="326">
        <v>7758.198</v>
      </c>
      <c r="I74" s="326">
        <v>83553.2</v>
      </c>
      <c r="J74" s="326">
        <v>81282.174</v>
      </c>
      <c r="K74" s="326">
        <v>0</v>
      </c>
      <c r="L74" s="326">
        <v>0</v>
      </c>
      <c r="M74" s="326">
        <v>0</v>
      </c>
      <c r="N74" s="326">
        <v>0</v>
      </c>
      <c r="O74" s="326">
        <v>134487.7</v>
      </c>
      <c r="P74" s="326">
        <v>131778.2</v>
      </c>
      <c r="Q74" s="326">
        <v>5704</v>
      </c>
      <c r="R74" s="326">
        <v>4571</v>
      </c>
      <c r="S74" s="326">
        <v>1501</v>
      </c>
      <c r="T74" s="326">
        <v>1149</v>
      </c>
      <c r="U74" s="326">
        <f aca="true" t="shared" si="4" ref="U74:V104">S74+Q74+O74+M74+K74+I74+G74+E74</f>
        <v>274525.9</v>
      </c>
      <c r="V74" s="326">
        <f t="shared" si="4"/>
        <v>266853.70900000003</v>
      </c>
      <c r="W74" s="326">
        <v>37764.6</v>
      </c>
      <c r="X74" s="326">
        <v>36592.72</v>
      </c>
      <c r="Y74" s="326">
        <v>0</v>
      </c>
      <c r="Z74" s="326">
        <v>0</v>
      </c>
      <c r="AA74" s="326">
        <v>0</v>
      </c>
      <c r="AB74" s="326">
        <v>0</v>
      </c>
      <c r="AC74" s="326">
        <v>-2695</v>
      </c>
      <c r="AD74" s="326">
        <v>-1175.9</v>
      </c>
      <c r="AE74" s="326">
        <v>-2695</v>
      </c>
      <c r="AF74" s="326">
        <v>-3656.374</v>
      </c>
      <c r="AG74" s="326">
        <v>0</v>
      </c>
      <c r="AH74" s="326">
        <v>0</v>
      </c>
      <c r="AI74" s="326">
        <v>500</v>
      </c>
      <c r="AJ74" s="326">
        <v>500</v>
      </c>
      <c r="AK74" s="326">
        <f aca="true" t="shared" si="5" ref="AK74:AL104">W74+Y74+AA74+AC74+AE74+AG74</f>
        <v>32374.6</v>
      </c>
      <c r="AL74" s="326">
        <f t="shared" si="5"/>
        <v>31760.446</v>
      </c>
    </row>
    <row r="75" spans="1:38" s="291" customFormat="1" ht="17.25" customHeight="1">
      <c r="A75" s="262">
        <v>65</v>
      </c>
      <c r="B75" s="327" t="s">
        <v>1090</v>
      </c>
      <c r="C75" s="326">
        <f t="shared" si="3"/>
        <v>46501.805</v>
      </c>
      <c r="D75" s="326">
        <f t="shared" si="3"/>
        <v>10606.726999999999</v>
      </c>
      <c r="E75" s="326">
        <v>14221.701</v>
      </c>
      <c r="F75" s="326">
        <v>13465.031</v>
      </c>
      <c r="G75" s="326">
        <v>3046.204</v>
      </c>
      <c r="H75" s="326">
        <v>2646.88</v>
      </c>
      <c r="I75" s="326">
        <v>7452</v>
      </c>
      <c r="J75" s="326">
        <v>6748.91</v>
      </c>
      <c r="K75" s="326">
        <v>0</v>
      </c>
      <c r="L75" s="326">
        <v>0</v>
      </c>
      <c r="M75" s="326">
        <v>0</v>
      </c>
      <c r="N75" s="326">
        <v>0</v>
      </c>
      <c r="O75" s="326">
        <v>11814.4</v>
      </c>
      <c r="P75" s="326">
        <v>10784</v>
      </c>
      <c r="Q75" s="326">
        <v>1983</v>
      </c>
      <c r="R75" s="326">
        <v>1953</v>
      </c>
      <c r="S75" s="326">
        <v>970</v>
      </c>
      <c r="T75" s="326">
        <v>102.5</v>
      </c>
      <c r="U75" s="326">
        <f t="shared" si="4"/>
        <v>39487.305</v>
      </c>
      <c r="V75" s="326">
        <f t="shared" si="4"/>
        <v>35700.321</v>
      </c>
      <c r="W75" s="326">
        <v>46187.5</v>
      </c>
      <c r="X75" s="326">
        <v>40429.676</v>
      </c>
      <c r="Y75" s="326">
        <v>0</v>
      </c>
      <c r="Z75" s="326">
        <v>0</v>
      </c>
      <c r="AA75" s="326">
        <v>0</v>
      </c>
      <c r="AB75" s="326">
        <v>0</v>
      </c>
      <c r="AC75" s="326">
        <v>0</v>
      </c>
      <c r="AD75" s="326">
        <v>-1375.165</v>
      </c>
      <c r="AE75" s="326">
        <v>-39173</v>
      </c>
      <c r="AF75" s="326">
        <v>-64148.105</v>
      </c>
      <c r="AG75" s="326">
        <v>0</v>
      </c>
      <c r="AH75" s="326">
        <v>0</v>
      </c>
      <c r="AI75" s="326">
        <v>0</v>
      </c>
      <c r="AJ75" s="326">
        <v>0</v>
      </c>
      <c r="AK75" s="326">
        <f t="shared" si="5"/>
        <v>7014.5</v>
      </c>
      <c r="AL75" s="326">
        <f t="shared" si="5"/>
        <v>-25093.594000000005</v>
      </c>
    </row>
    <row r="76" spans="1:38" s="291" customFormat="1" ht="17.25" customHeight="1">
      <c r="A76" s="262">
        <v>66</v>
      </c>
      <c r="B76" s="327" t="s">
        <v>1091</v>
      </c>
      <c r="C76" s="326">
        <f t="shared" si="3"/>
        <v>29031</v>
      </c>
      <c r="D76" s="326">
        <f t="shared" si="3"/>
        <v>27764.45</v>
      </c>
      <c r="E76" s="326">
        <v>17060</v>
      </c>
      <c r="F76" s="326">
        <v>16909.358</v>
      </c>
      <c r="G76" s="326">
        <v>3740</v>
      </c>
      <c r="H76" s="326">
        <v>3740</v>
      </c>
      <c r="I76" s="326">
        <v>6420.1</v>
      </c>
      <c r="J76" s="326">
        <v>5794.3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500</v>
      </c>
      <c r="R76" s="326">
        <v>500</v>
      </c>
      <c r="S76" s="326">
        <v>943.3</v>
      </c>
      <c r="T76" s="326">
        <v>492.5</v>
      </c>
      <c r="U76" s="326">
        <f t="shared" si="4"/>
        <v>28663.4</v>
      </c>
      <c r="V76" s="326">
        <f t="shared" si="4"/>
        <v>27436.158</v>
      </c>
      <c r="W76" s="326">
        <v>767.6</v>
      </c>
      <c r="X76" s="326">
        <v>766.5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0</v>
      </c>
      <c r="AE76" s="326">
        <v>0</v>
      </c>
      <c r="AF76" s="326">
        <v>-38.208</v>
      </c>
      <c r="AG76" s="326">
        <v>0</v>
      </c>
      <c r="AH76" s="326">
        <v>0</v>
      </c>
      <c r="AI76" s="326">
        <v>400</v>
      </c>
      <c r="AJ76" s="326">
        <v>400</v>
      </c>
      <c r="AK76" s="326">
        <f t="shared" si="5"/>
        <v>767.6</v>
      </c>
      <c r="AL76" s="326">
        <f t="shared" si="5"/>
        <v>728.292</v>
      </c>
    </row>
    <row r="77" spans="1:38" s="291" customFormat="1" ht="17.25" customHeight="1">
      <c r="A77" s="262">
        <v>67</v>
      </c>
      <c r="B77" s="327" t="s">
        <v>1092</v>
      </c>
      <c r="C77" s="326">
        <f t="shared" si="3"/>
        <v>15221.9</v>
      </c>
      <c r="D77" s="326">
        <f t="shared" si="3"/>
        <v>11347.532</v>
      </c>
      <c r="E77" s="326">
        <v>5658</v>
      </c>
      <c r="F77" s="326">
        <v>5130.717</v>
      </c>
      <c r="G77" s="326">
        <v>1536.4</v>
      </c>
      <c r="H77" s="326">
        <v>1393</v>
      </c>
      <c r="I77" s="326">
        <v>5640.2</v>
      </c>
      <c r="J77" s="326">
        <v>4392.8</v>
      </c>
      <c r="K77" s="326">
        <v>0</v>
      </c>
      <c r="L77" s="326">
        <v>0</v>
      </c>
      <c r="M77" s="326">
        <v>0</v>
      </c>
      <c r="N77" s="326">
        <v>0</v>
      </c>
      <c r="O77" s="326">
        <v>50</v>
      </c>
      <c r="P77" s="326">
        <v>50</v>
      </c>
      <c r="Q77" s="326">
        <v>1200</v>
      </c>
      <c r="R77" s="326">
        <v>230</v>
      </c>
      <c r="S77" s="326">
        <v>1040</v>
      </c>
      <c r="T77" s="326">
        <v>353</v>
      </c>
      <c r="U77" s="326">
        <f t="shared" si="4"/>
        <v>15124.6</v>
      </c>
      <c r="V77" s="326">
        <f t="shared" si="4"/>
        <v>11549.517</v>
      </c>
      <c r="W77" s="326">
        <v>3000</v>
      </c>
      <c r="X77" s="326">
        <v>1120.5</v>
      </c>
      <c r="Y77" s="326">
        <v>0</v>
      </c>
      <c r="Z77" s="326">
        <v>0</v>
      </c>
      <c r="AA77" s="326">
        <v>0</v>
      </c>
      <c r="AB77" s="326">
        <v>0</v>
      </c>
      <c r="AC77" s="326">
        <v>-1000</v>
      </c>
      <c r="AD77" s="326">
        <v>-752.795</v>
      </c>
      <c r="AE77" s="326">
        <v>-1902.7</v>
      </c>
      <c r="AF77" s="326">
        <v>-569.69</v>
      </c>
      <c r="AG77" s="326">
        <v>0</v>
      </c>
      <c r="AH77" s="326">
        <v>0</v>
      </c>
      <c r="AI77" s="326">
        <v>0</v>
      </c>
      <c r="AJ77" s="326">
        <v>0</v>
      </c>
      <c r="AK77" s="326">
        <f t="shared" si="5"/>
        <v>97.29999999999995</v>
      </c>
      <c r="AL77" s="326">
        <f t="shared" si="5"/>
        <v>-201.985</v>
      </c>
    </row>
    <row r="78" spans="1:38" s="291" customFormat="1" ht="17.25" customHeight="1">
      <c r="A78" s="262">
        <v>68</v>
      </c>
      <c r="B78" s="327" t="s">
        <v>1093</v>
      </c>
      <c r="C78" s="326">
        <f t="shared" si="3"/>
        <v>10193.3</v>
      </c>
      <c r="D78" s="326">
        <f t="shared" si="3"/>
        <v>8065.655</v>
      </c>
      <c r="E78" s="326">
        <v>4954.2</v>
      </c>
      <c r="F78" s="326">
        <v>3959.594</v>
      </c>
      <c r="G78" s="326">
        <v>1020</v>
      </c>
      <c r="H78" s="326">
        <v>864.761</v>
      </c>
      <c r="I78" s="326">
        <v>2590</v>
      </c>
      <c r="J78" s="326">
        <v>2025.3</v>
      </c>
      <c r="K78" s="326">
        <v>0</v>
      </c>
      <c r="L78" s="326">
        <v>0</v>
      </c>
      <c r="M78" s="326">
        <v>0</v>
      </c>
      <c r="N78" s="326">
        <v>0</v>
      </c>
      <c r="O78" s="326">
        <v>200</v>
      </c>
      <c r="P78" s="326">
        <v>0</v>
      </c>
      <c r="Q78" s="326">
        <v>1152.1</v>
      </c>
      <c r="R78" s="326">
        <v>1151</v>
      </c>
      <c r="S78" s="326">
        <v>241</v>
      </c>
      <c r="T78" s="326">
        <v>65</v>
      </c>
      <c r="U78" s="326">
        <f t="shared" si="4"/>
        <v>10157.3</v>
      </c>
      <c r="V78" s="326">
        <f t="shared" si="4"/>
        <v>8065.655</v>
      </c>
      <c r="W78" s="326">
        <v>36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0</v>
      </c>
      <c r="AK78" s="326">
        <f t="shared" si="5"/>
        <v>36</v>
      </c>
      <c r="AL78" s="326">
        <f t="shared" si="5"/>
        <v>0</v>
      </c>
    </row>
    <row r="79" spans="1:38" s="291" customFormat="1" ht="17.25" customHeight="1">
      <c r="A79" s="262">
        <v>69</v>
      </c>
      <c r="B79" s="327" t="s">
        <v>1094</v>
      </c>
      <c r="C79" s="326">
        <f t="shared" si="3"/>
        <v>9586</v>
      </c>
      <c r="D79" s="326">
        <f t="shared" si="3"/>
        <v>4044.6760000000004</v>
      </c>
      <c r="E79" s="326">
        <v>4906</v>
      </c>
      <c r="F79" s="326">
        <v>4145.086</v>
      </c>
      <c r="G79" s="326">
        <v>1636.9</v>
      </c>
      <c r="H79" s="326">
        <v>1029.06</v>
      </c>
      <c r="I79" s="326">
        <v>1995.99</v>
      </c>
      <c r="J79" s="326">
        <v>1368.36</v>
      </c>
      <c r="K79" s="326">
        <v>0</v>
      </c>
      <c r="L79" s="326">
        <v>0</v>
      </c>
      <c r="M79" s="326">
        <v>0</v>
      </c>
      <c r="N79" s="326">
        <v>0</v>
      </c>
      <c r="O79" s="326">
        <v>150</v>
      </c>
      <c r="P79" s="326">
        <v>76</v>
      </c>
      <c r="Q79" s="326">
        <v>500</v>
      </c>
      <c r="R79" s="326">
        <v>288</v>
      </c>
      <c r="S79" s="326">
        <v>390.51</v>
      </c>
      <c r="T79" s="326">
        <v>203.91</v>
      </c>
      <c r="U79" s="326">
        <f t="shared" si="4"/>
        <v>9579.4</v>
      </c>
      <c r="V79" s="326">
        <f t="shared" si="4"/>
        <v>7110.416</v>
      </c>
      <c r="W79" s="326">
        <v>5006.9</v>
      </c>
      <c r="X79" s="326">
        <v>2014.9</v>
      </c>
      <c r="Y79" s="326">
        <v>0</v>
      </c>
      <c r="Z79" s="326">
        <v>0</v>
      </c>
      <c r="AA79" s="326">
        <v>0</v>
      </c>
      <c r="AB79" s="326">
        <v>0</v>
      </c>
      <c r="AC79" s="326">
        <v>-1810</v>
      </c>
      <c r="AD79" s="326">
        <v>-1890.64</v>
      </c>
      <c r="AE79" s="326">
        <v>-3190.3</v>
      </c>
      <c r="AF79" s="326">
        <v>-3190</v>
      </c>
      <c r="AG79" s="326">
        <v>0</v>
      </c>
      <c r="AH79" s="326">
        <v>0</v>
      </c>
      <c r="AI79" s="326">
        <v>0</v>
      </c>
      <c r="AJ79" s="326">
        <v>0</v>
      </c>
      <c r="AK79" s="326">
        <f t="shared" si="5"/>
        <v>6.599999999999454</v>
      </c>
      <c r="AL79" s="326">
        <f t="shared" si="5"/>
        <v>-3065.74</v>
      </c>
    </row>
    <row r="80" spans="1:38" s="291" customFormat="1" ht="17.25" customHeight="1">
      <c r="A80" s="262">
        <v>70</v>
      </c>
      <c r="B80" s="327" t="s">
        <v>1095</v>
      </c>
      <c r="C80" s="326">
        <f t="shared" si="3"/>
        <v>8439.9</v>
      </c>
      <c r="D80" s="326">
        <f t="shared" si="3"/>
        <v>7279.237999999999</v>
      </c>
      <c r="E80" s="326">
        <v>4475</v>
      </c>
      <c r="F80" s="326">
        <v>4434.6</v>
      </c>
      <c r="G80" s="326">
        <v>1000</v>
      </c>
      <c r="H80" s="326">
        <v>937.6</v>
      </c>
      <c r="I80" s="326">
        <v>1630</v>
      </c>
      <c r="J80" s="326">
        <v>981.62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  <c r="Q80" s="326">
        <v>950</v>
      </c>
      <c r="R80" s="326">
        <v>885</v>
      </c>
      <c r="S80" s="326">
        <v>113</v>
      </c>
      <c r="T80" s="326">
        <v>30</v>
      </c>
      <c r="U80" s="326">
        <f t="shared" si="4"/>
        <v>8168</v>
      </c>
      <c r="V80" s="326">
        <f t="shared" si="4"/>
        <v>7268.82</v>
      </c>
      <c r="W80" s="326">
        <v>5314.5</v>
      </c>
      <c r="X80" s="326">
        <v>5053</v>
      </c>
      <c r="Y80" s="326">
        <v>0</v>
      </c>
      <c r="Z80" s="326">
        <v>0</v>
      </c>
      <c r="AA80" s="326">
        <v>0</v>
      </c>
      <c r="AB80" s="326">
        <v>0</v>
      </c>
      <c r="AC80" s="326">
        <v>0</v>
      </c>
      <c r="AD80" s="326">
        <v>0</v>
      </c>
      <c r="AE80" s="326">
        <v>-5042.6</v>
      </c>
      <c r="AF80" s="326">
        <v>-5042.582</v>
      </c>
      <c r="AG80" s="326">
        <v>0</v>
      </c>
      <c r="AH80" s="326">
        <v>0</v>
      </c>
      <c r="AI80" s="326">
        <v>0</v>
      </c>
      <c r="AJ80" s="326">
        <v>0</v>
      </c>
      <c r="AK80" s="326">
        <f t="shared" si="5"/>
        <v>271.89999999999964</v>
      </c>
      <c r="AL80" s="326">
        <f t="shared" si="5"/>
        <v>10.417999999999665</v>
      </c>
    </row>
    <row r="81" spans="1:38" s="291" customFormat="1" ht="17.25" customHeight="1">
      <c r="A81" s="262">
        <v>71</v>
      </c>
      <c r="B81" s="327" t="s">
        <v>1096</v>
      </c>
      <c r="C81" s="326">
        <f t="shared" si="3"/>
        <v>5978.400000000001</v>
      </c>
      <c r="D81" s="326">
        <f t="shared" si="3"/>
        <v>5580.075000000001</v>
      </c>
      <c r="E81" s="326">
        <v>2942.2</v>
      </c>
      <c r="F81" s="326">
        <v>2923.5</v>
      </c>
      <c r="G81" s="326">
        <v>757</v>
      </c>
      <c r="H81" s="326">
        <v>714.607</v>
      </c>
      <c r="I81" s="326">
        <v>1410.9</v>
      </c>
      <c r="J81" s="326">
        <v>1124.1</v>
      </c>
      <c r="K81" s="326">
        <v>0</v>
      </c>
      <c r="L81" s="326">
        <v>0</v>
      </c>
      <c r="M81" s="326">
        <v>0</v>
      </c>
      <c r="N81" s="326">
        <v>0</v>
      </c>
      <c r="O81" s="326">
        <v>20</v>
      </c>
      <c r="P81" s="326">
        <v>15</v>
      </c>
      <c r="Q81" s="326">
        <v>675</v>
      </c>
      <c r="R81" s="326">
        <v>645</v>
      </c>
      <c r="S81" s="326">
        <v>118</v>
      </c>
      <c r="T81" s="326">
        <v>105</v>
      </c>
      <c r="U81" s="326">
        <f t="shared" si="4"/>
        <v>5923.1</v>
      </c>
      <c r="V81" s="326">
        <f t="shared" si="4"/>
        <v>5527.207</v>
      </c>
      <c r="W81" s="326">
        <v>868.832</v>
      </c>
      <c r="X81" s="326">
        <v>863.4</v>
      </c>
      <c r="Y81" s="326">
        <v>0</v>
      </c>
      <c r="Z81" s="326">
        <v>0</v>
      </c>
      <c r="AA81" s="326">
        <v>0</v>
      </c>
      <c r="AB81" s="326">
        <v>0</v>
      </c>
      <c r="AC81" s="326">
        <v>-500</v>
      </c>
      <c r="AD81" s="326">
        <v>-500</v>
      </c>
      <c r="AE81" s="326">
        <v>-245.532</v>
      </c>
      <c r="AF81" s="326">
        <v>-245.532</v>
      </c>
      <c r="AG81" s="326">
        <v>0</v>
      </c>
      <c r="AH81" s="326">
        <v>0</v>
      </c>
      <c r="AI81" s="326">
        <v>68</v>
      </c>
      <c r="AJ81" s="326">
        <v>65</v>
      </c>
      <c r="AK81" s="326">
        <f t="shared" si="5"/>
        <v>123.29999999999998</v>
      </c>
      <c r="AL81" s="326">
        <f t="shared" si="5"/>
        <v>117.86799999999997</v>
      </c>
    </row>
    <row r="82" spans="1:38" s="291" customFormat="1" ht="17.25" customHeight="1">
      <c r="A82" s="262">
        <v>72</v>
      </c>
      <c r="B82" s="327" t="s">
        <v>1097</v>
      </c>
      <c r="C82" s="326">
        <f t="shared" si="3"/>
        <v>15891.542</v>
      </c>
      <c r="D82" s="326">
        <f t="shared" si="3"/>
        <v>12721.125000000002</v>
      </c>
      <c r="E82" s="326">
        <v>6484</v>
      </c>
      <c r="F82" s="326">
        <v>5892.259</v>
      </c>
      <c r="G82" s="326">
        <v>1468.9</v>
      </c>
      <c r="H82" s="326">
        <v>1318.191</v>
      </c>
      <c r="I82" s="326">
        <v>3907.2</v>
      </c>
      <c r="J82" s="326">
        <v>3262.485</v>
      </c>
      <c r="K82" s="326">
        <v>0</v>
      </c>
      <c r="L82" s="326">
        <v>0</v>
      </c>
      <c r="M82" s="326">
        <v>0</v>
      </c>
      <c r="N82" s="326">
        <v>0</v>
      </c>
      <c r="O82" s="326">
        <v>900</v>
      </c>
      <c r="P82" s="326">
        <v>685.575</v>
      </c>
      <c r="Q82" s="326">
        <v>2013.2</v>
      </c>
      <c r="R82" s="326">
        <v>1908.175</v>
      </c>
      <c r="S82" s="326">
        <v>329</v>
      </c>
      <c r="T82" s="326">
        <v>40</v>
      </c>
      <c r="U82" s="326">
        <f t="shared" si="4"/>
        <v>15102.3</v>
      </c>
      <c r="V82" s="326">
        <f t="shared" si="4"/>
        <v>13106.685000000001</v>
      </c>
      <c r="W82" s="326">
        <v>789.242</v>
      </c>
      <c r="X82" s="326">
        <v>569.04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-954.6</v>
      </c>
      <c r="AG82" s="326">
        <v>0</v>
      </c>
      <c r="AH82" s="326">
        <v>0</v>
      </c>
      <c r="AI82" s="326">
        <v>0</v>
      </c>
      <c r="AJ82" s="326">
        <v>0</v>
      </c>
      <c r="AK82" s="326">
        <f t="shared" si="5"/>
        <v>789.242</v>
      </c>
      <c r="AL82" s="326">
        <f t="shared" si="5"/>
        <v>-385.56000000000006</v>
      </c>
    </row>
    <row r="83" spans="1:38" s="291" customFormat="1" ht="17.25" customHeight="1">
      <c r="A83" s="262">
        <v>73</v>
      </c>
      <c r="B83" s="327" t="s">
        <v>1098</v>
      </c>
      <c r="C83" s="326">
        <f t="shared" si="3"/>
        <v>66289.2</v>
      </c>
      <c r="D83" s="326">
        <f t="shared" si="3"/>
        <v>51387.625</v>
      </c>
      <c r="E83" s="326">
        <v>12643.5</v>
      </c>
      <c r="F83" s="326">
        <v>9844.181</v>
      </c>
      <c r="G83" s="326">
        <v>2500.2</v>
      </c>
      <c r="H83" s="326">
        <v>1803.023</v>
      </c>
      <c r="I83" s="326">
        <v>12886.8</v>
      </c>
      <c r="J83" s="326">
        <v>8816.589</v>
      </c>
      <c r="K83" s="326">
        <v>0</v>
      </c>
      <c r="L83" s="326">
        <v>0</v>
      </c>
      <c r="M83" s="326">
        <v>0</v>
      </c>
      <c r="N83" s="326">
        <v>0</v>
      </c>
      <c r="O83" s="326">
        <v>12700</v>
      </c>
      <c r="P83" s="326">
        <v>11241.485</v>
      </c>
      <c r="Q83" s="326">
        <v>2700</v>
      </c>
      <c r="R83" s="326">
        <v>2495</v>
      </c>
      <c r="S83" s="326">
        <v>1597.5</v>
      </c>
      <c r="T83" s="326">
        <v>522</v>
      </c>
      <c r="U83" s="326">
        <f t="shared" si="4"/>
        <v>45028</v>
      </c>
      <c r="V83" s="326">
        <f t="shared" si="4"/>
        <v>34722.278000000006</v>
      </c>
      <c r="W83" s="326">
        <v>21261.2</v>
      </c>
      <c r="X83" s="326">
        <v>16679.3</v>
      </c>
      <c r="Y83" s="326">
        <v>0</v>
      </c>
      <c r="Z83" s="326">
        <v>0</v>
      </c>
      <c r="AA83" s="326">
        <v>0</v>
      </c>
      <c r="AB83" s="326">
        <v>0</v>
      </c>
      <c r="AC83" s="326">
        <v>0</v>
      </c>
      <c r="AD83" s="326">
        <v>83.175</v>
      </c>
      <c r="AE83" s="326">
        <v>0</v>
      </c>
      <c r="AF83" s="326">
        <v>-97.128</v>
      </c>
      <c r="AG83" s="326">
        <v>0</v>
      </c>
      <c r="AH83" s="326">
        <v>0</v>
      </c>
      <c r="AI83" s="326">
        <v>0</v>
      </c>
      <c r="AJ83" s="326">
        <v>0</v>
      </c>
      <c r="AK83" s="326">
        <f t="shared" si="5"/>
        <v>21261.2</v>
      </c>
      <c r="AL83" s="326">
        <f t="shared" si="5"/>
        <v>16665.346999999998</v>
      </c>
    </row>
    <row r="84" spans="1:38" s="291" customFormat="1" ht="17.25" customHeight="1">
      <c r="A84" s="262">
        <v>74</v>
      </c>
      <c r="B84" s="327" t="s">
        <v>1099</v>
      </c>
      <c r="C84" s="326">
        <f t="shared" si="3"/>
        <v>37237</v>
      </c>
      <c r="D84" s="326">
        <f t="shared" si="3"/>
        <v>34259.507</v>
      </c>
      <c r="E84" s="326">
        <v>14189.2</v>
      </c>
      <c r="F84" s="326">
        <v>13095.489</v>
      </c>
      <c r="G84" s="326">
        <v>3270</v>
      </c>
      <c r="H84" s="326">
        <v>2691.856</v>
      </c>
      <c r="I84" s="326">
        <v>7260.5</v>
      </c>
      <c r="J84" s="326">
        <v>6531.922</v>
      </c>
      <c r="K84" s="326">
        <v>0</v>
      </c>
      <c r="L84" s="326">
        <v>0</v>
      </c>
      <c r="M84" s="326">
        <v>0</v>
      </c>
      <c r="N84" s="326">
        <v>0</v>
      </c>
      <c r="O84" s="326">
        <v>960</v>
      </c>
      <c r="P84" s="326">
        <v>960</v>
      </c>
      <c r="Q84" s="326">
        <v>10555</v>
      </c>
      <c r="R84" s="326">
        <v>10441.5</v>
      </c>
      <c r="S84" s="326">
        <v>236.7</v>
      </c>
      <c r="T84" s="326">
        <v>114.43</v>
      </c>
      <c r="U84" s="326">
        <f t="shared" si="4"/>
        <v>36471.4</v>
      </c>
      <c r="V84" s="326">
        <f t="shared" si="4"/>
        <v>33835.197</v>
      </c>
      <c r="W84" s="326">
        <v>1000</v>
      </c>
      <c r="X84" s="326">
        <v>700</v>
      </c>
      <c r="Y84" s="326">
        <v>0</v>
      </c>
      <c r="Z84" s="326">
        <v>0</v>
      </c>
      <c r="AA84" s="326">
        <v>0</v>
      </c>
      <c r="AB84" s="326">
        <v>0</v>
      </c>
      <c r="AC84" s="326">
        <v>-200</v>
      </c>
      <c r="AD84" s="326">
        <v>-235.73</v>
      </c>
      <c r="AE84" s="326">
        <v>-34.4</v>
      </c>
      <c r="AF84" s="326">
        <v>-39.96</v>
      </c>
      <c r="AG84" s="326">
        <v>0</v>
      </c>
      <c r="AH84" s="326">
        <v>0</v>
      </c>
      <c r="AI84" s="326">
        <v>0</v>
      </c>
      <c r="AJ84" s="326">
        <v>0</v>
      </c>
      <c r="AK84" s="326">
        <f t="shared" si="5"/>
        <v>765.6</v>
      </c>
      <c r="AL84" s="326">
        <f t="shared" si="5"/>
        <v>424.31</v>
      </c>
    </row>
    <row r="85" spans="1:38" s="291" customFormat="1" ht="17.25" customHeight="1">
      <c r="A85" s="262">
        <v>75</v>
      </c>
      <c r="B85" s="327" t="s">
        <v>899</v>
      </c>
      <c r="C85" s="326">
        <f t="shared" si="3"/>
        <v>27564.799999999996</v>
      </c>
      <c r="D85" s="326">
        <f t="shared" si="3"/>
        <v>-28203.751</v>
      </c>
      <c r="E85" s="326">
        <v>8564</v>
      </c>
      <c r="F85" s="326">
        <v>7688.474</v>
      </c>
      <c r="G85" s="326">
        <v>2038.1</v>
      </c>
      <c r="H85" s="326">
        <v>1890.681</v>
      </c>
      <c r="I85" s="326">
        <v>2564</v>
      </c>
      <c r="J85" s="326">
        <v>2086.111</v>
      </c>
      <c r="K85" s="326">
        <v>0</v>
      </c>
      <c r="L85" s="326">
        <v>0</v>
      </c>
      <c r="M85" s="326">
        <v>0</v>
      </c>
      <c r="N85" s="326">
        <v>0</v>
      </c>
      <c r="O85" s="326">
        <v>0</v>
      </c>
      <c r="P85" s="326">
        <v>0</v>
      </c>
      <c r="Q85" s="326">
        <v>590</v>
      </c>
      <c r="R85" s="326">
        <v>550</v>
      </c>
      <c r="S85" s="326">
        <v>559</v>
      </c>
      <c r="T85" s="326">
        <v>40</v>
      </c>
      <c r="U85" s="326">
        <f t="shared" si="4"/>
        <v>14315.1</v>
      </c>
      <c r="V85" s="326">
        <f t="shared" si="4"/>
        <v>12255.266</v>
      </c>
      <c r="W85" s="326">
        <v>99049.7</v>
      </c>
      <c r="X85" s="326">
        <v>49063.15</v>
      </c>
      <c r="Y85" s="326">
        <v>0</v>
      </c>
      <c r="Z85" s="326">
        <v>0</v>
      </c>
      <c r="AA85" s="326">
        <v>0</v>
      </c>
      <c r="AB85" s="326">
        <v>0</v>
      </c>
      <c r="AC85" s="326">
        <v>-800</v>
      </c>
      <c r="AD85" s="326">
        <v>-700</v>
      </c>
      <c r="AE85" s="326">
        <v>-85000</v>
      </c>
      <c r="AF85" s="326">
        <v>-88822.167</v>
      </c>
      <c r="AG85" s="326">
        <v>0</v>
      </c>
      <c r="AH85" s="326">
        <v>0</v>
      </c>
      <c r="AI85" s="326">
        <v>0</v>
      </c>
      <c r="AJ85" s="326">
        <v>0</v>
      </c>
      <c r="AK85" s="326">
        <f t="shared" si="5"/>
        <v>13249.699999999997</v>
      </c>
      <c r="AL85" s="326">
        <f t="shared" si="5"/>
        <v>-40459.017</v>
      </c>
    </row>
    <row r="86" spans="1:38" s="291" customFormat="1" ht="17.25" customHeight="1">
      <c r="A86" s="262">
        <v>76</v>
      </c>
      <c r="B86" s="327" t="s">
        <v>1100</v>
      </c>
      <c r="C86" s="326">
        <f t="shared" si="3"/>
        <v>20820.1</v>
      </c>
      <c r="D86" s="326">
        <f t="shared" si="3"/>
        <v>15804.331</v>
      </c>
      <c r="E86" s="326">
        <v>7420</v>
      </c>
      <c r="F86" s="326">
        <v>6716.404</v>
      </c>
      <c r="G86" s="326">
        <v>1800</v>
      </c>
      <c r="H86" s="326">
        <v>1432.827</v>
      </c>
      <c r="I86" s="326">
        <v>7120</v>
      </c>
      <c r="J86" s="326">
        <v>4964.4</v>
      </c>
      <c r="K86" s="326">
        <v>0</v>
      </c>
      <c r="L86" s="326">
        <v>0</v>
      </c>
      <c r="M86" s="326">
        <v>0</v>
      </c>
      <c r="N86" s="326">
        <v>0</v>
      </c>
      <c r="O86" s="326">
        <v>200</v>
      </c>
      <c r="P86" s="326">
        <v>200</v>
      </c>
      <c r="Q86" s="326">
        <v>2700</v>
      </c>
      <c r="R86" s="326">
        <v>2155.5</v>
      </c>
      <c r="S86" s="326">
        <v>765</v>
      </c>
      <c r="T86" s="326">
        <v>58</v>
      </c>
      <c r="U86" s="326">
        <f t="shared" si="4"/>
        <v>20005</v>
      </c>
      <c r="V86" s="326">
        <f t="shared" si="4"/>
        <v>15527.131</v>
      </c>
      <c r="W86" s="326">
        <v>5515.1</v>
      </c>
      <c r="X86" s="326">
        <v>300</v>
      </c>
      <c r="Y86" s="326">
        <v>0</v>
      </c>
      <c r="Z86" s="326">
        <v>0</v>
      </c>
      <c r="AA86" s="326">
        <v>0</v>
      </c>
      <c r="AB86" s="326">
        <v>0</v>
      </c>
      <c r="AC86" s="326">
        <v>-3500</v>
      </c>
      <c r="AD86" s="326">
        <v>0</v>
      </c>
      <c r="AE86" s="326">
        <v>-1000</v>
      </c>
      <c r="AF86" s="326">
        <v>-22.8</v>
      </c>
      <c r="AG86" s="326">
        <v>0</v>
      </c>
      <c r="AH86" s="326">
        <v>0</v>
      </c>
      <c r="AI86" s="326">
        <v>200</v>
      </c>
      <c r="AJ86" s="326">
        <v>0</v>
      </c>
      <c r="AK86" s="326">
        <f t="shared" si="5"/>
        <v>1015.1000000000004</v>
      </c>
      <c r="AL86" s="326">
        <f t="shared" si="5"/>
        <v>277.2</v>
      </c>
    </row>
    <row r="87" spans="1:38" s="291" customFormat="1" ht="17.25" customHeight="1">
      <c r="A87" s="262">
        <v>77</v>
      </c>
      <c r="B87" s="327" t="s">
        <v>1101</v>
      </c>
      <c r="C87" s="326">
        <f t="shared" si="3"/>
        <v>10692.8</v>
      </c>
      <c r="D87" s="326">
        <f t="shared" si="3"/>
        <v>7353.235000000001</v>
      </c>
      <c r="E87" s="326">
        <v>4675</v>
      </c>
      <c r="F87" s="326">
        <v>4531.203</v>
      </c>
      <c r="G87" s="326">
        <v>1025.3</v>
      </c>
      <c r="H87" s="326">
        <v>1009.032</v>
      </c>
      <c r="I87" s="326">
        <v>1565</v>
      </c>
      <c r="J87" s="326">
        <v>1060.5</v>
      </c>
      <c r="K87" s="326">
        <v>0</v>
      </c>
      <c r="L87" s="326">
        <v>0</v>
      </c>
      <c r="M87" s="326">
        <v>0</v>
      </c>
      <c r="N87" s="326">
        <v>0</v>
      </c>
      <c r="O87" s="326">
        <v>0</v>
      </c>
      <c r="P87" s="326">
        <v>0</v>
      </c>
      <c r="Q87" s="326">
        <v>950</v>
      </c>
      <c r="R87" s="326">
        <v>465</v>
      </c>
      <c r="S87" s="326">
        <v>558</v>
      </c>
      <c r="T87" s="326">
        <v>35</v>
      </c>
      <c r="U87" s="326">
        <f t="shared" si="4"/>
        <v>8773.3</v>
      </c>
      <c r="V87" s="326">
        <f t="shared" si="4"/>
        <v>7100.735000000001</v>
      </c>
      <c r="W87" s="326">
        <v>2079.5</v>
      </c>
      <c r="X87" s="326">
        <v>528.5</v>
      </c>
      <c r="Y87" s="326">
        <v>0</v>
      </c>
      <c r="Z87" s="326">
        <v>0</v>
      </c>
      <c r="AA87" s="326">
        <v>0</v>
      </c>
      <c r="AB87" s="326">
        <v>0</v>
      </c>
      <c r="AC87" s="326">
        <v>-114</v>
      </c>
      <c r="AD87" s="326">
        <v>0</v>
      </c>
      <c r="AE87" s="326">
        <v>-46</v>
      </c>
      <c r="AF87" s="326">
        <v>-276</v>
      </c>
      <c r="AG87" s="326">
        <v>0</v>
      </c>
      <c r="AH87" s="326">
        <v>0</v>
      </c>
      <c r="AI87" s="326">
        <v>0</v>
      </c>
      <c r="AJ87" s="326">
        <v>0</v>
      </c>
      <c r="AK87" s="326">
        <f t="shared" si="5"/>
        <v>1919.5</v>
      </c>
      <c r="AL87" s="326">
        <f t="shared" si="5"/>
        <v>252.5</v>
      </c>
    </row>
    <row r="88" spans="1:38" s="291" customFormat="1" ht="17.25" customHeight="1">
      <c r="A88" s="262">
        <v>78</v>
      </c>
      <c r="B88" s="327" t="s">
        <v>1102</v>
      </c>
      <c r="C88" s="326">
        <f t="shared" si="3"/>
        <v>8858.2</v>
      </c>
      <c r="D88" s="326">
        <f t="shared" si="3"/>
        <v>7890.66</v>
      </c>
      <c r="E88" s="326">
        <v>4788</v>
      </c>
      <c r="F88" s="326">
        <v>4788</v>
      </c>
      <c r="G88" s="326">
        <v>1104</v>
      </c>
      <c r="H88" s="326">
        <v>1020.56</v>
      </c>
      <c r="I88" s="326">
        <v>1410</v>
      </c>
      <c r="J88" s="326">
        <v>988</v>
      </c>
      <c r="K88" s="326">
        <v>0</v>
      </c>
      <c r="L88" s="326">
        <v>0</v>
      </c>
      <c r="M88" s="326">
        <v>0</v>
      </c>
      <c r="N88" s="326">
        <v>0</v>
      </c>
      <c r="O88" s="326">
        <v>0</v>
      </c>
      <c r="P88" s="326">
        <v>0</v>
      </c>
      <c r="Q88" s="326">
        <v>1234.1</v>
      </c>
      <c r="R88" s="326">
        <v>1084.1</v>
      </c>
      <c r="S88" s="326">
        <v>86</v>
      </c>
      <c r="T88" s="326">
        <v>10</v>
      </c>
      <c r="U88" s="326">
        <f t="shared" si="4"/>
        <v>8622.1</v>
      </c>
      <c r="V88" s="326">
        <f t="shared" si="4"/>
        <v>7890.66</v>
      </c>
      <c r="W88" s="326">
        <v>236.1</v>
      </c>
      <c r="X88" s="326">
        <v>0</v>
      </c>
      <c r="Y88" s="326">
        <v>0</v>
      </c>
      <c r="Z88" s="326">
        <v>0</v>
      </c>
      <c r="AA88" s="326">
        <v>0</v>
      </c>
      <c r="AB88" s="326">
        <v>0</v>
      </c>
      <c r="AC88" s="326">
        <v>0</v>
      </c>
      <c r="AD88" s="326">
        <v>0</v>
      </c>
      <c r="AE88" s="326">
        <v>0</v>
      </c>
      <c r="AF88" s="326">
        <v>0</v>
      </c>
      <c r="AG88" s="326">
        <v>0</v>
      </c>
      <c r="AH88" s="326">
        <v>0</v>
      </c>
      <c r="AI88" s="326">
        <v>0</v>
      </c>
      <c r="AJ88" s="326">
        <v>0</v>
      </c>
      <c r="AK88" s="326">
        <f t="shared" si="5"/>
        <v>236.1</v>
      </c>
      <c r="AL88" s="326">
        <f t="shared" si="5"/>
        <v>0</v>
      </c>
    </row>
    <row r="89" spans="1:38" s="291" customFormat="1" ht="17.25" customHeight="1">
      <c r="A89" s="262">
        <v>79</v>
      </c>
      <c r="B89" s="327" t="s">
        <v>1103</v>
      </c>
      <c r="C89" s="326">
        <f t="shared" si="3"/>
        <v>7026.3</v>
      </c>
      <c r="D89" s="326">
        <f t="shared" si="3"/>
        <v>6186.045</v>
      </c>
      <c r="E89" s="326">
        <v>4022.8</v>
      </c>
      <c r="F89" s="326">
        <v>4022.8</v>
      </c>
      <c r="G89" s="326">
        <v>784.8</v>
      </c>
      <c r="H89" s="326">
        <v>784.8</v>
      </c>
      <c r="I89" s="326">
        <v>981.9</v>
      </c>
      <c r="J89" s="326">
        <v>688.021</v>
      </c>
      <c r="K89" s="326">
        <v>0</v>
      </c>
      <c r="L89" s="326">
        <v>0</v>
      </c>
      <c r="M89" s="326">
        <v>0</v>
      </c>
      <c r="N89" s="326">
        <v>0</v>
      </c>
      <c r="O89" s="326">
        <v>212</v>
      </c>
      <c r="P89" s="326">
        <v>211.364</v>
      </c>
      <c r="Q89" s="326">
        <v>538</v>
      </c>
      <c r="R89" s="326">
        <v>447.06</v>
      </c>
      <c r="S89" s="326">
        <v>486.8</v>
      </c>
      <c r="T89" s="326">
        <v>32</v>
      </c>
      <c r="U89" s="326">
        <f t="shared" si="4"/>
        <v>7026.3</v>
      </c>
      <c r="V89" s="326">
        <f t="shared" si="4"/>
        <v>6186.045</v>
      </c>
      <c r="W89" s="326">
        <v>1517.1</v>
      </c>
      <c r="X89" s="326">
        <v>0</v>
      </c>
      <c r="Y89" s="326">
        <v>0</v>
      </c>
      <c r="Z89" s="326">
        <v>0</v>
      </c>
      <c r="AA89" s="326">
        <v>0</v>
      </c>
      <c r="AB89" s="326">
        <v>0</v>
      </c>
      <c r="AC89" s="326">
        <v>-1227.1</v>
      </c>
      <c r="AD89" s="326">
        <v>0</v>
      </c>
      <c r="AE89" s="326">
        <v>0</v>
      </c>
      <c r="AF89" s="326">
        <v>0</v>
      </c>
      <c r="AG89" s="326">
        <v>0</v>
      </c>
      <c r="AH89" s="326">
        <v>0</v>
      </c>
      <c r="AI89" s="326">
        <v>290</v>
      </c>
      <c r="AJ89" s="326">
        <v>0</v>
      </c>
      <c r="AK89" s="326">
        <f t="shared" si="5"/>
        <v>290</v>
      </c>
      <c r="AL89" s="326">
        <f t="shared" si="5"/>
        <v>0</v>
      </c>
    </row>
    <row r="90" spans="1:38" s="291" customFormat="1" ht="17.25" customHeight="1">
      <c r="A90" s="262">
        <v>80</v>
      </c>
      <c r="B90" s="327" t="s">
        <v>1104</v>
      </c>
      <c r="C90" s="326">
        <f t="shared" si="3"/>
        <v>8161.200000000001</v>
      </c>
      <c r="D90" s="326">
        <f t="shared" si="3"/>
        <v>7649.703</v>
      </c>
      <c r="E90" s="326">
        <v>4160</v>
      </c>
      <c r="F90" s="326">
        <v>4072.637</v>
      </c>
      <c r="G90" s="326">
        <v>940</v>
      </c>
      <c r="H90" s="326">
        <v>920.466</v>
      </c>
      <c r="I90" s="326">
        <v>2283</v>
      </c>
      <c r="J90" s="326">
        <v>2113</v>
      </c>
      <c r="K90" s="326">
        <v>0</v>
      </c>
      <c r="L90" s="326">
        <v>0</v>
      </c>
      <c r="M90" s="326">
        <v>0</v>
      </c>
      <c r="N90" s="326">
        <v>0</v>
      </c>
      <c r="O90" s="326">
        <v>0</v>
      </c>
      <c r="P90" s="326">
        <v>0</v>
      </c>
      <c r="Q90" s="326">
        <v>420</v>
      </c>
      <c r="R90" s="326">
        <v>362</v>
      </c>
      <c r="S90" s="326">
        <v>278</v>
      </c>
      <c r="T90" s="326">
        <v>154</v>
      </c>
      <c r="U90" s="326">
        <f t="shared" si="4"/>
        <v>8081</v>
      </c>
      <c r="V90" s="326">
        <f t="shared" si="4"/>
        <v>7622.103</v>
      </c>
      <c r="W90" s="326">
        <v>391.6</v>
      </c>
      <c r="X90" s="326">
        <v>239</v>
      </c>
      <c r="Y90" s="326">
        <v>0</v>
      </c>
      <c r="Z90" s="326">
        <v>0</v>
      </c>
      <c r="AA90" s="326">
        <v>0</v>
      </c>
      <c r="AB90" s="326">
        <v>0</v>
      </c>
      <c r="AC90" s="326">
        <v>0</v>
      </c>
      <c r="AD90" s="326">
        <v>0</v>
      </c>
      <c r="AE90" s="326">
        <v>-111.4</v>
      </c>
      <c r="AF90" s="326">
        <v>-111.4</v>
      </c>
      <c r="AG90" s="326">
        <v>0</v>
      </c>
      <c r="AH90" s="326">
        <v>0</v>
      </c>
      <c r="AI90" s="326">
        <v>200</v>
      </c>
      <c r="AJ90" s="326">
        <v>100</v>
      </c>
      <c r="AK90" s="326">
        <f t="shared" si="5"/>
        <v>280.20000000000005</v>
      </c>
      <c r="AL90" s="326">
        <f t="shared" si="5"/>
        <v>127.6</v>
      </c>
    </row>
    <row r="91" spans="1:38" s="291" customFormat="1" ht="17.25" customHeight="1">
      <c r="A91" s="262">
        <v>81</v>
      </c>
      <c r="B91" s="327" t="s">
        <v>1105</v>
      </c>
      <c r="C91" s="326">
        <f t="shared" si="3"/>
        <v>7917.499999999999</v>
      </c>
      <c r="D91" s="326">
        <f t="shared" si="3"/>
        <v>7727.856</v>
      </c>
      <c r="E91" s="326">
        <v>4251.8</v>
      </c>
      <c r="F91" s="326">
        <v>4251.607</v>
      </c>
      <c r="G91" s="326">
        <v>1003.5</v>
      </c>
      <c r="H91" s="326">
        <v>994.099</v>
      </c>
      <c r="I91" s="326">
        <v>1866.4</v>
      </c>
      <c r="J91" s="326">
        <v>1702.85</v>
      </c>
      <c r="K91" s="326">
        <v>0</v>
      </c>
      <c r="L91" s="326">
        <v>0</v>
      </c>
      <c r="M91" s="326">
        <v>0</v>
      </c>
      <c r="N91" s="326">
        <v>0</v>
      </c>
      <c r="O91" s="326">
        <v>0</v>
      </c>
      <c r="P91" s="326">
        <v>0</v>
      </c>
      <c r="Q91" s="326">
        <v>375</v>
      </c>
      <c r="R91" s="326">
        <v>360</v>
      </c>
      <c r="S91" s="326">
        <v>420.172</v>
      </c>
      <c r="T91" s="326">
        <v>418.672</v>
      </c>
      <c r="U91" s="326">
        <f t="shared" si="4"/>
        <v>7916.872</v>
      </c>
      <c r="V91" s="326">
        <f t="shared" si="4"/>
        <v>7727.228</v>
      </c>
      <c r="W91" s="326">
        <v>380</v>
      </c>
      <c r="X91" s="326">
        <v>380</v>
      </c>
      <c r="Y91" s="326">
        <v>0</v>
      </c>
      <c r="Z91" s="326">
        <v>0</v>
      </c>
      <c r="AA91" s="326">
        <v>0</v>
      </c>
      <c r="AB91" s="326">
        <v>0</v>
      </c>
      <c r="AC91" s="326">
        <v>0</v>
      </c>
      <c r="AD91" s="326">
        <v>0</v>
      </c>
      <c r="AE91" s="326">
        <v>0</v>
      </c>
      <c r="AF91" s="326">
        <v>0</v>
      </c>
      <c r="AG91" s="326">
        <v>0</v>
      </c>
      <c r="AH91" s="326">
        <v>0</v>
      </c>
      <c r="AI91" s="326">
        <v>379.372</v>
      </c>
      <c r="AJ91" s="326">
        <v>379.372</v>
      </c>
      <c r="AK91" s="326">
        <f t="shared" si="5"/>
        <v>380</v>
      </c>
      <c r="AL91" s="326">
        <f t="shared" si="5"/>
        <v>380</v>
      </c>
    </row>
    <row r="92" spans="1:38" s="291" customFormat="1" ht="17.25" customHeight="1">
      <c r="A92" s="262">
        <v>82</v>
      </c>
      <c r="B92" s="327" t="s">
        <v>1106</v>
      </c>
      <c r="C92" s="326">
        <f t="shared" si="3"/>
        <v>26022.300000000003</v>
      </c>
      <c r="D92" s="326">
        <f t="shared" si="3"/>
        <v>25427.903</v>
      </c>
      <c r="E92" s="326">
        <v>9656</v>
      </c>
      <c r="F92" s="326">
        <v>9600.409</v>
      </c>
      <c r="G92" s="326">
        <v>1892.5</v>
      </c>
      <c r="H92" s="326">
        <v>1848.754</v>
      </c>
      <c r="I92" s="326">
        <v>5404.9</v>
      </c>
      <c r="J92" s="326">
        <v>5354.417</v>
      </c>
      <c r="K92" s="326">
        <v>0</v>
      </c>
      <c r="L92" s="326">
        <v>0</v>
      </c>
      <c r="M92" s="326">
        <v>0</v>
      </c>
      <c r="N92" s="326">
        <v>0</v>
      </c>
      <c r="O92" s="326">
        <v>0</v>
      </c>
      <c r="P92" s="326">
        <v>0</v>
      </c>
      <c r="Q92" s="326">
        <v>360</v>
      </c>
      <c r="R92" s="326">
        <v>320</v>
      </c>
      <c r="S92" s="326">
        <v>43</v>
      </c>
      <c r="T92" s="326">
        <v>43</v>
      </c>
      <c r="U92" s="326">
        <f t="shared" si="4"/>
        <v>17356.4</v>
      </c>
      <c r="V92" s="326">
        <f t="shared" si="4"/>
        <v>17166.58</v>
      </c>
      <c r="W92" s="326">
        <v>10665.9</v>
      </c>
      <c r="X92" s="326">
        <v>8559.523</v>
      </c>
      <c r="Y92" s="326">
        <v>0</v>
      </c>
      <c r="Z92" s="326">
        <v>0</v>
      </c>
      <c r="AA92" s="326">
        <v>0</v>
      </c>
      <c r="AB92" s="326">
        <v>0</v>
      </c>
      <c r="AC92" s="326">
        <v>0</v>
      </c>
      <c r="AD92" s="326">
        <v>0</v>
      </c>
      <c r="AE92" s="326">
        <v>-2000</v>
      </c>
      <c r="AF92" s="326">
        <v>-298.2</v>
      </c>
      <c r="AG92" s="326">
        <v>0</v>
      </c>
      <c r="AH92" s="326">
        <v>0</v>
      </c>
      <c r="AI92" s="326">
        <v>0</v>
      </c>
      <c r="AJ92" s="326">
        <v>0</v>
      </c>
      <c r="AK92" s="326">
        <f t="shared" si="5"/>
        <v>8665.9</v>
      </c>
      <c r="AL92" s="326">
        <f t="shared" si="5"/>
        <v>8261.322999999999</v>
      </c>
    </row>
    <row r="93" spans="1:38" s="291" customFormat="1" ht="17.25" customHeight="1">
      <c r="A93" s="262">
        <v>83</v>
      </c>
      <c r="B93" s="327" t="s">
        <v>1107</v>
      </c>
      <c r="C93" s="326">
        <f t="shared" si="3"/>
        <v>55584.600000000006</v>
      </c>
      <c r="D93" s="326">
        <f t="shared" si="3"/>
        <v>46169.593</v>
      </c>
      <c r="E93" s="326">
        <v>18820.4</v>
      </c>
      <c r="F93" s="326">
        <v>18089.17</v>
      </c>
      <c r="G93" s="326">
        <v>3950</v>
      </c>
      <c r="H93" s="326">
        <v>3408.656</v>
      </c>
      <c r="I93" s="326">
        <v>12655.4</v>
      </c>
      <c r="J93" s="326">
        <v>8468.083</v>
      </c>
      <c r="K93" s="326">
        <v>0</v>
      </c>
      <c r="L93" s="326">
        <v>0</v>
      </c>
      <c r="M93" s="326">
        <v>0</v>
      </c>
      <c r="N93" s="326">
        <v>0</v>
      </c>
      <c r="O93" s="326">
        <v>6150</v>
      </c>
      <c r="P93" s="326">
        <v>6000</v>
      </c>
      <c r="Q93" s="326">
        <v>2300</v>
      </c>
      <c r="R93" s="326">
        <v>2040</v>
      </c>
      <c r="S93" s="326">
        <v>5098</v>
      </c>
      <c r="T93" s="326">
        <v>1552.846</v>
      </c>
      <c r="U93" s="326">
        <f t="shared" si="4"/>
        <v>48973.8</v>
      </c>
      <c r="V93" s="326">
        <f t="shared" si="4"/>
        <v>39558.755</v>
      </c>
      <c r="W93" s="326">
        <v>13300</v>
      </c>
      <c r="X93" s="326">
        <v>8408.384</v>
      </c>
      <c r="Y93" s="326">
        <v>0</v>
      </c>
      <c r="Z93" s="326">
        <v>0</v>
      </c>
      <c r="AA93" s="326">
        <v>0</v>
      </c>
      <c r="AB93" s="326">
        <v>0</v>
      </c>
      <c r="AC93" s="326">
        <v>0</v>
      </c>
      <c r="AD93" s="326">
        <v>0</v>
      </c>
      <c r="AE93" s="326">
        <v>-2439.2</v>
      </c>
      <c r="AF93" s="326">
        <v>-454.7</v>
      </c>
      <c r="AG93" s="326">
        <v>0</v>
      </c>
      <c r="AH93" s="326">
        <v>0</v>
      </c>
      <c r="AI93" s="326">
        <v>4250</v>
      </c>
      <c r="AJ93" s="326">
        <v>1342.846</v>
      </c>
      <c r="AK93" s="326">
        <f t="shared" si="5"/>
        <v>10860.8</v>
      </c>
      <c r="AL93" s="326">
        <f t="shared" si="5"/>
        <v>7953.684</v>
      </c>
    </row>
    <row r="94" spans="1:38" s="291" customFormat="1" ht="17.25" customHeight="1">
      <c r="A94" s="262">
        <v>84</v>
      </c>
      <c r="B94" s="327" t="s">
        <v>1108</v>
      </c>
      <c r="C94" s="326">
        <f t="shared" si="3"/>
        <v>10890.500000000002</v>
      </c>
      <c r="D94" s="326">
        <f t="shared" si="3"/>
        <v>10468.251</v>
      </c>
      <c r="E94" s="326">
        <v>4687.6</v>
      </c>
      <c r="F94" s="326">
        <v>4686.021</v>
      </c>
      <c r="G94" s="326">
        <v>1116</v>
      </c>
      <c r="H94" s="326">
        <v>1073.7</v>
      </c>
      <c r="I94" s="326">
        <v>3582.8</v>
      </c>
      <c r="J94" s="326">
        <v>3437.68</v>
      </c>
      <c r="K94" s="326">
        <v>0</v>
      </c>
      <c r="L94" s="326">
        <v>0</v>
      </c>
      <c r="M94" s="326">
        <v>0</v>
      </c>
      <c r="N94" s="326">
        <v>0</v>
      </c>
      <c r="O94" s="326">
        <v>100</v>
      </c>
      <c r="P94" s="326">
        <v>100</v>
      </c>
      <c r="Q94" s="326">
        <v>1200</v>
      </c>
      <c r="R94" s="326">
        <v>1025</v>
      </c>
      <c r="S94" s="326">
        <v>200</v>
      </c>
      <c r="T94" s="326">
        <v>141.786</v>
      </c>
      <c r="U94" s="326">
        <f t="shared" si="4"/>
        <v>10886.400000000001</v>
      </c>
      <c r="V94" s="326">
        <f t="shared" si="4"/>
        <v>10464.187</v>
      </c>
      <c r="W94" s="326">
        <v>100</v>
      </c>
      <c r="X94" s="326">
        <v>100</v>
      </c>
      <c r="Y94" s="326">
        <v>0</v>
      </c>
      <c r="Z94" s="326">
        <v>0</v>
      </c>
      <c r="AA94" s="326">
        <v>0</v>
      </c>
      <c r="AB94" s="326">
        <v>0</v>
      </c>
      <c r="AC94" s="326">
        <v>0</v>
      </c>
      <c r="AD94" s="326">
        <v>0</v>
      </c>
      <c r="AE94" s="326">
        <v>0</v>
      </c>
      <c r="AF94" s="326">
        <v>-21.6</v>
      </c>
      <c r="AG94" s="326">
        <v>0</v>
      </c>
      <c r="AH94" s="326">
        <v>0</v>
      </c>
      <c r="AI94" s="326">
        <v>95.9</v>
      </c>
      <c r="AJ94" s="326">
        <v>74.336</v>
      </c>
      <c r="AK94" s="326">
        <f t="shared" si="5"/>
        <v>100</v>
      </c>
      <c r="AL94" s="326">
        <f t="shared" si="5"/>
        <v>78.4</v>
      </c>
    </row>
    <row r="95" spans="1:38" s="291" customFormat="1" ht="17.25" customHeight="1">
      <c r="A95" s="262">
        <v>85</v>
      </c>
      <c r="B95" s="327" t="s">
        <v>1109</v>
      </c>
      <c r="C95" s="326">
        <f t="shared" si="3"/>
        <v>15236.66</v>
      </c>
      <c r="D95" s="326">
        <f t="shared" si="3"/>
        <v>11128.314</v>
      </c>
      <c r="E95" s="326">
        <v>7689</v>
      </c>
      <c r="F95" s="326">
        <v>7474.742</v>
      </c>
      <c r="G95" s="326">
        <v>1817</v>
      </c>
      <c r="H95" s="326">
        <v>1816.952</v>
      </c>
      <c r="I95" s="326">
        <v>1766</v>
      </c>
      <c r="J95" s="326">
        <v>1228.62</v>
      </c>
      <c r="K95" s="326">
        <v>0</v>
      </c>
      <c r="L95" s="326">
        <v>0</v>
      </c>
      <c r="M95" s="326">
        <v>0</v>
      </c>
      <c r="N95" s="326">
        <v>0</v>
      </c>
      <c r="O95" s="326">
        <v>0</v>
      </c>
      <c r="P95" s="326">
        <v>0</v>
      </c>
      <c r="Q95" s="326">
        <v>2500</v>
      </c>
      <c r="R95" s="326">
        <v>205</v>
      </c>
      <c r="S95" s="326">
        <v>966.2</v>
      </c>
      <c r="T95" s="326">
        <v>109</v>
      </c>
      <c r="U95" s="326">
        <f t="shared" si="4"/>
        <v>14738.2</v>
      </c>
      <c r="V95" s="326">
        <f t="shared" si="4"/>
        <v>10834.314</v>
      </c>
      <c r="W95" s="326">
        <v>2798.46</v>
      </c>
      <c r="X95" s="326">
        <v>410</v>
      </c>
      <c r="Y95" s="326">
        <v>0</v>
      </c>
      <c r="Z95" s="326">
        <v>0</v>
      </c>
      <c r="AA95" s="326">
        <v>0</v>
      </c>
      <c r="AB95" s="326">
        <v>0</v>
      </c>
      <c r="AC95" s="326">
        <v>0</v>
      </c>
      <c r="AD95" s="326">
        <v>0</v>
      </c>
      <c r="AE95" s="326">
        <v>-2300</v>
      </c>
      <c r="AF95" s="326">
        <v>-116</v>
      </c>
      <c r="AG95" s="326">
        <v>0</v>
      </c>
      <c r="AH95" s="326">
        <v>0</v>
      </c>
      <c r="AI95" s="326">
        <v>0</v>
      </c>
      <c r="AJ95" s="326">
        <v>0</v>
      </c>
      <c r="AK95" s="326">
        <f t="shared" si="5"/>
        <v>498.46000000000004</v>
      </c>
      <c r="AL95" s="326">
        <f t="shared" si="5"/>
        <v>294</v>
      </c>
    </row>
    <row r="96" spans="1:38" s="291" customFormat="1" ht="17.25" customHeight="1">
      <c r="A96" s="262">
        <v>86</v>
      </c>
      <c r="B96" s="327" t="s">
        <v>1110</v>
      </c>
      <c r="C96" s="326">
        <f t="shared" si="3"/>
        <v>13107.9</v>
      </c>
      <c r="D96" s="326">
        <f t="shared" si="3"/>
        <v>5072.585</v>
      </c>
      <c r="E96" s="326">
        <v>3211</v>
      </c>
      <c r="F96" s="326">
        <v>3200.022</v>
      </c>
      <c r="G96" s="326">
        <v>726</v>
      </c>
      <c r="H96" s="326">
        <v>722.915</v>
      </c>
      <c r="I96" s="326">
        <v>510</v>
      </c>
      <c r="J96" s="326">
        <v>489.8</v>
      </c>
      <c r="K96" s="326">
        <v>0</v>
      </c>
      <c r="L96" s="326">
        <v>0</v>
      </c>
      <c r="M96" s="326">
        <v>0</v>
      </c>
      <c r="N96" s="326">
        <v>0</v>
      </c>
      <c r="O96" s="326">
        <v>0</v>
      </c>
      <c r="P96" s="326">
        <v>0</v>
      </c>
      <c r="Q96" s="326">
        <v>580</v>
      </c>
      <c r="R96" s="326">
        <v>570</v>
      </c>
      <c r="S96" s="326">
        <v>54</v>
      </c>
      <c r="T96" s="326">
        <v>35</v>
      </c>
      <c r="U96" s="326">
        <f t="shared" si="4"/>
        <v>5081</v>
      </c>
      <c r="V96" s="326">
        <f t="shared" si="4"/>
        <v>5017.737</v>
      </c>
      <c r="W96" s="326">
        <v>9426.9</v>
      </c>
      <c r="X96" s="326">
        <v>650</v>
      </c>
      <c r="Y96" s="326">
        <v>0</v>
      </c>
      <c r="Z96" s="326">
        <v>0</v>
      </c>
      <c r="AA96" s="326">
        <v>0</v>
      </c>
      <c r="AB96" s="326">
        <v>0</v>
      </c>
      <c r="AC96" s="326">
        <v>0</v>
      </c>
      <c r="AD96" s="326">
        <v>0</v>
      </c>
      <c r="AE96" s="326">
        <v>-1400</v>
      </c>
      <c r="AF96" s="326">
        <v>-595.152</v>
      </c>
      <c r="AG96" s="326">
        <v>0</v>
      </c>
      <c r="AH96" s="326">
        <v>0</v>
      </c>
      <c r="AI96" s="326">
        <v>0</v>
      </c>
      <c r="AJ96" s="326">
        <v>0</v>
      </c>
      <c r="AK96" s="326">
        <f t="shared" si="5"/>
        <v>8026.9</v>
      </c>
      <c r="AL96" s="326">
        <f t="shared" si="5"/>
        <v>54.847999999999956</v>
      </c>
    </row>
    <row r="97" spans="1:38" s="291" customFormat="1" ht="17.25" customHeight="1">
      <c r="A97" s="262">
        <v>87</v>
      </c>
      <c r="B97" s="327" t="s">
        <v>1111</v>
      </c>
      <c r="C97" s="326">
        <f t="shared" si="3"/>
        <v>12450</v>
      </c>
      <c r="D97" s="326">
        <f t="shared" si="3"/>
        <v>8627.144</v>
      </c>
      <c r="E97" s="326">
        <v>5480</v>
      </c>
      <c r="F97" s="326">
        <v>5065.4</v>
      </c>
      <c r="G97" s="326">
        <v>1320</v>
      </c>
      <c r="H97" s="326">
        <v>1210.084</v>
      </c>
      <c r="I97" s="326">
        <v>1917.5</v>
      </c>
      <c r="J97" s="326">
        <v>1612.16</v>
      </c>
      <c r="K97" s="326">
        <v>0</v>
      </c>
      <c r="L97" s="326">
        <v>0</v>
      </c>
      <c r="M97" s="326">
        <v>0</v>
      </c>
      <c r="N97" s="326">
        <v>0</v>
      </c>
      <c r="O97" s="326">
        <v>1768.3</v>
      </c>
      <c r="P97" s="326">
        <v>138.5</v>
      </c>
      <c r="Q97" s="326">
        <v>1040</v>
      </c>
      <c r="R97" s="326">
        <v>550</v>
      </c>
      <c r="S97" s="326">
        <v>704</v>
      </c>
      <c r="T97" s="326">
        <v>51</v>
      </c>
      <c r="U97" s="326">
        <f t="shared" si="4"/>
        <v>12229.8</v>
      </c>
      <c r="V97" s="326">
        <f t="shared" si="4"/>
        <v>8627.144</v>
      </c>
      <c r="W97" s="326">
        <v>220.2</v>
      </c>
      <c r="X97" s="326">
        <v>0</v>
      </c>
      <c r="Y97" s="326">
        <v>0</v>
      </c>
      <c r="Z97" s="326">
        <v>0</v>
      </c>
      <c r="AA97" s="326">
        <v>0</v>
      </c>
      <c r="AB97" s="326">
        <v>0</v>
      </c>
      <c r="AC97" s="326">
        <v>0</v>
      </c>
      <c r="AD97" s="326">
        <v>0</v>
      </c>
      <c r="AE97" s="326">
        <v>0</v>
      </c>
      <c r="AF97" s="326">
        <v>0</v>
      </c>
      <c r="AG97" s="326">
        <v>0</v>
      </c>
      <c r="AH97" s="326">
        <v>0</v>
      </c>
      <c r="AI97" s="326">
        <v>0</v>
      </c>
      <c r="AJ97" s="326">
        <v>0</v>
      </c>
      <c r="AK97" s="326">
        <f t="shared" si="5"/>
        <v>220.2</v>
      </c>
      <c r="AL97" s="326">
        <f t="shared" si="5"/>
        <v>0</v>
      </c>
    </row>
    <row r="98" spans="1:38" s="291" customFormat="1" ht="17.25" customHeight="1">
      <c r="A98" s="262">
        <v>88</v>
      </c>
      <c r="B98" s="327" t="s">
        <v>1112</v>
      </c>
      <c r="C98" s="326">
        <f t="shared" si="3"/>
        <v>8292.4</v>
      </c>
      <c r="D98" s="326">
        <f t="shared" si="3"/>
        <v>6626.251</v>
      </c>
      <c r="E98" s="326">
        <v>4825</v>
      </c>
      <c r="F98" s="326">
        <v>3960.251</v>
      </c>
      <c r="G98" s="326">
        <v>686.4</v>
      </c>
      <c r="H98" s="326">
        <v>593</v>
      </c>
      <c r="I98" s="326">
        <v>1110</v>
      </c>
      <c r="J98" s="326">
        <v>705</v>
      </c>
      <c r="K98" s="326">
        <v>0</v>
      </c>
      <c r="L98" s="326">
        <v>0</v>
      </c>
      <c r="M98" s="326">
        <v>0</v>
      </c>
      <c r="N98" s="326">
        <v>0</v>
      </c>
      <c r="O98" s="326">
        <v>50</v>
      </c>
      <c r="P98" s="326">
        <v>0</v>
      </c>
      <c r="Q98" s="326">
        <v>1400</v>
      </c>
      <c r="R98" s="326">
        <v>1348</v>
      </c>
      <c r="S98" s="326">
        <v>221</v>
      </c>
      <c r="T98" s="326">
        <v>20</v>
      </c>
      <c r="U98" s="326">
        <f t="shared" si="4"/>
        <v>8292.4</v>
      </c>
      <c r="V98" s="326">
        <f t="shared" si="4"/>
        <v>6626.251</v>
      </c>
      <c r="W98" s="326">
        <v>150</v>
      </c>
      <c r="X98" s="326">
        <v>0</v>
      </c>
      <c r="Y98" s="326">
        <v>0</v>
      </c>
      <c r="Z98" s="326">
        <v>0</v>
      </c>
      <c r="AA98" s="326">
        <v>0</v>
      </c>
      <c r="AB98" s="326">
        <v>0</v>
      </c>
      <c r="AC98" s="326">
        <v>0</v>
      </c>
      <c r="AD98" s="326">
        <v>0</v>
      </c>
      <c r="AE98" s="326">
        <v>0</v>
      </c>
      <c r="AF98" s="326">
        <v>0</v>
      </c>
      <c r="AG98" s="326">
        <v>0</v>
      </c>
      <c r="AH98" s="326">
        <v>0</v>
      </c>
      <c r="AI98" s="326">
        <v>150</v>
      </c>
      <c r="AJ98" s="326">
        <v>0</v>
      </c>
      <c r="AK98" s="326">
        <f t="shared" si="5"/>
        <v>150</v>
      </c>
      <c r="AL98" s="326">
        <f t="shared" si="5"/>
        <v>0</v>
      </c>
    </row>
    <row r="99" spans="1:38" s="291" customFormat="1" ht="17.25" customHeight="1">
      <c r="A99" s="262">
        <v>89</v>
      </c>
      <c r="B99" s="327" t="s">
        <v>1113</v>
      </c>
      <c r="C99" s="326">
        <f t="shared" si="3"/>
        <v>75937.72500000002</v>
      </c>
      <c r="D99" s="326">
        <f t="shared" si="3"/>
        <v>64137.192999999956</v>
      </c>
      <c r="E99" s="326">
        <v>25854.2</v>
      </c>
      <c r="F99" s="326">
        <v>24031.974</v>
      </c>
      <c r="G99" s="326">
        <v>7362.625</v>
      </c>
      <c r="H99" s="326">
        <v>6414.599</v>
      </c>
      <c r="I99" s="326">
        <v>11222.9</v>
      </c>
      <c r="J99" s="326">
        <v>8080.231</v>
      </c>
      <c r="K99" s="326">
        <v>0</v>
      </c>
      <c r="L99" s="326">
        <v>0</v>
      </c>
      <c r="M99" s="326">
        <v>0</v>
      </c>
      <c r="N99" s="326">
        <v>0</v>
      </c>
      <c r="O99" s="326">
        <v>11005.2</v>
      </c>
      <c r="P99" s="326">
        <v>7914.327</v>
      </c>
      <c r="Q99" s="326">
        <v>3631.4</v>
      </c>
      <c r="R99" s="326">
        <v>3271.39</v>
      </c>
      <c r="S99" s="326">
        <v>2656.7</v>
      </c>
      <c r="T99" s="326">
        <v>220</v>
      </c>
      <c r="U99" s="326">
        <f t="shared" si="4"/>
        <v>61733.02500000001</v>
      </c>
      <c r="V99" s="326">
        <f t="shared" si="4"/>
        <v>49932.52099999999</v>
      </c>
      <c r="W99" s="326">
        <v>299463.2</v>
      </c>
      <c r="X99" s="326">
        <v>268175.22</v>
      </c>
      <c r="Y99" s="326">
        <v>0</v>
      </c>
      <c r="Z99" s="326">
        <v>0</v>
      </c>
      <c r="AA99" s="326">
        <v>1500</v>
      </c>
      <c r="AB99" s="326">
        <v>1500</v>
      </c>
      <c r="AC99" s="326">
        <v>-286758.5</v>
      </c>
      <c r="AD99" s="326">
        <v>-255470.548</v>
      </c>
      <c r="AE99" s="326">
        <v>0</v>
      </c>
      <c r="AF99" s="326">
        <v>0</v>
      </c>
      <c r="AG99" s="326">
        <v>0</v>
      </c>
      <c r="AH99" s="326">
        <v>0</v>
      </c>
      <c r="AI99" s="326">
        <v>0</v>
      </c>
      <c r="AJ99" s="326">
        <v>0</v>
      </c>
      <c r="AK99" s="326">
        <f t="shared" si="5"/>
        <v>14204.700000000012</v>
      </c>
      <c r="AL99" s="326">
        <f t="shared" si="5"/>
        <v>14204.671999999962</v>
      </c>
    </row>
    <row r="100" spans="1:38" s="291" customFormat="1" ht="17.25" customHeight="1">
      <c r="A100" s="262">
        <v>90</v>
      </c>
      <c r="B100" s="327" t="s">
        <v>1114</v>
      </c>
      <c r="C100" s="326">
        <f t="shared" si="3"/>
        <v>6482.599999999999</v>
      </c>
      <c r="D100" s="326">
        <f t="shared" si="3"/>
        <v>4929.8330000000005</v>
      </c>
      <c r="E100" s="326">
        <v>3830</v>
      </c>
      <c r="F100" s="326">
        <v>3253.433</v>
      </c>
      <c r="G100" s="326">
        <v>909</v>
      </c>
      <c r="H100" s="326">
        <v>733.76</v>
      </c>
      <c r="I100" s="326">
        <v>506.3</v>
      </c>
      <c r="J100" s="326">
        <v>422.64</v>
      </c>
      <c r="K100" s="326">
        <v>0</v>
      </c>
      <c r="L100" s="326">
        <v>0</v>
      </c>
      <c r="M100" s="326">
        <v>0</v>
      </c>
      <c r="N100" s="326">
        <v>0</v>
      </c>
      <c r="O100" s="326">
        <v>30</v>
      </c>
      <c r="P100" s="326">
        <v>20</v>
      </c>
      <c r="Q100" s="326">
        <v>500</v>
      </c>
      <c r="R100" s="326">
        <v>500</v>
      </c>
      <c r="S100" s="326">
        <v>669.4</v>
      </c>
      <c r="T100" s="326">
        <v>0</v>
      </c>
      <c r="U100" s="326">
        <f t="shared" si="4"/>
        <v>6444.7</v>
      </c>
      <c r="V100" s="326">
        <f t="shared" si="4"/>
        <v>4929.8330000000005</v>
      </c>
      <c r="W100" s="326">
        <v>200</v>
      </c>
      <c r="X100" s="326">
        <v>0</v>
      </c>
      <c r="Y100" s="326">
        <v>0</v>
      </c>
      <c r="Z100" s="326">
        <v>0</v>
      </c>
      <c r="AA100" s="326">
        <v>0</v>
      </c>
      <c r="AB100" s="326">
        <v>0</v>
      </c>
      <c r="AC100" s="326">
        <v>0</v>
      </c>
      <c r="AD100" s="326">
        <v>0</v>
      </c>
      <c r="AE100" s="326">
        <v>0</v>
      </c>
      <c r="AF100" s="326">
        <v>0</v>
      </c>
      <c r="AG100" s="326">
        <v>0</v>
      </c>
      <c r="AH100" s="326">
        <v>0</v>
      </c>
      <c r="AI100" s="326">
        <v>162.1</v>
      </c>
      <c r="AJ100" s="326">
        <v>0</v>
      </c>
      <c r="AK100" s="326">
        <f t="shared" si="5"/>
        <v>200</v>
      </c>
      <c r="AL100" s="326">
        <f t="shared" si="5"/>
        <v>0</v>
      </c>
    </row>
    <row r="101" spans="1:38" s="291" customFormat="1" ht="17.25" customHeight="1">
      <c r="A101" s="262">
        <v>91</v>
      </c>
      <c r="B101" s="327" t="s">
        <v>1115</v>
      </c>
      <c r="C101" s="326">
        <f t="shared" si="3"/>
        <v>6797.2</v>
      </c>
      <c r="D101" s="326">
        <f t="shared" si="3"/>
        <v>5822.123</v>
      </c>
      <c r="E101" s="326">
        <v>3201</v>
      </c>
      <c r="F101" s="326">
        <v>3194.563</v>
      </c>
      <c r="G101" s="326">
        <v>823.9</v>
      </c>
      <c r="H101" s="326">
        <v>823.9</v>
      </c>
      <c r="I101" s="326">
        <v>1954.1</v>
      </c>
      <c r="J101" s="326">
        <v>1919.16</v>
      </c>
      <c r="K101" s="326">
        <v>0</v>
      </c>
      <c r="L101" s="326">
        <v>0</v>
      </c>
      <c r="M101" s="326">
        <v>0</v>
      </c>
      <c r="N101" s="326">
        <v>0</v>
      </c>
      <c r="O101" s="326">
        <v>0</v>
      </c>
      <c r="P101" s="326">
        <v>0</v>
      </c>
      <c r="Q101" s="326">
        <v>100</v>
      </c>
      <c r="R101" s="326">
        <v>90</v>
      </c>
      <c r="S101" s="326">
        <v>118.2</v>
      </c>
      <c r="T101" s="326">
        <v>13</v>
      </c>
      <c r="U101" s="326">
        <f t="shared" si="4"/>
        <v>6197.2</v>
      </c>
      <c r="V101" s="326">
        <f t="shared" si="4"/>
        <v>6040.623</v>
      </c>
      <c r="W101" s="326">
        <v>600</v>
      </c>
      <c r="X101" s="326">
        <v>0</v>
      </c>
      <c r="Y101" s="326">
        <v>0</v>
      </c>
      <c r="Z101" s="326">
        <v>0</v>
      </c>
      <c r="AA101" s="326">
        <v>0</v>
      </c>
      <c r="AB101" s="326">
        <v>0</v>
      </c>
      <c r="AC101" s="326">
        <v>0</v>
      </c>
      <c r="AD101" s="326">
        <v>0</v>
      </c>
      <c r="AE101" s="326">
        <v>0</v>
      </c>
      <c r="AF101" s="326">
        <v>-218.5</v>
      </c>
      <c r="AG101" s="326">
        <v>0</v>
      </c>
      <c r="AH101" s="326">
        <v>0</v>
      </c>
      <c r="AI101" s="326">
        <v>0</v>
      </c>
      <c r="AJ101" s="326">
        <v>0</v>
      </c>
      <c r="AK101" s="326">
        <f t="shared" si="5"/>
        <v>600</v>
      </c>
      <c r="AL101" s="326">
        <f t="shared" si="5"/>
        <v>-218.5</v>
      </c>
    </row>
    <row r="102" spans="1:38" s="291" customFormat="1" ht="17.25" customHeight="1">
      <c r="A102" s="262">
        <v>92</v>
      </c>
      <c r="B102" s="327" t="s">
        <v>1116</v>
      </c>
      <c r="C102" s="326">
        <f t="shared" si="3"/>
        <v>11786.899999999998</v>
      </c>
      <c r="D102" s="326">
        <f t="shared" si="3"/>
        <v>8833.262</v>
      </c>
      <c r="E102" s="326">
        <v>4450.7</v>
      </c>
      <c r="F102" s="326">
        <v>4436.787</v>
      </c>
      <c r="G102" s="326">
        <v>1062.2</v>
      </c>
      <c r="H102" s="326">
        <v>978.475</v>
      </c>
      <c r="I102" s="326">
        <v>1540</v>
      </c>
      <c r="J102" s="326">
        <v>838</v>
      </c>
      <c r="K102" s="326">
        <v>0</v>
      </c>
      <c r="L102" s="326">
        <v>0</v>
      </c>
      <c r="M102" s="326">
        <v>0</v>
      </c>
      <c r="N102" s="326">
        <v>0</v>
      </c>
      <c r="O102" s="326">
        <v>1285</v>
      </c>
      <c r="P102" s="326">
        <v>770</v>
      </c>
      <c r="Q102" s="326">
        <v>900</v>
      </c>
      <c r="R102" s="326">
        <v>869.5</v>
      </c>
      <c r="S102" s="326">
        <v>2317.2</v>
      </c>
      <c r="T102" s="326">
        <v>710</v>
      </c>
      <c r="U102" s="326">
        <f t="shared" si="4"/>
        <v>11555.099999999999</v>
      </c>
      <c r="V102" s="326">
        <f t="shared" si="4"/>
        <v>8602.762</v>
      </c>
      <c r="W102" s="326">
        <v>4000</v>
      </c>
      <c r="X102" s="326">
        <v>1153</v>
      </c>
      <c r="Y102" s="326">
        <v>0</v>
      </c>
      <c r="Z102" s="326">
        <v>0</v>
      </c>
      <c r="AA102" s="326">
        <v>0</v>
      </c>
      <c r="AB102" s="326">
        <v>0</v>
      </c>
      <c r="AC102" s="326">
        <v>-1500</v>
      </c>
      <c r="AD102" s="326">
        <v>-242.5</v>
      </c>
      <c r="AE102" s="326">
        <v>-200</v>
      </c>
      <c r="AF102" s="326">
        <v>0</v>
      </c>
      <c r="AG102" s="326">
        <v>0</v>
      </c>
      <c r="AH102" s="326">
        <v>0</v>
      </c>
      <c r="AI102" s="326">
        <v>2068.2</v>
      </c>
      <c r="AJ102" s="326">
        <v>680</v>
      </c>
      <c r="AK102" s="326">
        <f t="shared" si="5"/>
        <v>2300</v>
      </c>
      <c r="AL102" s="326">
        <f t="shared" si="5"/>
        <v>910.5</v>
      </c>
    </row>
    <row r="103" spans="1:38" s="291" customFormat="1" ht="17.25" customHeight="1">
      <c r="A103" s="262">
        <v>93</v>
      </c>
      <c r="B103" s="327" t="s">
        <v>1117</v>
      </c>
      <c r="C103" s="326">
        <f t="shared" si="3"/>
        <v>6272.2</v>
      </c>
      <c r="D103" s="326">
        <f t="shared" si="3"/>
        <v>5625.93</v>
      </c>
      <c r="E103" s="326">
        <v>3160</v>
      </c>
      <c r="F103" s="326">
        <v>2866.297</v>
      </c>
      <c r="G103" s="326">
        <v>650</v>
      </c>
      <c r="H103" s="326">
        <v>535.283</v>
      </c>
      <c r="I103" s="326">
        <v>1557</v>
      </c>
      <c r="J103" s="326">
        <v>1476.85</v>
      </c>
      <c r="K103" s="326">
        <v>0</v>
      </c>
      <c r="L103" s="326">
        <v>0</v>
      </c>
      <c r="M103" s="326">
        <v>0</v>
      </c>
      <c r="N103" s="326">
        <v>0</v>
      </c>
      <c r="O103" s="326">
        <v>0</v>
      </c>
      <c r="P103" s="326">
        <v>0</v>
      </c>
      <c r="Q103" s="326">
        <v>730</v>
      </c>
      <c r="R103" s="326">
        <v>730</v>
      </c>
      <c r="S103" s="326">
        <v>175.2</v>
      </c>
      <c r="T103" s="326">
        <v>17.5</v>
      </c>
      <c r="U103" s="326">
        <f t="shared" si="4"/>
        <v>6272.2</v>
      </c>
      <c r="V103" s="326">
        <f t="shared" si="4"/>
        <v>5625.93</v>
      </c>
      <c r="W103" s="326">
        <v>0</v>
      </c>
      <c r="X103" s="326">
        <v>0</v>
      </c>
      <c r="Y103" s="326">
        <v>0</v>
      </c>
      <c r="Z103" s="326">
        <v>0</v>
      </c>
      <c r="AA103" s="326">
        <v>0</v>
      </c>
      <c r="AB103" s="326">
        <v>0</v>
      </c>
      <c r="AC103" s="326">
        <v>0</v>
      </c>
      <c r="AD103" s="326">
        <v>0</v>
      </c>
      <c r="AE103" s="326">
        <v>0</v>
      </c>
      <c r="AF103" s="326">
        <v>0</v>
      </c>
      <c r="AG103" s="326">
        <v>0</v>
      </c>
      <c r="AH103" s="326">
        <v>0</v>
      </c>
      <c r="AI103" s="326">
        <v>0</v>
      </c>
      <c r="AJ103" s="326">
        <v>0</v>
      </c>
      <c r="AK103" s="326">
        <f t="shared" si="5"/>
        <v>0</v>
      </c>
      <c r="AL103" s="326">
        <f t="shared" si="5"/>
        <v>0</v>
      </c>
    </row>
    <row r="104" spans="1:38" s="291" customFormat="1" ht="17.25" customHeight="1">
      <c r="A104" s="262">
        <v>94</v>
      </c>
      <c r="B104" s="327" t="s">
        <v>1118</v>
      </c>
      <c r="C104" s="326">
        <f t="shared" si="3"/>
        <v>109531.6</v>
      </c>
      <c r="D104" s="326">
        <f t="shared" si="3"/>
        <v>94809.02500000001</v>
      </c>
      <c r="E104" s="326">
        <v>16187</v>
      </c>
      <c r="F104" s="326">
        <v>15424.477</v>
      </c>
      <c r="G104" s="326">
        <v>3675.9</v>
      </c>
      <c r="H104" s="326">
        <v>3451</v>
      </c>
      <c r="I104" s="326">
        <v>29677.5</v>
      </c>
      <c r="J104" s="326">
        <v>24907.695</v>
      </c>
      <c r="K104" s="326">
        <v>0</v>
      </c>
      <c r="L104" s="326">
        <v>0</v>
      </c>
      <c r="M104" s="326">
        <v>0</v>
      </c>
      <c r="N104" s="326">
        <v>0</v>
      </c>
      <c r="O104" s="326">
        <v>33880</v>
      </c>
      <c r="P104" s="326">
        <v>32561.026</v>
      </c>
      <c r="Q104" s="326">
        <v>15970</v>
      </c>
      <c r="R104" s="326">
        <v>15536.28</v>
      </c>
      <c r="S104" s="326">
        <v>7256.6</v>
      </c>
      <c r="T104" s="326">
        <v>116.5</v>
      </c>
      <c r="U104" s="326">
        <f t="shared" si="4"/>
        <v>106647</v>
      </c>
      <c r="V104" s="326">
        <f t="shared" si="4"/>
        <v>91996.978</v>
      </c>
      <c r="W104" s="326">
        <v>3484.6</v>
      </c>
      <c r="X104" s="326">
        <v>3351.104</v>
      </c>
      <c r="Y104" s="326">
        <v>0</v>
      </c>
      <c r="Z104" s="326">
        <v>0</v>
      </c>
      <c r="AA104" s="326">
        <v>0</v>
      </c>
      <c r="AB104" s="326">
        <v>0</v>
      </c>
      <c r="AC104" s="326">
        <v>0</v>
      </c>
      <c r="AD104" s="326">
        <v>-419.157</v>
      </c>
      <c r="AE104" s="326">
        <v>-600</v>
      </c>
      <c r="AF104" s="326">
        <v>-119.9</v>
      </c>
      <c r="AG104" s="326">
        <v>0</v>
      </c>
      <c r="AH104" s="326">
        <v>0</v>
      </c>
      <c r="AI104" s="326">
        <v>0</v>
      </c>
      <c r="AJ104" s="326">
        <v>0</v>
      </c>
      <c r="AK104" s="326">
        <f t="shared" si="5"/>
        <v>2884.6</v>
      </c>
      <c r="AL104" s="326">
        <f t="shared" si="5"/>
        <v>2812.0469999999996</v>
      </c>
    </row>
    <row r="105" spans="1:38" s="291" customFormat="1" ht="17.25" customHeight="1">
      <c r="A105" s="262">
        <v>95</v>
      </c>
      <c r="B105" s="327" t="s">
        <v>1119</v>
      </c>
      <c r="C105" s="326">
        <v>292373.4</v>
      </c>
      <c r="D105" s="326">
        <v>271856.411</v>
      </c>
      <c r="E105" s="326">
        <v>68249.5</v>
      </c>
      <c r="F105" s="326">
        <v>68033.621</v>
      </c>
      <c r="G105" s="326">
        <v>14296.7</v>
      </c>
      <c r="H105" s="326">
        <v>14197.658</v>
      </c>
      <c r="I105" s="326">
        <v>95393.73</v>
      </c>
      <c r="J105" s="326">
        <v>90875.755</v>
      </c>
      <c r="K105" s="326">
        <v>0</v>
      </c>
      <c r="L105" s="326">
        <v>0</v>
      </c>
      <c r="M105" s="326">
        <v>0</v>
      </c>
      <c r="N105" s="326">
        <v>0</v>
      </c>
      <c r="O105" s="326">
        <v>67063</v>
      </c>
      <c r="P105" s="326">
        <v>66710.01</v>
      </c>
      <c r="Q105" s="326">
        <v>2217</v>
      </c>
      <c r="R105" s="326">
        <v>2217</v>
      </c>
      <c r="S105" s="326">
        <v>15330.07</v>
      </c>
      <c r="T105" s="326">
        <v>2201.982</v>
      </c>
      <c r="U105" s="326">
        <v>262550</v>
      </c>
      <c r="V105" s="326">
        <v>244236.026</v>
      </c>
      <c r="W105" s="326">
        <v>53200.9</v>
      </c>
      <c r="X105" s="326">
        <v>48727.343</v>
      </c>
      <c r="Y105" s="326">
        <v>0</v>
      </c>
      <c r="Z105" s="326">
        <v>0</v>
      </c>
      <c r="AA105" s="326">
        <v>0</v>
      </c>
      <c r="AB105" s="326">
        <v>0</v>
      </c>
      <c r="AC105" s="326">
        <v>-500</v>
      </c>
      <c r="AD105" s="326">
        <v>-1721.35</v>
      </c>
      <c r="AE105" s="326">
        <v>-22877.5</v>
      </c>
      <c r="AF105" s="326">
        <v>-19385.608</v>
      </c>
      <c r="AG105" s="326">
        <v>0</v>
      </c>
      <c r="AH105" s="326">
        <v>0</v>
      </c>
      <c r="AI105" s="326">
        <v>0</v>
      </c>
      <c r="AJ105" s="326">
        <v>0</v>
      </c>
      <c r="AK105" s="326">
        <v>29823.4</v>
      </c>
      <c r="AL105" s="326">
        <v>27620.385000000002</v>
      </c>
    </row>
    <row r="106" spans="1:38" s="291" customFormat="1" ht="17.25" customHeight="1">
      <c r="A106" s="262">
        <v>96</v>
      </c>
      <c r="B106" s="327" t="s">
        <v>1120</v>
      </c>
      <c r="C106" s="326">
        <v>38471.219</v>
      </c>
      <c r="D106" s="326">
        <v>34142.827</v>
      </c>
      <c r="E106" s="326">
        <v>17674</v>
      </c>
      <c r="F106" s="326">
        <v>16398.965</v>
      </c>
      <c r="G106" s="326">
        <v>3799.7</v>
      </c>
      <c r="H106" s="326">
        <v>3412.083</v>
      </c>
      <c r="I106" s="326">
        <v>7745</v>
      </c>
      <c r="J106" s="326">
        <v>6575.469</v>
      </c>
      <c r="K106" s="326">
        <v>0</v>
      </c>
      <c r="L106" s="326">
        <v>0</v>
      </c>
      <c r="M106" s="326">
        <v>0</v>
      </c>
      <c r="N106" s="326">
        <v>0</v>
      </c>
      <c r="O106" s="326">
        <v>500</v>
      </c>
      <c r="P106" s="326">
        <v>500</v>
      </c>
      <c r="Q106" s="326">
        <v>4450</v>
      </c>
      <c r="R106" s="326">
        <v>4425</v>
      </c>
      <c r="S106" s="326">
        <v>511</v>
      </c>
      <c r="T106" s="326">
        <v>256.5</v>
      </c>
      <c r="U106" s="326">
        <v>34679.7</v>
      </c>
      <c r="V106" s="326">
        <v>31568.017</v>
      </c>
      <c r="W106" s="326">
        <v>4561.519</v>
      </c>
      <c r="X106" s="326">
        <v>3340</v>
      </c>
      <c r="Y106" s="326">
        <v>0</v>
      </c>
      <c r="Z106" s="326">
        <v>0</v>
      </c>
      <c r="AA106" s="326">
        <v>0</v>
      </c>
      <c r="AB106" s="326">
        <v>0</v>
      </c>
      <c r="AC106" s="326">
        <v>0</v>
      </c>
      <c r="AD106" s="326">
        <v>0</v>
      </c>
      <c r="AE106" s="326">
        <v>-770</v>
      </c>
      <c r="AF106" s="326">
        <v>-765.19</v>
      </c>
      <c r="AG106" s="326">
        <v>0</v>
      </c>
      <c r="AH106" s="326">
        <v>0</v>
      </c>
      <c r="AI106" s="326">
        <v>0</v>
      </c>
      <c r="AJ106" s="326">
        <v>0</v>
      </c>
      <c r="AK106" s="326">
        <v>3791.5190000000002</v>
      </c>
      <c r="AL106" s="326">
        <v>2574.81</v>
      </c>
    </row>
    <row r="107" spans="1:38" s="291" customFormat="1" ht="17.25" customHeight="1">
      <c r="A107" s="262">
        <v>97</v>
      </c>
      <c r="B107" s="327" t="s">
        <v>1121</v>
      </c>
      <c r="C107" s="326">
        <v>22119.354</v>
      </c>
      <c r="D107" s="326">
        <v>19261.41</v>
      </c>
      <c r="E107" s="326">
        <v>10445</v>
      </c>
      <c r="F107" s="326">
        <v>10344.317</v>
      </c>
      <c r="G107" s="326">
        <v>2205</v>
      </c>
      <c r="H107" s="326">
        <v>2114.998</v>
      </c>
      <c r="I107" s="326">
        <v>2750.5</v>
      </c>
      <c r="J107" s="326">
        <v>2171.725</v>
      </c>
      <c r="K107" s="326">
        <v>0</v>
      </c>
      <c r="L107" s="326">
        <v>0</v>
      </c>
      <c r="M107" s="326">
        <v>0</v>
      </c>
      <c r="N107" s="326">
        <v>0</v>
      </c>
      <c r="O107" s="326">
        <v>200</v>
      </c>
      <c r="P107" s="326">
        <v>200</v>
      </c>
      <c r="Q107" s="326">
        <v>4250</v>
      </c>
      <c r="R107" s="326">
        <v>4250</v>
      </c>
      <c r="S107" s="326">
        <v>1873</v>
      </c>
      <c r="T107" s="326">
        <v>135</v>
      </c>
      <c r="U107" s="326">
        <v>21723.5</v>
      </c>
      <c r="V107" s="326">
        <v>19216.04</v>
      </c>
      <c r="W107" s="326">
        <v>495.854</v>
      </c>
      <c r="X107" s="326">
        <v>67</v>
      </c>
      <c r="Y107" s="326">
        <v>0</v>
      </c>
      <c r="Z107" s="326">
        <v>0</v>
      </c>
      <c r="AA107" s="326">
        <v>0</v>
      </c>
      <c r="AB107" s="326">
        <v>0</v>
      </c>
      <c r="AC107" s="326">
        <v>0</v>
      </c>
      <c r="AD107" s="326">
        <v>0</v>
      </c>
      <c r="AE107" s="326">
        <v>-100</v>
      </c>
      <c r="AF107" s="326">
        <v>-21.63</v>
      </c>
      <c r="AG107" s="326">
        <v>0</v>
      </c>
      <c r="AH107" s="326">
        <v>0</v>
      </c>
      <c r="AI107" s="326">
        <v>0</v>
      </c>
      <c r="AJ107" s="326">
        <v>0</v>
      </c>
      <c r="AK107" s="326">
        <v>395.854</v>
      </c>
      <c r="AL107" s="326">
        <v>45.37</v>
      </c>
    </row>
    <row r="108" spans="1:38" s="291" customFormat="1" ht="17.25" customHeight="1">
      <c r="A108" s="262">
        <v>98</v>
      </c>
      <c r="B108" s="327" t="s">
        <v>1122</v>
      </c>
      <c r="C108" s="326">
        <v>15541.614</v>
      </c>
      <c r="D108" s="326">
        <v>12092.089</v>
      </c>
      <c r="E108" s="326">
        <v>8364</v>
      </c>
      <c r="F108" s="326">
        <v>7560.208</v>
      </c>
      <c r="G108" s="326">
        <v>1988</v>
      </c>
      <c r="H108" s="326">
        <v>1890.004</v>
      </c>
      <c r="I108" s="326">
        <v>2121</v>
      </c>
      <c r="J108" s="326">
        <v>1740.727</v>
      </c>
      <c r="K108" s="326">
        <v>0</v>
      </c>
      <c r="L108" s="326">
        <v>0</v>
      </c>
      <c r="M108" s="326">
        <v>0</v>
      </c>
      <c r="N108" s="326">
        <v>0</v>
      </c>
      <c r="O108" s="326">
        <v>0</v>
      </c>
      <c r="P108" s="326">
        <v>0</v>
      </c>
      <c r="Q108" s="326">
        <v>1140</v>
      </c>
      <c r="R108" s="326">
        <v>975</v>
      </c>
      <c r="S108" s="326">
        <v>643</v>
      </c>
      <c r="T108" s="326">
        <v>70.65</v>
      </c>
      <c r="U108" s="326">
        <v>14256</v>
      </c>
      <c r="V108" s="326">
        <v>12236.589</v>
      </c>
      <c r="W108" s="326">
        <v>1868.614</v>
      </c>
      <c r="X108" s="326">
        <v>280</v>
      </c>
      <c r="Y108" s="326">
        <v>0</v>
      </c>
      <c r="Z108" s="326">
        <v>0</v>
      </c>
      <c r="AA108" s="326">
        <v>0</v>
      </c>
      <c r="AB108" s="326">
        <v>0</v>
      </c>
      <c r="AC108" s="326">
        <v>0</v>
      </c>
      <c r="AD108" s="326">
        <v>0</v>
      </c>
      <c r="AE108" s="326">
        <v>-583</v>
      </c>
      <c r="AF108" s="326">
        <v>-424.5</v>
      </c>
      <c r="AG108" s="326">
        <v>0</v>
      </c>
      <c r="AH108" s="326">
        <v>0</v>
      </c>
      <c r="AI108" s="326">
        <v>0</v>
      </c>
      <c r="AJ108" s="326">
        <v>0</v>
      </c>
      <c r="AK108" s="326">
        <v>1285.614</v>
      </c>
      <c r="AL108" s="326">
        <v>-144.5</v>
      </c>
    </row>
    <row r="109" spans="1:38" s="291" customFormat="1" ht="17.25" customHeight="1">
      <c r="A109" s="262">
        <v>99</v>
      </c>
      <c r="B109" s="327" t="s">
        <v>1123</v>
      </c>
      <c r="C109" s="326">
        <v>30119.2</v>
      </c>
      <c r="D109" s="326">
        <v>26321.414</v>
      </c>
      <c r="E109" s="326">
        <v>8688</v>
      </c>
      <c r="F109" s="326">
        <v>7584.937</v>
      </c>
      <c r="G109" s="326">
        <v>1959.2</v>
      </c>
      <c r="H109" s="326">
        <v>1643.19</v>
      </c>
      <c r="I109" s="326">
        <v>7379</v>
      </c>
      <c r="J109" s="326">
        <v>6813.287</v>
      </c>
      <c r="K109" s="326">
        <v>0</v>
      </c>
      <c r="L109" s="326">
        <v>0</v>
      </c>
      <c r="M109" s="326">
        <v>0</v>
      </c>
      <c r="N109" s="326">
        <v>0</v>
      </c>
      <c r="O109" s="326">
        <v>0</v>
      </c>
      <c r="P109" s="326">
        <v>0</v>
      </c>
      <c r="Q109" s="326">
        <v>2960</v>
      </c>
      <c r="R109" s="326">
        <v>2880</v>
      </c>
      <c r="S109" s="326">
        <v>9133</v>
      </c>
      <c r="T109" s="326">
        <v>7400.075</v>
      </c>
      <c r="U109" s="326">
        <v>30119.2</v>
      </c>
      <c r="V109" s="326">
        <v>26321.489</v>
      </c>
      <c r="W109" s="326">
        <v>8805</v>
      </c>
      <c r="X109" s="326">
        <v>8805</v>
      </c>
      <c r="Y109" s="326">
        <v>0</v>
      </c>
      <c r="Z109" s="326">
        <v>0</v>
      </c>
      <c r="AA109" s="326">
        <v>0</v>
      </c>
      <c r="AB109" s="326">
        <v>0</v>
      </c>
      <c r="AC109" s="326">
        <v>-1250</v>
      </c>
      <c r="AD109" s="326">
        <v>-1200</v>
      </c>
      <c r="AE109" s="326">
        <v>-300</v>
      </c>
      <c r="AF109" s="326">
        <v>-275</v>
      </c>
      <c r="AG109" s="326">
        <v>0</v>
      </c>
      <c r="AH109" s="326">
        <v>0</v>
      </c>
      <c r="AI109" s="326">
        <v>7255</v>
      </c>
      <c r="AJ109" s="326">
        <v>7330.075</v>
      </c>
      <c r="AK109" s="326">
        <v>7255</v>
      </c>
      <c r="AL109" s="326">
        <v>7330</v>
      </c>
    </row>
    <row r="110" spans="1:38" s="291" customFormat="1" ht="17.25" customHeight="1">
      <c r="A110" s="262">
        <v>100</v>
      </c>
      <c r="B110" s="327" t="s">
        <v>1124</v>
      </c>
      <c r="C110" s="326">
        <v>43198.425</v>
      </c>
      <c r="D110" s="326">
        <v>26098.04</v>
      </c>
      <c r="E110" s="326">
        <v>9767</v>
      </c>
      <c r="F110" s="326">
        <v>9766.647</v>
      </c>
      <c r="G110" s="326">
        <v>1913</v>
      </c>
      <c r="H110" s="326">
        <v>1912.931</v>
      </c>
      <c r="I110" s="326">
        <v>6325.4</v>
      </c>
      <c r="J110" s="326">
        <v>5846.433</v>
      </c>
      <c r="K110" s="326">
        <v>0</v>
      </c>
      <c r="L110" s="326">
        <v>0</v>
      </c>
      <c r="M110" s="326">
        <v>0</v>
      </c>
      <c r="N110" s="326">
        <v>0</v>
      </c>
      <c r="O110" s="326">
        <v>0</v>
      </c>
      <c r="P110" s="326">
        <v>0</v>
      </c>
      <c r="Q110" s="326">
        <v>2600</v>
      </c>
      <c r="R110" s="326">
        <v>2409.915</v>
      </c>
      <c r="S110" s="326">
        <v>327.6</v>
      </c>
      <c r="T110" s="326">
        <v>193.9</v>
      </c>
      <c r="U110" s="326">
        <v>20933</v>
      </c>
      <c r="V110" s="326">
        <v>20129.826</v>
      </c>
      <c r="W110" s="326">
        <v>24695.425</v>
      </c>
      <c r="X110" s="326">
        <v>8795.514</v>
      </c>
      <c r="Y110" s="326">
        <v>0</v>
      </c>
      <c r="Z110" s="326">
        <v>0</v>
      </c>
      <c r="AA110" s="326">
        <v>0</v>
      </c>
      <c r="AB110" s="326">
        <v>0</v>
      </c>
      <c r="AC110" s="326">
        <v>-100</v>
      </c>
      <c r="AD110" s="326">
        <v>0</v>
      </c>
      <c r="AE110" s="326">
        <v>-2330</v>
      </c>
      <c r="AF110" s="326">
        <v>-2827.3</v>
      </c>
      <c r="AG110" s="326">
        <v>0</v>
      </c>
      <c r="AH110" s="326">
        <v>0</v>
      </c>
      <c r="AI110" s="326">
        <v>0</v>
      </c>
      <c r="AJ110" s="326">
        <v>0</v>
      </c>
      <c r="AK110" s="326">
        <v>22265.425</v>
      </c>
      <c r="AL110" s="326">
        <v>5968.213999999999</v>
      </c>
    </row>
    <row r="111" spans="1:38" s="291" customFormat="1" ht="17.25" customHeight="1">
      <c r="A111" s="262">
        <v>101</v>
      </c>
      <c r="B111" s="327" t="s">
        <v>1125</v>
      </c>
      <c r="C111" s="326">
        <v>10754.903</v>
      </c>
      <c r="D111" s="326">
        <v>8083.9</v>
      </c>
      <c r="E111" s="326">
        <v>5030</v>
      </c>
      <c r="F111" s="326">
        <v>4442.511</v>
      </c>
      <c r="G111" s="326">
        <v>1114.5</v>
      </c>
      <c r="H111" s="326">
        <v>994.389</v>
      </c>
      <c r="I111" s="326">
        <v>805</v>
      </c>
      <c r="J111" s="326">
        <v>639.8</v>
      </c>
      <c r="K111" s="326">
        <v>0</v>
      </c>
      <c r="L111" s="326">
        <v>0</v>
      </c>
      <c r="M111" s="326">
        <v>0</v>
      </c>
      <c r="N111" s="326">
        <v>0</v>
      </c>
      <c r="O111" s="326">
        <v>0</v>
      </c>
      <c r="P111" s="326">
        <v>0</v>
      </c>
      <c r="Q111" s="326">
        <v>900</v>
      </c>
      <c r="R111" s="326">
        <v>878</v>
      </c>
      <c r="S111" s="326">
        <v>290.5</v>
      </c>
      <c r="T111" s="326">
        <v>40</v>
      </c>
      <c r="U111" s="326">
        <v>8140</v>
      </c>
      <c r="V111" s="326">
        <v>6994.7</v>
      </c>
      <c r="W111" s="326">
        <v>2914.903</v>
      </c>
      <c r="X111" s="326">
        <v>2300</v>
      </c>
      <c r="Y111" s="326">
        <v>0</v>
      </c>
      <c r="Z111" s="326">
        <v>0</v>
      </c>
      <c r="AA111" s="326">
        <v>0</v>
      </c>
      <c r="AB111" s="326">
        <v>0</v>
      </c>
      <c r="AC111" s="326">
        <v>0</v>
      </c>
      <c r="AD111" s="326">
        <v>0</v>
      </c>
      <c r="AE111" s="326">
        <v>-300</v>
      </c>
      <c r="AF111" s="326">
        <v>-1210.8</v>
      </c>
      <c r="AG111" s="326">
        <v>0</v>
      </c>
      <c r="AH111" s="326">
        <v>0</v>
      </c>
      <c r="AI111" s="326">
        <v>0</v>
      </c>
      <c r="AJ111" s="326">
        <v>0</v>
      </c>
      <c r="AK111" s="326">
        <v>2614.903</v>
      </c>
      <c r="AL111" s="326">
        <v>1089.2</v>
      </c>
    </row>
    <row r="112" spans="1:38" s="291" customFormat="1" ht="17.25" customHeight="1">
      <c r="A112" s="262">
        <v>102</v>
      </c>
      <c r="B112" s="327" t="s">
        <v>1126</v>
      </c>
      <c r="C112" s="326">
        <v>11710.685999999998</v>
      </c>
      <c r="D112" s="326">
        <v>10472.048</v>
      </c>
      <c r="E112" s="326">
        <v>7526.9</v>
      </c>
      <c r="F112" s="326">
        <v>7267.867</v>
      </c>
      <c r="G112" s="326">
        <v>1768.6</v>
      </c>
      <c r="H112" s="326">
        <v>1647.891</v>
      </c>
      <c r="I112" s="326">
        <v>1487.1</v>
      </c>
      <c r="J112" s="326">
        <v>1297.07</v>
      </c>
      <c r="K112" s="326">
        <v>0</v>
      </c>
      <c r="L112" s="326">
        <v>0</v>
      </c>
      <c r="M112" s="326">
        <v>0</v>
      </c>
      <c r="N112" s="326">
        <v>0</v>
      </c>
      <c r="O112" s="326">
        <v>0</v>
      </c>
      <c r="P112" s="326">
        <v>0</v>
      </c>
      <c r="Q112" s="326">
        <v>407</v>
      </c>
      <c r="R112" s="326">
        <v>407</v>
      </c>
      <c r="S112" s="326">
        <v>165</v>
      </c>
      <c r="T112" s="326">
        <v>45</v>
      </c>
      <c r="U112" s="326">
        <v>11354.6</v>
      </c>
      <c r="V112" s="326">
        <v>10664.828000000001</v>
      </c>
      <c r="W112" s="326">
        <v>1470.248</v>
      </c>
      <c r="X112" s="326">
        <v>250</v>
      </c>
      <c r="Y112" s="326">
        <v>0</v>
      </c>
      <c r="Z112" s="326">
        <v>0</v>
      </c>
      <c r="AA112" s="326">
        <v>0</v>
      </c>
      <c r="AB112" s="326">
        <v>0</v>
      </c>
      <c r="AC112" s="326">
        <v>-384.162</v>
      </c>
      <c r="AD112" s="326">
        <v>-123.7</v>
      </c>
      <c r="AE112" s="326">
        <v>-730</v>
      </c>
      <c r="AF112" s="326">
        <v>-319.08</v>
      </c>
      <c r="AG112" s="326">
        <v>0</v>
      </c>
      <c r="AH112" s="326">
        <v>0</v>
      </c>
      <c r="AI112" s="326">
        <v>0</v>
      </c>
      <c r="AJ112" s="326">
        <v>0</v>
      </c>
      <c r="AK112" s="326">
        <v>356.086</v>
      </c>
      <c r="AL112" s="326">
        <v>-192.78</v>
      </c>
    </row>
    <row r="113" spans="1:38" s="291" customFormat="1" ht="17.25" customHeight="1">
      <c r="A113" s="262">
        <v>103</v>
      </c>
      <c r="B113" s="327" t="s">
        <v>1127</v>
      </c>
      <c r="C113" s="326">
        <v>9003.59</v>
      </c>
      <c r="D113" s="326">
        <v>7033.918000000001</v>
      </c>
      <c r="E113" s="326">
        <v>4330.7</v>
      </c>
      <c r="F113" s="326">
        <v>4237.488</v>
      </c>
      <c r="G113" s="326">
        <v>1261.1</v>
      </c>
      <c r="H113" s="326">
        <v>1238.13</v>
      </c>
      <c r="I113" s="326">
        <v>1540</v>
      </c>
      <c r="J113" s="326">
        <v>760.8</v>
      </c>
      <c r="K113" s="326">
        <v>0</v>
      </c>
      <c r="L113" s="326">
        <v>0</v>
      </c>
      <c r="M113" s="326">
        <v>0</v>
      </c>
      <c r="N113" s="326">
        <v>0</v>
      </c>
      <c r="O113" s="326">
        <v>0</v>
      </c>
      <c r="P113" s="326">
        <v>0</v>
      </c>
      <c r="Q113" s="326">
        <v>1000</v>
      </c>
      <c r="R113" s="326">
        <v>1000</v>
      </c>
      <c r="S113" s="326">
        <v>781.49</v>
      </c>
      <c r="T113" s="326">
        <v>10</v>
      </c>
      <c r="U113" s="326">
        <v>8913.29</v>
      </c>
      <c r="V113" s="326">
        <v>7246.418000000001</v>
      </c>
      <c r="W113" s="326">
        <v>1390.3</v>
      </c>
      <c r="X113" s="326">
        <v>800</v>
      </c>
      <c r="Y113" s="326">
        <v>0</v>
      </c>
      <c r="Z113" s="326">
        <v>0</v>
      </c>
      <c r="AA113" s="326">
        <v>0</v>
      </c>
      <c r="AB113" s="326">
        <v>0</v>
      </c>
      <c r="AC113" s="326">
        <v>-300</v>
      </c>
      <c r="AD113" s="326">
        <v>0</v>
      </c>
      <c r="AE113" s="326">
        <v>-1000</v>
      </c>
      <c r="AF113" s="326">
        <v>-1012.5</v>
      </c>
      <c r="AG113" s="326">
        <v>0</v>
      </c>
      <c r="AH113" s="326">
        <v>0</v>
      </c>
      <c r="AI113" s="326">
        <v>0</v>
      </c>
      <c r="AJ113" s="326">
        <v>0</v>
      </c>
      <c r="AK113" s="326">
        <v>90.3</v>
      </c>
      <c r="AL113" s="326">
        <v>-212.5</v>
      </c>
    </row>
    <row r="114" spans="1:38" s="291" customFormat="1" ht="17.25" customHeight="1">
      <c r="A114" s="262">
        <v>104</v>
      </c>
      <c r="B114" s="327" t="s">
        <v>989</v>
      </c>
      <c r="C114" s="326">
        <v>17768.495</v>
      </c>
      <c r="D114" s="326">
        <v>9536.644999999999</v>
      </c>
      <c r="E114" s="326">
        <v>7024.8</v>
      </c>
      <c r="F114" s="326">
        <v>6564.57</v>
      </c>
      <c r="G114" s="326">
        <v>1695.1</v>
      </c>
      <c r="H114" s="326">
        <v>1551.155</v>
      </c>
      <c r="I114" s="326">
        <v>2231</v>
      </c>
      <c r="J114" s="326">
        <v>1025.52</v>
      </c>
      <c r="K114" s="326">
        <v>0</v>
      </c>
      <c r="L114" s="326">
        <v>0</v>
      </c>
      <c r="M114" s="326">
        <v>0</v>
      </c>
      <c r="N114" s="326">
        <v>0</v>
      </c>
      <c r="O114" s="326">
        <v>0</v>
      </c>
      <c r="P114" s="326">
        <v>0</v>
      </c>
      <c r="Q114" s="326">
        <v>2850</v>
      </c>
      <c r="R114" s="326">
        <v>1553</v>
      </c>
      <c r="S114" s="326">
        <v>2308.845</v>
      </c>
      <c r="T114" s="326">
        <v>70</v>
      </c>
      <c r="U114" s="326">
        <v>16109.744999999999</v>
      </c>
      <c r="V114" s="326">
        <v>10764.244999999999</v>
      </c>
      <c r="W114" s="326">
        <v>9658.75</v>
      </c>
      <c r="X114" s="326">
        <v>0</v>
      </c>
      <c r="Y114" s="326">
        <v>0</v>
      </c>
      <c r="Z114" s="326">
        <v>0</v>
      </c>
      <c r="AA114" s="326">
        <v>0</v>
      </c>
      <c r="AB114" s="326">
        <v>0</v>
      </c>
      <c r="AC114" s="326">
        <v>-7000</v>
      </c>
      <c r="AD114" s="326">
        <v>0</v>
      </c>
      <c r="AE114" s="326">
        <v>-600</v>
      </c>
      <c r="AF114" s="326">
        <v>-1227.6</v>
      </c>
      <c r="AG114" s="326">
        <v>0</v>
      </c>
      <c r="AH114" s="326">
        <v>0</v>
      </c>
      <c r="AI114" s="326">
        <v>400</v>
      </c>
      <c r="AJ114" s="326">
        <v>0</v>
      </c>
      <c r="AK114" s="326">
        <v>2058.75</v>
      </c>
      <c r="AL114" s="326">
        <v>-1227.6</v>
      </c>
    </row>
    <row r="115" spans="1:38" s="291" customFormat="1" ht="17.25" customHeight="1">
      <c r="A115" s="262">
        <v>105</v>
      </c>
      <c r="B115" s="327" t="s">
        <v>1128</v>
      </c>
      <c r="C115" s="326">
        <v>18442.345</v>
      </c>
      <c r="D115" s="326">
        <v>16364.62</v>
      </c>
      <c r="E115" s="326">
        <v>5776.9</v>
      </c>
      <c r="F115" s="326">
        <v>5372.563</v>
      </c>
      <c r="G115" s="326">
        <v>1070</v>
      </c>
      <c r="H115" s="326">
        <v>1023.852</v>
      </c>
      <c r="I115" s="326">
        <v>3186</v>
      </c>
      <c r="J115" s="326">
        <v>1986.6</v>
      </c>
      <c r="K115" s="326">
        <v>0</v>
      </c>
      <c r="L115" s="326">
        <v>0</v>
      </c>
      <c r="M115" s="326">
        <v>0</v>
      </c>
      <c r="N115" s="326">
        <v>0</v>
      </c>
      <c r="O115" s="326">
        <v>0</v>
      </c>
      <c r="P115" s="326">
        <v>0</v>
      </c>
      <c r="Q115" s="326">
        <v>7100</v>
      </c>
      <c r="R115" s="326">
        <v>7010</v>
      </c>
      <c r="S115" s="326">
        <v>1048.1</v>
      </c>
      <c r="T115" s="326">
        <v>710.26</v>
      </c>
      <c r="U115" s="326">
        <v>18181</v>
      </c>
      <c r="V115" s="326">
        <v>16103.275000000001</v>
      </c>
      <c r="W115" s="326">
        <v>2481.345</v>
      </c>
      <c r="X115" s="326">
        <v>1042.605</v>
      </c>
      <c r="Y115" s="326">
        <v>0</v>
      </c>
      <c r="Z115" s="326">
        <v>0</v>
      </c>
      <c r="AA115" s="326">
        <v>0</v>
      </c>
      <c r="AB115" s="326">
        <v>0</v>
      </c>
      <c r="AC115" s="326">
        <v>0</v>
      </c>
      <c r="AD115" s="326">
        <v>0</v>
      </c>
      <c r="AE115" s="326">
        <v>-1420</v>
      </c>
      <c r="AF115" s="326">
        <v>-106</v>
      </c>
      <c r="AG115" s="326">
        <v>0</v>
      </c>
      <c r="AH115" s="326">
        <v>0</v>
      </c>
      <c r="AI115" s="326">
        <v>800</v>
      </c>
      <c r="AJ115" s="326">
        <v>675.26</v>
      </c>
      <c r="AK115" s="326">
        <v>1061.345</v>
      </c>
      <c r="AL115" s="326">
        <v>936.605</v>
      </c>
    </row>
    <row r="116" spans="1:38" s="291" customFormat="1" ht="17.25" customHeight="1">
      <c r="A116" s="262">
        <v>106</v>
      </c>
      <c r="B116" s="327" t="s">
        <v>1129</v>
      </c>
      <c r="C116" s="326">
        <v>18278.185</v>
      </c>
      <c r="D116" s="326">
        <v>12446.009</v>
      </c>
      <c r="E116" s="326">
        <v>6668</v>
      </c>
      <c r="F116" s="326">
        <v>5780.884</v>
      </c>
      <c r="G116" s="326">
        <v>1464.2</v>
      </c>
      <c r="H116" s="326">
        <v>1228.825</v>
      </c>
      <c r="I116" s="326">
        <v>3940</v>
      </c>
      <c r="J116" s="326">
        <v>2632.8</v>
      </c>
      <c r="K116" s="326">
        <v>0</v>
      </c>
      <c r="L116" s="326">
        <v>0</v>
      </c>
      <c r="M116" s="326">
        <v>0</v>
      </c>
      <c r="N116" s="326">
        <v>0</v>
      </c>
      <c r="O116" s="326">
        <v>0</v>
      </c>
      <c r="P116" s="326">
        <v>0</v>
      </c>
      <c r="Q116" s="326">
        <v>3500</v>
      </c>
      <c r="R116" s="326">
        <v>2737.5</v>
      </c>
      <c r="S116" s="326">
        <v>2652.8</v>
      </c>
      <c r="T116" s="326">
        <v>66</v>
      </c>
      <c r="U116" s="326">
        <v>18225</v>
      </c>
      <c r="V116" s="326">
        <v>12446.009</v>
      </c>
      <c r="W116" s="326">
        <v>1400</v>
      </c>
      <c r="X116" s="326">
        <v>0</v>
      </c>
      <c r="Y116" s="326">
        <v>0</v>
      </c>
      <c r="Z116" s="326">
        <v>0</v>
      </c>
      <c r="AA116" s="326">
        <v>0</v>
      </c>
      <c r="AB116" s="326">
        <v>0</v>
      </c>
      <c r="AC116" s="326">
        <v>0</v>
      </c>
      <c r="AD116" s="326">
        <v>0</v>
      </c>
      <c r="AE116" s="326">
        <v>0</v>
      </c>
      <c r="AF116" s="326">
        <v>0</v>
      </c>
      <c r="AG116" s="326">
        <v>0</v>
      </c>
      <c r="AH116" s="326">
        <v>0</v>
      </c>
      <c r="AI116" s="326">
        <v>1346.815</v>
      </c>
      <c r="AJ116" s="326">
        <v>0</v>
      </c>
      <c r="AK116" s="326">
        <v>1400</v>
      </c>
      <c r="AL116" s="326">
        <v>0</v>
      </c>
    </row>
    <row r="117" spans="1:38" s="291" customFormat="1" ht="17.25" customHeight="1">
      <c r="A117" s="262">
        <v>107</v>
      </c>
      <c r="B117" s="327" t="s">
        <v>1130</v>
      </c>
      <c r="C117" s="326">
        <v>8268.510999999999</v>
      </c>
      <c r="D117" s="326">
        <v>5933.101000000001</v>
      </c>
      <c r="E117" s="326">
        <v>3808</v>
      </c>
      <c r="F117" s="326">
        <v>3802.346</v>
      </c>
      <c r="G117" s="326">
        <v>827.2</v>
      </c>
      <c r="H117" s="326">
        <v>774.918</v>
      </c>
      <c r="I117" s="326">
        <v>920</v>
      </c>
      <c r="J117" s="326">
        <v>758.765</v>
      </c>
      <c r="K117" s="326">
        <v>0</v>
      </c>
      <c r="L117" s="326">
        <v>0</v>
      </c>
      <c r="M117" s="326">
        <v>0</v>
      </c>
      <c r="N117" s="326">
        <v>0</v>
      </c>
      <c r="O117" s="326">
        <v>0</v>
      </c>
      <c r="P117" s="326">
        <v>0</v>
      </c>
      <c r="Q117" s="326">
        <v>800</v>
      </c>
      <c r="R117" s="326">
        <v>800</v>
      </c>
      <c r="S117" s="326">
        <v>1768.7</v>
      </c>
      <c r="T117" s="326">
        <v>25</v>
      </c>
      <c r="U117" s="326">
        <v>8123.9</v>
      </c>
      <c r="V117" s="326">
        <v>6161.029</v>
      </c>
      <c r="W117" s="326">
        <v>2779.611</v>
      </c>
      <c r="X117" s="326">
        <v>0</v>
      </c>
      <c r="Y117" s="326">
        <v>0</v>
      </c>
      <c r="Z117" s="326">
        <v>0</v>
      </c>
      <c r="AA117" s="326">
        <v>0</v>
      </c>
      <c r="AB117" s="326">
        <v>0</v>
      </c>
      <c r="AC117" s="326">
        <v>-535</v>
      </c>
      <c r="AD117" s="326">
        <v>-191.928</v>
      </c>
      <c r="AE117" s="326">
        <v>-1600</v>
      </c>
      <c r="AF117" s="326">
        <v>-36</v>
      </c>
      <c r="AG117" s="326">
        <v>0</v>
      </c>
      <c r="AH117" s="326">
        <v>0</v>
      </c>
      <c r="AI117" s="326">
        <v>500</v>
      </c>
      <c r="AJ117" s="326">
        <v>0</v>
      </c>
      <c r="AK117" s="326">
        <v>644.6109999999999</v>
      </c>
      <c r="AL117" s="326">
        <v>-227.928</v>
      </c>
    </row>
    <row r="118" spans="1:38" s="291" customFormat="1" ht="17.25" customHeight="1">
      <c r="A118" s="262">
        <v>108</v>
      </c>
      <c r="B118" s="327" t="s">
        <v>1131</v>
      </c>
      <c r="C118" s="326">
        <v>10919.15</v>
      </c>
      <c r="D118" s="326">
        <v>8077.71</v>
      </c>
      <c r="E118" s="326">
        <v>4036</v>
      </c>
      <c r="F118" s="326">
        <v>3797.821</v>
      </c>
      <c r="G118" s="326">
        <v>877.4</v>
      </c>
      <c r="H118" s="326">
        <v>798.871</v>
      </c>
      <c r="I118" s="326">
        <v>2120</v>
      </c>
      <c r="J118" s="326">
        <v>1631.002</v>
      </c>
      <c r="K118" s="326">
        <v>0</v>
      </c>
      <c r="L118" s="326">
        <v>0</v>
      </c>
      <c r="M118" s="326">
        <v>0</v>
      </c>
      <c r="N118" s="326">
        <v>0</v>
      </c>
      <c r="O118" s="326">
        <v>0</v>
      </c>
      <c r="P118" s="326">
        <v>0</v>
      </c>
      <c r="Q118" s="326">
        <v>500</v>
      </c>
      <c r="R118" s="326">
        <v>125</v>
      </c>
      <c r="S118" s="326">
        <v>514</v>
      </c>
      <c r="T118" s="326">
        <v>32</v>
      </c>
      <c r="U118" s="326">
        <v>8047.4</v>
      </c>
      <c r="V118" s="326">
        <v>6384.6939999999995</v>
      </c>
      <c r="W118" s="326">
        <v>6371.75</v>
      </c>
      <c r="X118" s="326">
        <v>2412.316</v>
      </c>
      <c r="Y118" s="326">
        <v>0</v>
      </c>
      <c r="Z118" s="326">
        <v>0</v>
      </c>
      <c r="AA118" s="326">
        <v>0</v>
      </c>
      <c r="AB118" s="326">
        <v>0</v>
      </c>
      <c r="AC118" s="326">
        <v>-1500</v>
      </c>
      <c r="AD118" s="326">
        <v>0</v>
      </c>
      <c r="AE118" s="326">
        <v>-2000</v>
      </c>
      <c r="AF118" s="326">
        <v>-719.3</v>
      </c>
      <c r="AG118" s="326">
        <v>0</v>
      </c>
      <c r="AH118" s="326">
        <v>0</v>
      </c>
      <c r="AI118" s="326">
        <v>0</v>
      </c>
      <c r="AJ118" s="326">
        <v>0</v>
      </c>
      <c r="AK118" s="326">
        <v>2871.75</v>
      </c>
      <c r="AL118" s="326">
        <v>1693.0159999999998</v>
      </c>
    </row>
    <row r="119" spans="1:38" s="291" customFormat="1" ht="17.25" customHeight="1">
      <c r="A119" s="262">
        <v>109</v>
      </c>
      <c r="B119" s="327" t="s">
        <v>1132</v>
      </c>
      <c r="C119" s="326">
        <v>13874.169000000002</v>
      </c>
      <c r="D119" s="326">
        <v>13260.301</v>
      </c>
      <c r="E119" s="326">
        <v>7757.8</v>
      </c>
      <c r="F119" s="326">
        <v>7735.875</v>
      </c>
      <c r="G119" s="326">
        <v>1823.6</v>
      </c>
      <c r="H119" s="326">
        <v>1737.426</v>
      </c>
      <c r="I119" s="326">
        <v>430</v>
      </c>
      <c r="J119" s="326">
        <v>343</v>
      </c>
      <c r="K119" s="326">
        <v>0</v>
      </c>
      <c r="L119" s="326">
        <v>0</v>
      </c>
      <c r="M119" s="326">
        <v>0</v>
      </c>
      <c r="N119" s="326">
        <v>0</v>
      </c>
      <c r="O119" s="326">
        <v>2214</v>
      </c>
      <c r="P119" s="326">
        <v>1944</v>
      </c>
      <c r="Q119" s="326">
        <v>1500</v>
      </c>
      <c r="R119" s="326">
        <v>1500</v>
      </c>
      <c r="S119" s="326">
        <v>148.769</v>
      </c>
      <c r="T119" s="326">
        <v>0</v>
      </c>
      <c r="U119" s="326">
        <v>13874.169000000002</v>
      </c>
      <c r="V119" s="326">
        <v>13260.301</v>
      </c>
      <c r="W119" s="326">
        <v>0</v>
      </c>
      <c r="X119" s="326">
        <v>0</v>
      </c>
      <c r="Y119" s="326">
        <v>0</v>
      </c>
      <c r="Z119" s="326">
        <v>0</v>
      </c>
      <c r="AA119" s="326">
        <v>0</v>
      </c>
      <c r="AB119" s="326">
        <v>0</v>
      </c>
      <c r="AC119" s="326">
        <v>0</v>
      </c>
      <c r="AD119" s="326">
        <v>0</v>
      </c>
      <c r="AE119" s="326">
        <v>0</v>
      </c>
      <c r="AF119" s="326">
        <v>0</v>
      </c>
      <c r="AG119" s="326">
        <v>0</v>
      </c>
      <c r="AH119" s="326">
        <v>0</v>
      </c>
      <c r="AI119" s="326">
        <v>0</v>
      </c>
      <c r="AJ119" s="326">
        <v>0</v>
      </c>
      <c r="AK119" s="326">
        <v>0</v>
      </c>
      <c r="AL119" s="326">
        <v>0</v>
      </c>
    </row>
    <row r="120" spans="1:38" s="291" customFormat="1" ht="17.25" customHeight="1">
      <c r="A120" s="262">
        <v>110</v>
      </c>
      <c r="B120" s="327" t="s">
        <v>1133</v>
      </c>
      <c r="C120" s="326">
        <v>24415.771</v>
      </c>
      <c r="D120" s="326">
        <v>16011.553</v>
      </c>
      <c r="E120" s="326">
        <v>8306</v>
      </c>
      <c r="F120" s="326">
        <v>6740.206</v>
      </c>
      <c r="G120" s="326">
        <v>1818</v>
      </c>
      <c r="H120" s="326">
        <v>1332.098</v>
      </c>
      <c r="I120" s="326">
        <v>6428</v>
      </c>
      <c r="J120" s="326">
        <v>5826.249</v>
      </c>
      <c r="K120" s="326">
        <v>0</v>
      </c>
      <c r="L120" s="326">
        <v>0</v>
      </c>
      <c r="M120" s="326">
        <v>0</v>
      </c>
      <c r="N120" s="326">
        <v>0</v>
      </c>
      <c r="O120" s="326">
        <v>0</v>
      </c>
      <c r="P120" s="326">
        <v>0</v>
      </c>
      <c r="Q120" s="326">
        <v>2200</v>
      </c>
      <c r="R120" s="326">
        <v>2190</v>
      </c>
      <c r="S120" s="326">
        <v>337.8</v>
      </c>
      <c r="T120" s="326">
        <v>55</v>
      </c>
      <c r="U120" s="326">
        <v>19089.8</v>
      </c>
      <c r="V120" s="326">
        <v>16143.553</v>
      </c>
      <c r="W120" s="326">
        <v>5565.971</v>
      </c>
      <c r="X120" s="326">
        <v>120</v>
      </c>
      <c r="Y120" s="326">
        <v>0</v>
      </c>
      <c r="Z120" s="326">
        <v>0</v>
      </c>
      <c r="AA120" s="326">
        <v>0</v>
      </c>
      <c r="AB120" s="326">
        <v>0</v>
      </c>
      <c r="AC120" s="326">
        <v>0</v>
      </c>
      <c r="AD120" s="326">
        <v>0</v>
      </c>
      <c r="AE120" s="326">
        <v>-240</v>
      </c>
      <c r="AF120" s="326">
        <v>-252</v>
      </c>
      <c r="AG120" s="326">
        <v>0</v>
      </c>
      <c r="AH120" s="326">
        <v>0</v>
      </c>
      <c r="AI120" s="326">
        <v>0</v>
      </c>
      <c r="AJ120" s="326">
        <v>0</v>
      </c>
      <c r="AK120" s="326">
        <v>5325.971</v>
      </c>
      <c r="AL120" s="326">
        <v>-132</v>
      </c>
    </row>
    <row r="121" spans="1:38" s="291" customFormat="1" ht="17.25" customHeight="1">
      <c r="A121" s="262">
        <v>111</v>
      </c>
      <c r="B121" s="328" t="s">
        <v>1134</v>
      </c>
      <c r="C121" s="326">
        <v>7850.076</v>
      </c>
      <c r="D121" s="326">
        <v>6673.668</v>
      </c>
      <c r="E121" s="326">
        <v>4497.9</v>
      </c>
      <c r="F121" s="326">
        <v>4290.448</v>
      </c>
      <c r="G121" s="326">
        <v>1044.5</v>
      </c>
      <c r="H121" s="326">
        <v>976.42</v>
      </c>
      <c r="I121" s="326">
        <v>1094</v>
      </c>
      <c r="J121" s="326">
        <v>1067.3</v>
      </c>
      <c r="K121" s="326">
        <v>0</v>
      </c>
      <c r="L121" s="326">
        <v>0</v>
      </c>
      <c r="M121" s="326">
        <v>0</v>
      </c>
      <c r="N121" s="326">
        <v>0</v>
      </c>
      <c r="O121" s="326">
        <v>0</v>
      </c>
      <c r="P121" s="326">
        <v>0</v>
      </c>
      <c r="Q121" s="326">
        <v>290</v>
      </c>
      <c r="R121" s="326">
        <v>290</v>
      </c>
      <c r="S121" s="326">
        <v>490.6</v>
      </c>
      <c r="T121" s="326">
        <v>49.5</v>
      </c>
      <c r="U121" s="326">
        <v>7417</v>
      </c>
      <c r="V121" s="326">
        <v>6673.668</v>
      </c>
      <c r="W121" s="326">
        <v>433.076</v>
      </c>
      <c r="X121" s="326">
        <v>0</v>
      </c>
      <c r="Y121" s="326">
        <v>0</v>
      </c>
      <c r="Z121" s="326">
        <v>0</v>
      </c>
      <c r="AA121" s="326">
        <v>0</v>
      </c>
      <c r="AB121" s="326">
        <v>0</v>
      </c>
      <c r="AC121" s="326">
        <v>0</v>
      </c>
      <c r="AD121" s="326">
        <v>0</v>
      </c>
      <c r="AE121" s="326">
        <v>0</v>
      </c>
      <c r="AF121" s="326">
        <v>0</v>
      </c>
      <c r="AG121" s="326">
        <v>0</v>
      </c>
      <c r="AH121" s="326">
        <v>0</v>
      </c>
      <c r="AI121" s="326">
        <v>0</v>
      </c>
      <c r="AJ121" s="326">
        <v>0</v>
      </c>
      <c r="AK121" s="326">
        <v>433.076</v>
      </c>
      <c r="AL121" s="326">
        <v>0</v>
      </c>
    </row>
    <row r="122" spans="1:38" s="291" customFormat="1" ht="17.25" customHeight="1">
      <c r="A122" s="262">
        <v>112</v>
      </c>
      <c r="B122" s="327" t="s">
        <v>1135</v>
      </c>
      <c r="C122" s="326">
        <v>5982.217000000001</v>
      </c>
      <c r="D122" s="326">
        <v>4499.5470000000005</v>
      </c>
      <c r="E122" s="326">
        <v>2283</v>
      </c>
      <c r="F122" s="326">
        <v>1816.457</v>
      </c>
      <c r="G122" s="326">
        <v>536</v>
      </c>
      <c r="H122" s="326">
        <v>396.83</v>
      </c>
      <c r="I122" s="326">
        <v>1157</v>
      </c>
      <c r="J122" s="326">
        <v>1145.76</v>
      </c>
      <c r="K122" s="326">
        <v>0</v>
      </c>
      <c r="L122" s="326">
        <v>0</v>
      </c>
      <c r="M122" s="326">
        <v>0</v>
      </c>
      <c r="N122" s="326">
        <v>0</v>
      </c>
      <c r="O122" s="326">
        <v>0</v>
      </c>
      <c r="P122" s="326">
        <v>0</v>
      </c>
      <c r="Q122" s="326">
        <v>882.5</v>
      </c>
      <c r="R122" s="326">
        <v>807.5</v>
      </c>
      <c r="S122" s="326">
        <v>62</v>
      </c>
      <c r="T122" s="326">
        <v>33</v>
      </c>
      <c r="U122" s="326">
        <v>4920.5</v>
      </c>
      <c r="V122" s="326">
        <v>4199.5470000000005</v>
      </c>
      <c r="W122" s="326">
        <v>1061.717</v>
      </c>
      <c r="X122" s="326">
        <v>300</v>
      </c>
      <c r="Y122" s="326">
        <v>0</v>
      </c>
      <c r="Z122" s="326">
        <v>0</v>
      </c>
      <c r="AA122" s="326">
        <v>0</v>
      </c>
      <c r="AB122" s="326">
        <v>0</v>
      </c>
      <c r="AC122" s="326">
        <v>0</v>
      </c>
      <c r="AD122" s="326">
        <v>0</v>
      </c>
      <c r="AE122" s="326">
        <v>0</v>
      </c>
      <c r="AF122" s="326">
        <v>0</v>
      </c>
      <c r="AG122" s="326">
        <v>0</v>
      </c>
      <c r="AH122" s="326">
        <v>0</v>
      </c>
      <c r="AI122" s="326">
        <v>0</v>
      </c>
      <c r="AJ122" s="326">
        <v>0</v>
      </c>
      <c r="AK122" s="326">
        <v>1061.717</v>
      </c>
      <c r="AL122" s="326">
        <v>300</v>
      </c>
    </row>
    <row r="123" spans="1:38" s="291" customFormat="1" ht="17.25" customHeight="1">
      <c r="A123" s="262">
        <v>113</v>
      </c>
      <c r="B123" s="327" t="s">
        <v>1136</v>
      </c>
      <c r="C123" s="326">
        <v>7500</v>
      </c>
      <c r="D123" s="326">
        <v>7199.407999999999</v>
      </c>
      <c r="E123" s="326">
        <v>3117</v>
      </c>
      <c r="F123" s="326">
        <v>3116.965</v>
      </c>
      <c r="G123" s="326">
        <v>763</v>
      </c>
      <c r="H123" s="326">
        <v>756.048</v>
      </c>
      <c r="I123" s="326">
        <v>1394</v>
      </c>
      <c r="J123" s="326">
        <v>1362.505</v>
      </c>
      <c r="K123" s="326">
        <v>0</v>
      </c>
      <c r="L123" s="326">
        <v>0</v>
      </c>
      <c r="M123" s="326">
        <v>0</v>
      </c>
      <c r="N123" s="326">
        <v>0</v>
      </c>
      <c r="O123" s="326">
        <v>30</v>
      </c>
      <c r="P123" s="326">
        <v>23.4</v>
      </c>
      <c r="Q123" s="326">
        <v>754</v>
      </c>
      <c r="R123" s="326">
        <v>639</v>
      </c>
      <c r="S123" s="326">
        <v>1333.968</v>
      </c>
      <c r="T123" s="326">
        <v>1193.458</v>
      </c>
      <c r="U123" s="326">
        <v>7391.968</v>
      </c>
      <c r="V123" s="326">
        <v>7091.376</v>
      </c>
      <c r="W123" s="326">
        <v>1200</v>
      </c>
      <c r="X123" s="326">
        <v>1199.49</v>
      </c>
      <c r="Y123" s="326">
        <v>0</v>
      </c>
      <c r="Z123" s="326">
        <v>0</v>
      </c>
      <c r="AA123" s="326">
        <v>0</v>
      </c>
      <c r="AB123" s="326">
        <v>0</v>
      </c>
      <c r="AC123" s="326">
        <v>0</v>
      </c>
      <c r="AD123" s="326">
        <v>0</v>
      </c>
      <c r="AE123" s="326">
        <v>0</v>
      </c>
      <c r="AF123" s="326">
        <v>0</v>
      </c>
      <c r="AG123" s="326">
        <v>0</v>
      </c>
      <c r="AH123" s="326">
        <v>0</v>
      </c>
      <c r="AI123" s="326">
        <v>1091.968</v>
      </c>
      <c r="AJ123" s="326">
        <v>1091.458</v>
      </c>
      <c r="AK123" s="326">
        <v>1200</v>
      </c>
      <c r="AL123" s="326">
        <v>1199.49</v>
      </c>
    </row>
    <row r="124" spans="1:38" s="291" customFormat="1" ht="24" customHeight="1">
      <c r="A124" s="472" t="s">
        <v>456</v>
      </c>
      <c r="B124" s="472"/>
      <c r="C124" s="263">
        <f aca="true" t="shared" si="6" ref="C124:AL124">SUM(C11:C123)</f>
        <v>5291274.984499998</v>
      </c>
      <c r="D124" s="263">
        <f t="shared" si="6"/>
        <v>4553234.449899999</v>
      </c>
      <c r="E124" s="263">
        <f t="shared" si="6"/>
        <v>1334485.8651999997</v>
      </c>
      <c r="F124" s="263">
        <f t="shared" si="6"/>
        <v>1275727.1069000005</v>
      </c>
      <c r="G124" s="263">
        <f t="shared" si="6"/>
        <v>286102.28179999994</v>
      </c>
      <c r="H124" s="263">
        <f t="shared" si="6"/>
        <v>264194.39499999996</v>
      </c>
      <c r="I124" s="263">
        <f t="shared" si="6"/>
        <v>1344130.3650999996</v>
      </c>
      <c r="J124" s="263">
        <f t="shared" si="6"/>
        <v>1210945.0080000004</v>
      </c>
      <c r="K124" s="263">
        <f t="shared" si="6"/>
        <v>0</v>
      </c>
      <c r="L124" s="263">
        <f t="shared" si="6"/>
        <v>0</v>
      </c>
      <c r="M124" s="263">
        <f t="shared" si="6"/>
        <v>823336.1652</v>
      </c>
      <c r="N124" s="263">
        <f t="shared" si="6"/>
        <v>816364.0160000001</v>
      </c>
      <c r="O124" s="263">
        <f t="shared" si="6"/>
        <v>341950.80130000005</v>
      </c>
      <c r="P124" s="263">
        <f t="shared" si="6"/>
        <v>324969.15100000007</v>
      </c>
      <c r="Q124" s="263">
        <f t="shared" si="6"/>
        <v>250722.30030000003</v>
      </c>
      <c r="R124" s="263">
        <f t="shared" si="6"/>
        <v>221212.65000000002</v>
      </c>
      <c r="S124" s="263">
        <f t="shared" si="6"/>
        <v>410800.1953999999</v>
      </c>
      <c r="T124" s="263">
        <f t="shared" si="6"/>
        <v>237094.19199999998</v>
      </c>
      <c r="U124" s="263">
        <f t="shared" si="6"/>
        <v>4791527.9743</v>
      </c>
      <c r="V124" s="263">
        <f t="shared" si="6"/>
        <v>4350506.518900001</v>
      </c>
      <c r="W124" s="263">
        <f t="shared" si="6"/>
        <v>1555860.5898999998</v>
      </c>
      <c r="X124" s="263">
        <f t="shared" si="6"/>
        <v>1181291.181</v>
      </c>
      <c r="Y124" s="263">
        <f t="shared" si="6"/>
        <v>10333.4</v>
      </c>
      <c r="Z124" s="263">
        <f t="shared" si="6"/>
        <v>2482.2</v>
      </c>
      <c r="AA124" s="263">
        <f t="shared" si="6"/>
        <v>1500</v>
      </c>
      <c r="AB124" s="263">
        <f t="shared" si="6"/>
        <v>1500</v>
      </c>
      <c r="AC124" s="263">
        <f t="shared" si="6"/>
        <v>-365459.3621</v>
      </c>
      <c r="AD124" s="263">
        <f t="shared" si="6"/>
        <v>-402356.9320000001</v>
      </c>
      <c r="AE124" s="263">
        <f t="shared" si="6"/>
        <v>-442400.79250000004</v>
      </c>
      <c r="AF124" s="263">
        <f t="shared" si="6"/>
        <v>-361451.20300000004</v>
      </c>
      <c r="AG124" s="263">
        <f t="shared" si="6"/>
        <v>0</v>
      </c>
      <c r="AH124" s="263">
        <f t="shared" si="6"/>
        <v>0</v>
      </c>
      <c r="AI124" s="263">
        <f t="shared" si="6"/>
        <v>260086.8250999999</v>
      </c>
      <c r="AJ124" s="263">
        <f t="shared" si="6"/>
        <v>218737.31500000003</v>
      </c>
      <c r="AK124" s="263">
        <f t="shared" si="6"/>
        <v>759833.8352999999</v>
      </c>
      <c r="AL124" s="263">
        <f t="shared" si="6"/>
        <v>421465.24600000004</v>
      </c>
    </row>
    <row r="125" ht="16.5" customHeight="1">
      <c r="AK125" s="255"/>
    </row>
    <row r="126" ht="16.5" customHeight="1">
      <c r="AK126" s="255"/>
    </row>
    <row r="127" ht="16.5" customHeight="1">
      <c r="AK127" s="255"/>
    </row>
    <row r="128" spans="37:38" ht="16.5" customHeight="1">
      <c r="AK128" s="255"/>
      <c r="AL128" s="255"/>
    </row>
    <row r="129" ht="16.5" customHeight="1">
      <c r="AK129" s="255"/>
    </row>
    <row r="130" ht="16.5" customHeight="1">
      <c r="AK130" s="255"/>
    </row>
    <row r="131" ht="16.5" customHeight="1">
      <c r="AK131" s="255"/>
    </row>
    <row r="132" ht="16.5" customHeight="1">
      <c r="AK132" s="255"/>
    </row>
    <row r="133" ht="16.5" customHeight="1">
      <c r="AK133" s="255"/>
    </row>
    <row r="134" ht="16.5" customHeight="1">
      <c r="AK134" s="255"/>
    </row>
    <row r="135" ht="16.5" customHeight="1">
      <c r="AK135" s="255"/>
    </row>
    <row r="136" ht="16.5" customHeight="1">
      <c r="AK136" s="255"/>
    </row>
    <row r="137" ht="16.5" customHeight="1">
      <c r="AK137" s="255"/>
    </row>
    <row r="138" ht="16.5" customHeight="1">
      <c r="AK138" s="255"/>
    </row>
    <row r="139" ht="16.5" customHeight="1">
      <c r="AK139" s="255"/>
    </row>
    <row r="140" ht="16.5" customHeight="1">
      <c r="AK140" s="255"/>
    </row>
    <row r="141" ht="16.5" customHeight="1">
      <c r="AK141" s="255"/>
    </row>
    <row r="142" ht="16.5" customHeight="1">
      <c r="AK142" s="255"/>
    </row>
    <row r="143" ht="16.5" customHeight="1">
      <c r="AK143" s="255"/>
    </row>
    <row r="144" ht="16.5" customHeight="1">
      <c r="AK144" s="255"/>
    </row>
    <row r="145" ht="16.5" customHeight="1">
      <c r="AK145" s="255"/>
    </row>
    <row r="146" ht="16.5" customHeight="1">
      <c r="AK146" s="255"/>
    </row>
    <row r="147" ht="16.5" customHeight="1">
      <c r="AK147" s="255"/>
    </row>
    <row r="148" ht="16.5" customHeight="1">
      <c r="AK148" s="255"/>
    </row>
    <row r="149" ht="16.5" customHeight="1">
      <c r="AK149" s="255"/>
    </row>
    <row r="150" ht="16.5" customHeight="1">
      <c r="AK150" s="255"/>
    </row>
    <row r="151" ht="16.5" customHeight="1">
      <c r="AK151" s="255"/>
    </row>
    <row r="152" ht="16.5" customHeight="1">
      <c r="AK152" s="255"/>
    </row>
    <row r="153" ht="16.5" customHeight="1">
      <c r="AK153" s="255"/>
    </row>
    <row r="154" ht="16.5" customHeight="1">
      <c r="AK154" s="255"/>
    </row>
    <row r="155" ht="16.5" customHeight="1">
      <c r="AK155" s="255"/>
    </row>
    <row r="156" ht="16.5" customHeight="1">
      <c r="AK156" s="255"/>
    </row>
    <row r="157" ht="16.5" customHeight="1">
      <c r="AK157" s="255"/>
    </row>
    <row r="158" ht="16.5" customHeight="1">
      <c r="AK158" s="255"/>
    </row>
    <row r="159" ht="16.5" customHeight="1">
      <c r="AK159" s="255"/>
    </row>
    <row r="160" ht="16.5" customHeight="1">
      <c r="AK160" s="255"/>
    </row>
    <row r="161" ht="16.5" customHeight="1">
      <c r="AK161" s="255"/>
    </row>
    <row r="162" ht="16.5" customHeight="1">
      <c r="AK162" s="255"/>
    </row>
    <row r="163" ht="16.5" customHeight="1">
      <c r="AK163" s="255"/>
    </row>
    <row r="164" ht="16.5" customHeight="1">
      <c r="AK164" s="255"/>
    </row>
    <row r="165" ht="16.5" customHeight="1">
      <c r="AK165" s="255"/>
    </row>
    <row r="166" ht="16.5" customHeight="1">
      <c r="AK166" s="255"/>
    </row>
    <row r="167" ht="16.5" customHeight="1">
      <c r="AK167" s="255"/>
    </row>
    <row r="168" ht="16.5" customHeight="1">
      <c r="AK168" s="255"/>
    </row>
    <row r="169" ht="16.5" customHeight="1">
      <c r="AK169" s="255"/>
    </row>
    <row r="170" ht="16.5" customHeight="1">
      <c r="AK170" s="255"/>
    </row>
    <row r="171" ht="16.5" customHeight="1">
      <c r="AK171" s="255"/>
    </row>
    <row r="172" ht="16.5" customHeight="1">
      <c r="AK172" s="255"/>
    </row>
    <row r="173" ht="16.5" customHeight="1">
      <c r="AK173" s="255"/>
    </row>
    <row r="174" ht="16.5" customHeight="1">
      <c r="AK174" s="255"/>
    </row>
    <row r="175" ht="16.5" customHeight="1">
      <c r="AK175" s="255"/>
    </row>
    <row r="176" ht="16.5" customHeight="1">
      <c r="AK176" s="255"/>
    </row>
    <row r="177" ht="16.5" customHeight="1">
      <c r="AK177" s="255"/>
    </row>
    <row r="178" ht="16.5" customHeight="1">
      <c r="AK178" s="255"/>
    </row>
    <row r="179" ht="16.5" customHeight="1">
      <c r="AK179" s="255"/>
    </row>
    <row r="180" ht="16.5" customHeight="1">
      <c r="AK180" s="255"/>
    </row>
    <row r="181" ht="16.5" customHeight="1">
      <c r="AK181" s="255"/>
    </row>
    <row r="182" ht="16.5" customHeight="1">
      <c r="AK182" s="255"/>
    </row>
    <row r="183" ht="16.5" customHeight="1">
      <c r="AK183" s="255"/>
    </row>
    <row r="184" ht="16.5" customHeight="1">
      <c r="AK184" s="255"/>
    </row>
    <row r="185" ht="16.5" customHeight="1">
      <c r="AK185" s="255"/>
    </row>
    <row r="186" ht="16.5" customHeight="1">
      <c r="AK186" s="255"/>
    </row>
    <row r="187" ht="16.5" customHeight="1">
      <c r="AK187" s="255"/>
    </row>
    <row r="188" ht="16.5" customHeight="1">
      <c r="AK188" s="255"/>
    </row>
    <row r="189" ht="16.5" customHeight="1">
      <c r="AK189" s="255"/>
    </row>
    <row r="190" ht="16.5" customHeight="1">
      <c r="AK190" s="255"/>
    </row>
    <row r="191" ht="16.5" customHeight="1">
      <c r="AK191" s="255"/>
    </row>
    <row r="192" ht="16.5" customHeight="1">
      <c r="AK192" s="255"/>
    </row>
    <row r="193" ht="16.5" customHeight="1">
      <c r="AK193" s="255"/>
    </row>
    <row r="194" ht="16.5" customHeight="1">
      <c r="AK194" s="255"/>
    </row>
    <row r="195" ht="16.5" customHeight="1">
      <c r="AK195" s="255"/>
    </row>
    <row r="196" ht="16.5" customHeight="1">
      <c r="AK196" s="255"/>
    </row>
    <row r="197" ht="16.5" customHeight="1">
      <c r="AK197" s="255"/>
    </row>
    <row r="198" ht="16.5" customHeight="1">
      <c r="AK198" s="255"/>
    </row>
    <row r="199" ht="16.5" customHeight="1">
      <c r="AK199" s="255"/>
    </row>
    <row r="200" ht="16.5" customHeight="1">
      <c r="AK200" s="255"/>
    </row>
    <row r="201" ht="16.5" customHeight="1">
      <c r="AK201" s="255"/>
    </row>
    <row r="202" ht="16.5" customHeight="1">
      <c r="AK202" s="255"/>
    </row>
    <row r="203" ht="16.5" customHeight="1">
      <c r="AK203" s="255"/>
    </row>
    <row r="204" ht="16.5" customHeight="1">
      <c r="AK204" s="255"/>
    </row>
    <row r="205" ht="16.5" customHeight="1">
      <c r="AK205" s="255"/>
    </row>
    <row r="206" ht="16.5" customHeight="1">
      <c r="AK206" s="255"/>
    </row>
    <row r="207" ht="16.5" customHeight="1">
      <c r="AK207" s="255"/>
    </row>
    <row r="208" ht="16.5" customHeight="1">
      <c r="AK208" s="255"/>
    </row>
    <row r="209" ht="16.5" customHeight="1">
      <c r="AK209" s="255"/>
    </row>
    <row r="210" ht="16.5" customHeight="1">
      <c r="AK210" s="255"/>
    </row>
    <row r="211" ht="16.5" customHeight="1">
      <c r="AK211" s="255"/>
    </row>
    <row r="212" ht="16.5" customHeight="1">
      <c r="AK212" s="255"/>
    </row>
    <row r="213" ht="16.5" customHeight="1">
      <c r="AK213" s="255"/>
    </row>
    <row r="214" ht="16.5" customHeight="1">
      <c r="AK214" s="255"/>
    </row>
    <row r="215" ht="16.5" customHeight="1">
      <c r="AK215" s="255"/>
    </row>
    <row r="216" ht="16.5" customHeight="1">
      <c r="AK216" s="255"/>
    </row>
    <row r="217" ht="16.5" customHeight="1">
      <c r="AK217" s="255"/>
    </row>
    <row r="218" ht="16.5" customHeight="1">
      <c r="AK218" s="255"/>
    </row>
    <row r="219" ht="16.5" customHeight="1">
      <c r="AK219" s="255"/>
    </row>
    <row r="220" ht="16.5" customHeight="1">
      <c r="AK220" s="255"/>
    </row>
    <row r="221" ht="16.5" customHeight="1">
      <c r="AK221" s="255"/>
    </row>
    <row r="222" ht="16.5" customHeight="1">
      <c r="AK222" s="255"/>
    </row>
    <row r="223" ht="16.5" customHeight="1">
      <c r="AK223" s="255"/>
    </row>
    <row r="224" ht="16.5" customHeight="1">
      <c r="AK224" s="255"/>
    </row>
    <row r="225" ht="16.5" customHeight="1">
      <c r="AK225" s="255"/>
    </row>
    <row r="226" ht="16.5" customHeight="1">
      <c r="AK226" s="255"/>
    </row>
    <row r="227" ht="16.5" customHeight="1">
      <c r="AK227" s="255"/>
    </row>
    <row r="228" spans="1:37" s="267" customFormat="1" ht="22.5" customHeight="1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5"/>
    </row>
    <row r="229" spans="1:36" s="267" customFormat="1" ht="24" customHeight="1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</row>
    <row r="230" spans="1:36" s="267" customFormat="1" ht="17.25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  <c r="AJ230" s="252"/>
    </row>
    <row r="231" spans="1:36" s="267" customFormat="1" ht="17.25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  <c r="AJ231" s="252"/>
    </row>
    <row r="233" ht="45" customHeight="1"/>
  </sheetData>
  <sheetProtection/>
  <mergeCells count="35">
    <mergeCell ref="A4:A9"/>
    <mergeCell ref="B4:B9"/>
    <mergeCell ref="C4:D8"/>
    <mergeCell ref="E4:Z4"/>
    <mergeCell ref="M7:N8"/>
    <mergeCell ref="AI5:AJ8"/>
    <mergeCell ref="AK5:AL8"/>
    <mergeCell ref="E6:T6"/>
    <mergeCell ref="W6:AB6"/>
    <mergeCell ref="AC6:AD8"/>
    <mergeCell ref="A1:N1"/>
    <mergeCell ref="A2:N2"/>
    <mergeCell ref="K3:L3"/>
    <mergeCell ref="M3:N3"/>
    <mergeCell ref="U3:V3"/>
    <mergeCell ref="Q7:R8"/>
    <mergeCell ref="S7:T8"/>
    <mergeCell ref="W7:X8"/>
    <mergeCell ref="Y7:Z8"/>
    <mergeCell ref="AA7:AB8"/>
    <mergeCell ref="AK4:AL4"/>
    <mergeCell ref="E5:T5"/>
    <mergeCell ref="U5:V8"/>
    <mergeCell ref="W5:AB5"/>
    <mergeCell ref="AC5:AH5"/>
    <mergeCell ref="E8:F8"/>
    <mergeCell ref="G8:H8"/>
    <mergeCell ref="AE8:AF8"/>
    <mergeCell ref="AG8:AH8"/>
    <mergeCell ref="A124:B124"/>
    <mergeCell ref="AE6:AH7"/>
    <mergeCell ref="E7:H7"/>
    <mergeCell ref="I7:J8"/>
    <mergeCell ref="K7:L8"/>
    <mergeCell ref="O7:P8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8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8.796875" defaultRowHeight="15"/>
  <cols>
    <col min="1" max="1" width="4" style="226" customWidth="1"/>
    <col min="2" max="2" width="15.5" style="226" customWidth="1"/>
    <col min="3" max="3" width="11.5" style="226" customWidth="1"/>
    <col min="4" max="4" width="11" style="226" customWidth="1"/>
    <col min="5" max="5" width="9.8984375" style="226" customWidth="1"/>
    <col min="6" max="6" width="10.8984375" style="226" customWidth="1"/>
    <col min="7" max="7" width="11.09765625" style="226" customWidth="1"/>
    <col min="8" max="9" width="10" style="226" customWidth="1"/>
    <col min="10" max="10" width="11.59765625" style="226" customWidth="1"/>
    <col min="11" max="11" width="10.59765625" style="226" customWidth="1"/>
    <col min="12" max="12" width="9.19921875" style="226" customWidth="1"/>
    <col min="13" max="13" width="13.19921875" style="226" customWidth="1"/>
    <col min="14" max="14" width="10.3984375" style="226" customWidth="1"/>
    <col min="15" max="15" width="11.3984375" style="226" customWidth="1"/>
    <col min="16" max="16" width="12.09765625" style="226" customWidth="1"/>
    <col min="17" max="17" width="10.69921875" style="226" customWidth="1"/>
    <col min="18" max="18" width="10.5" style="226" customWidth="1"/>
    <col min="19" max="19" width="13" style="226" customWidth="1"/>
    <col min="20" max="20" width="8" style="226" customWidth="1"/>
    <col min="21" max="21" width="14.09765625" style="226" customWidth="1"/>
    <col min="22" max="22" width="14.3984375" style="226" customWidth="1"/>
    <col min="23" max="23" width="12.69921875" style="226" customWidth="1"/>
    <col min="24" max="24" width="12.19921875" style="226" customWidth="1"/>
    <col min="25" max="25" width="10.19921875" style="226" customWidth="1"/>
    <col min="26" max="26" width="9.3984375" style="226" customWidth="1"/>
    <col min="27" max="27" width="6.5" style="226" customWidth="1"/>
    <col min="28" max="28" width="5.8984375" style="226" customWidth="1"/>
    <col min="29" max="29" width="10" style="226" customWidth="1"/>
    <col min="30" max="30" width="11.3984375" style="226" customWidth="1"/>
    <col min="31" max="31" width="13.09765625" style="226" customWidth="1"/>
    <col min="32" max="32" width="12.09765625" style="226" customWidth="1"/>
    <col min="33" max="33" width="10.5" style="226" customWidth="1"/>
    <col min="34" max="34" width="11" style="226" customWidth="1"/>
    <col min="35" max="35" width="9.3984375" style="226" customWidth="1"/>
    <col min="36" max="36" width="10.3984375" style="226" customWidth="1"/>
    <col min="37" max="37" width="12.3984375" style="226" customWidth="1"/>
    <col min="38" max="38" width="11.09765625" style="226" customWidth="1"/>
    <col min="39" max="16384" width="9" style="226" customWidth="1"/>
  </cols>
  <sheetData>
    <row r="1" spans="1:36" ht="12.75" customHeight="1">
      <c r="A1" s="502" t="s">
        <v>947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</row>
    <row r="2" spans="1:36" ht="48" customHeight="1">
      <c r="A2" s="573" t="s">
        <v>948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227"/>
      <c r="P2" s="227"/>
      <c r="Q2" s="227"/>
      <c r="R2" s="227"/>
      <c r="S2" s="227"/>
      <c r="T2" s="227"/>
      <c r="U2" s="227"/>
      <c r="V2" s="227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2:22" ht="9.75" customHeight="1">
      <c r="B3" s="229"/>
      <c r="M3" s="574"/>
      <c r="N3" s="574"/>
      <c r="U3" s="575"/>
      <c r="V3" s="575"/>
    </row>
    <row r="4" spans="1:38" ht="18" customHeight="1">
      <c r="A4" s="576" t="s">
        <v>949</v>
      </c>
      <c r="B4" s="577" t="s">
        <v>211</v>
      </c>
      <c r="C4" s="564" t="s">
        <v>950</v>
      </c>
      <c r="D4" s="564"/>
      <c r="E4" s="565" t="s">
        <v>951</v>
      </c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232"/>
      <c r="X4" s="232"/>
      <c r="Y4" s="232"/>
      <c r="Z4" s="233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578"/>
      <c r="AL4" s="578"/>
    </row>
    <row r="5" spans="1:38" ht="24.75" customHeight="1">
      <c r="A5" s="576"/>
      <c r="B5" s="577"/>
      <c r="C5" s="564"/>
      <c r="D5" s="564"/>
      <c r="E5" s="491" t="s">
        <v>952</v>
      </c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3"/>
      <c r="U5" s="571" t="s">
        <v>215</v>
      </c>
      <c r="V5" s="571"/>
      <c r="W5" s="534" t="s">
        <v>865</v>
      </c>
      <c r="X5" s="579"/>
      <c r="Y5" s="579"/>
      <c r="Z5" s="579"/>
      <c r="AA5" s="579"/>
      <c r="AB5" s="535"/>
      <c r="AC5" s="572" t="s">
        <v>345</v>
      </c>
      <c r="AD5" s="572"/>
      <c r="AE5" s="572"/>
      <c r="AF5" s="572"/>
      <c r="AG5" s="572"/>
      <c r="AH5" s="572"/>
      <c r="AI5" s="572" t="s">
        <v>218</v>
      </c>
      <c r="AJ5" s="572"/>
      <c r="AK5" s="571" t="s">
        <v>219</v>
      </c>
      <c r="AL5" s="571"/>
    </row>
    <row r="6" spans="1:38" ht="18.75" customHeight="1">
      <c r="A6" s="576"/>
      <c r="B6" s="577"/>
      <c r="C6" s="564"/>
      <c r="D6" s="564"/>
      <c r="E6" s="491" t="s">
        <v>953</v>
      </c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3"/>
      <c r="U6" s="571"/>
      <c r="V6" s="571"/>
      <c r="W6" s="572" t="s">
        <v>954</v>
      </c>
      <c r="X6" s="572"/>
      <c r="Y6" s="572"/>
      <c r="Z6" s="572"/>
      <c r="AA6" s="572"/>
      <c r="AB6" s="572"/>
      <c r="AC6" s="572" t="s">
        <v>222</v>
      </c>
      <c r="AD6" s="572"/>
      <c r="AE6" s="572" t="s">
        <v>223</v>
      </c>
      <c r="AF6" s="572"/>
      <c r="AG6" s="572"/>
      <c r="AH6" s="572"/>
      <c r="AI6" s="572"/>
      <c r="AJ6" s="572"/>
      <c r="AK6" s="571"/>
      <c r="AL6" s="571"/>
    </row>
    <row r="7" spans="1:38" ht="20.25" customHeight="1">
      <c r="A7" s="576"/>
      <c r="B7" s="577"/>
      <c r="C7" s="564"/>
      <c r="D7" s="564"/>
      <c r="E7" s="534" t="s">
        <v>955</v>
      </c>
      <c r="F7" s="579"/>
      <c r="G7" s="579"/>
      <c r="H7" s="535"/>
      <c r="I7" s="567" t="s">
        <v>350</v>
      </c>
      <c r="J7" s="568"/>
      <c r="K7" s="567" t="s">
        <v>351</v>
      </c>
      <c r="L7" s="568"/>
      <c r="M7" s="567" t="s">
        <v>352</v>
      </c>
      <c r="N7" s="568"/>
      <c r="O7" s="567" t="s">
        <v>353</v>
      </c>
      <c r="P7" s="568"/>
      <c r="Q7" s="567" t="s">
        <v>354</v>
      </c>
      <c r="R7" s="568"/>
      <c r="S7" s="567" t="s">
        <v>347</v>
      </c>
      <c r="T7" s="568"/>
      <c r="U7" s="571"/>
      <c r="V7" s="571"/>
      <c r="W7" s="494" t="s">
        <v>355</v>
      </c>
      <c r="X7" s="495"/>
      <c r="Y7" s="494" t="s">
        <v>356</v>
      </c>
      <c r="Z7" s="495"/>
      <c r="AA7" s="498" t="s">
        <v>357</v>
      </c>
      <c r="AB7" s="499"/>
      <c r="AC7" s="572"/>
      <c r="AD7" s="572"/>
      <c r="AE7" s="572"/>
      <c r="AF7" s="572"/>
      <c r="AG7" s="572"/>
      <c r="AH7" s="572"/>
      <c r="AI7" s="572"/>
      <c r="AJ7" s="572"/>
      <c r="AK7" s="571"/>
      <c r="AL7" s="571"/>
    </row>
    <row r="8" spans="1:38" ht="77.25" customHeight="1">
      <c r="A8" s="576"/>
      <c r="B8" s="577"/>
      <c r="C8" s="564"/>
      <c r="D8" s="564"/>
      <c r="E8" s="517" t="s">
        <v>956</v>
      </c>
      <c r="F8" s="518"/>
      <c r="G8" s="517" t="s">
        <v>359</v>
      </c>
      <c r="H8" s="518"/>
      <c r="I8" s="569"/>
      <c r="J8" s="570"/>
      <c r="K8" s="569"/>
      <c r="L8" s="570"/>
      <c r="M8" s="569"/>
      <c r="N8" s="570"/>
      <c r="O8" s="569"/>
      <c r="P8" s="570"/>
      <c r="Q8" s="569"/>
      <c r="R8" s="570"/>
      <c r="S8" s="569"/>
      <c r="T8" s="570"/>
      <c r="U8" s="571"/>
      <c r="V8" s="571"/>
      <c r="W8" s="496"/>
      <c r="X8" s="497"/>
      <c r="Y8" s="496"/>
      <c r="Z8" s="497"/>
      <c r="AA8" s="500"/>
      <c r="AB8" s="501"/>
      <c r="AC8" s="572"/>
      <c r="AD8" s="572"/>
      <c r="AE8" s="572" t="s">
        <v>809</v>
      </c>
      <c r="AF8" s="572"/>
      <c r="AG8" s="572" t="s">
        <v>241</v>
      </c>
      <c r="AH8" s="572"/>
      <c r="AI8" s="572"/>
      <c r="AJ8" s="572"/>
      <c r="AK8" s="571"/>
      <c r="AL8" s="571"/>
    </row>
    <row r="9" spans="1:38" ht="28.5" customHeight="1">
      <c r="A9" s="576"/>
      <c r="B9" s="577"/>
      <c r="C9" s="118" t="s">
        <v>243</v>
      </c>
      <c r="D9" s="118" t="s">
        <v>244</v>
      </c>
      <c r="E9" s="118" t="s">
        <v>243</v>
      </c>
      <c r="F9" s="118" t="s">
        <v>244</v>
      </c>
      <c r="G9" s="118" t="s">
        <v>243</v>
      </c>
      <c r="H9" s="118" t="s">
        <v>244</v>
      </c>
      <c r="I9" s="118" t="s">
        <v>243</v>
      </c>
      <c r="J9" s="118" t="s">
        <v>244</v>
      </c>
      <c r="K9" s="118" t="s">
        <v>243</v>
      </c>
      <c r="L9" s="118" t="s">
        <v>244</v>
      </c>
      <c r="M9" s="118" t="s">
        <v>243</v>
      </c>
      <c r="N9" s="118" t="s">
        <v>244</v>
      </c>
      <c r="O9" s="118" t="s">
        <v>243</v>
      </c>
      <c r="P9" s="118" t="s">
        <v>244</v>
      </c>
      <c r="Q9" s="118" t="s">
        <v>243</v>
      </c>
      <c r="R9" s="118" t="s">
        <v>244</v>
      </c>
      <c r="S9" s="118" t="s">
        <v>243</v>
      </c>
      <c r="T9" s="118" t="s">
        <v>244</v>
      </c>
      <c r="U9" s="118" t="s">
        <v>243</v>
      </c>
      <c r="V9" s="118" t="s">
        <v>244</v>
      </c>
      <c r="W9" s="118" t="s">
        <v>243</v>
      </c>
      <c r="X9" s="118" t="s">
        <v>244</v>
      </c>
      <c r="Y9" s="118" t="s">
        <v>243</v>
      </c>
      <c r="Z9" s="118" t="s">
        <v>244</v>
      </c>
      <c r="AA9" s="221" t="s">
        <v>243</v>
      </c>
      <c r="AB9" s="221" t="s">
        <v>244</v>
      </c>
      <c r="AC9" s="118" t="s">
        <v>243</v>
      </c>
      <c r="AD9" s="118" t="s">
        <v>244</v>
      </c>
      <c r="AE9" s="118" t="s">
        <v>243</v>
      </c>
      <c r="AF9" s="118" t="s">
        <v>244</v>
      </c>
      <c r="AG9" s="118" t="s">
        <v>243</v>
      </c>
      <c r="AH9" s="118" t="s">
        <v>244</v>
      </c>
      <c r="AI9" s="118" t="s">
        <v>243</v>
      </c>
      <c r="AJ9" s="118" t="s">
        <v>244</v>
      </c>
      <c r="AK9" s="118" t="s">
        <v>243</v>
      </c>
      <c r="AL9" s="118" t="s">
        <v>244</v>
      </c>
    </row>
    <row r="10" spans="1:38" ht="14.25" customHeight="1">
      <c r="A10" s="230"/>
      <c r="B10" s="231">
        <v>1</v>
      </c>
      <c r="C10" s="231">
        <v>2</v>
      </c>
      <c r="D10" s="231">
        <v>3</v>
      </c>
      <c r="E10" s="231">
        <v>4</v>
      </c>
      <c r="F10" s="231">
        <v>5</v>
      </c>
      <c r="G10" s="231">
        <v>6</v>
      </c>
      <c r="H10" s="231">
        <v>7</v>
      </c>
      <c r="I10" s="231">
        <v>8</v>
      </c>
      <c r="J10" s="231">
        <v>9</v>
      </c>
      <c r="K10" s="231">
        <v>10</v>
      </c>
      <c r="L10" s="231">
        <v>11</v>
      </c>
      <c r="M10" s="231">
        <v>12</v>
      </c>
      <c r="N10" s="231">
        <v>13</v>
      </c>
      <c r="O10" s="231">
        <v>14</v>
      </c>
      <c r="P10" s="231">
        <v>15</v>
      </c>
      <c r="Q10" s="231">
        <v>16</v>
      </c>
      <c r="R10" s="231">
        <v>17</v>
      </c>
      <c r="S10" s="231">
        <v>18</v>
      </c>
      <c r="T10" s="231">
        <v>19</v>
      </c>
      <c r="U10" s="231">
        <v>20</v>
      </c>
      <c r="V10" s="231">
        <v>21</v>
      </c>
      <c r="W10" s="231">
        <v>22</v>
      </c>
      <c r="X10" s="231">
        <v>23</v>
      </c>
      <c r="Y10" s="231">
        <v>24</v>
      </c>
      <c r="Z10" s="231">
        <v>25</v>
      </c>
      <c r="AA10" s="231">
        <v>26</v>
      </c>
      <c r="AB10" s="231">
        <v>27</v>
      </c>
      <c r="AC10" s="231">
        <v>28</v>
      </c>
      <c r="AD10" s="231">
        <v>29</v>
      </c>
      <c r="AE10" s="231">
        <v>30</v>
      </c>
      <c r="AF10" s="231">
        <v>31</v>
      </c>
      <c r="AG10" s="231">
        <v>32</v>
      </c>
      <c r="AH10" s="231">
        <v>33</v>
      </c>
      <c r="AI10" s="231">
        <v>34</v>
      </c>
      <c r="AJ10" s="231">
        <v>35</v>
      </c>
      <c r="AK10" s="231">
        <v>36</v>
      </c>
      <c r="AL10" s="231">
        <v>37</v>
      </c>
    </row>
    <row r="11" spans="1:38" s="111" customFormat="1" ht="17.25" customHeight="1">
      <c r="A11" s="222">
        <v>1</v>
      </c>
      <c r="B11" s="235" t="s">
        <v>957</v>
      </c>
      <c r="C11" s="236">
        <f>U11+AK11+AI11</f>
        <v>814658.4</v>
      </c>
      <c r="D11" s="236">
        <f>V11+AL11</f>
        <v>779438.3</v>
      </c>
      <c r="E11" s="237">
        <v>167854.2</v>
      </c>
      <c r="F11" s="236">
        <v>165722.1</v>
      </c>
      <c r="G11" s="236">
        <v>37853.8</v>
      </c>
      <c r="H11" s="236">
        <v>37022.3</v>
      </c>
      <c r="I11" s="236">
        <v>171756</v>
      </c>
      <c r="J11" s="236">
        <v>160550.1</v>
      </c>
      <c r="K11" s="236">
        <v>0</v>
      </c>
      <c r="L11" s="236">
        <v>0</v>
      </c>
      <c r="M11" s="236">
        <v>283764</v>
      </c>
      <c r="N11" s="236">
        <v>274762.9</v>
      </c>
      <c r="O11" s="236">
        <v>22980</v>
      </c>
      <c r="P11" s="236">
        <v>34565.6</v>
      </c>
      <c r="Q11" s="236">
        <v>26690</v>
      </c>
      <c r="R11" s="236">
        <v>26437</v>
      </c>
      <c r="S11" s="236">
        <v>12029.5</v>
      </c>
      <c r="T11" s="236">
        <v>3476.4</v>
      </c>
      <c r="U11" s="236">
        <f aca="true" t="shared" si="0" ref="U11:V42">S11+Q11+O11+M11+K11+I11+G11+E11</f>
        <v>722927.5</v>
      </c>
      <c r="V11" s="236">
        <f t="shared" si="0"/>
        <v>702536.4</v>
      </c>
      <c r="W11" s="236">
        <v>197022.8</v>
      </c>
      <c r="X11" s="236">
        <v>113613.7</v>
      </c>
      <c r="Y11" s="236">
        <v>0</v>
      </c>
      <c r="Z11" s="236">
        <v>0</v>
      </c>
      <c r="AA11" s="236">
        <v>0</v>
      </c>
      <c r="AB11" s="236">
        <v>0</v>
      </c>
      <c r="AC11" s="236">
        <v>-4000</v>
      </c>
      <c r="AD11" s="236">
        <v>-1201.2</v>
      </c>
      <c r="AE11" s="236">
        <v>-115000</v>
      </c>
      <c r="AF11" s="236">
        <v>-35510.6</v>
      </c>
      <c r="AG11" s="236">
        <v>0</v>
      </c>
      <c r="AH11" s="236">
        <v>0</v>
      </c>
      <c r="AI11" s="236">
        <v>13708.1</v>
      </c>
      <c r="AJ11" s="236">
        <v>11588.1</v>
      </c>
      <c r="AK11" s="236">
        <f>AG11+AE11+AC11+AA11+Y11+W11</f>
        <v>78022.79999999999</v>
      </c>
      <c r="AL11" s="236">
        <f>AH11+AF11+AD11+AB11+Z11+X11</f>
        <v>76901.9</v>
      </c>
    </row>
    <row r="12" spans="1:38" s="111" customFormat="1" ht="17.25" customHeight="1">
      <c r="A12" s="222">
        <v>2</v>
      </c>
      <c r="B12" s="235" t="s">
        <v>958</v>
      </c>
      <c r="C12" s="236">
        <f>U12+AK12-AI12</f>
        <v>213409.4</v>
      </c>
      <c r="D12" s="236">
        <f>V12+AL12-AJ12</f>
        <v>135800</v>
      </c>
      <c r="E12" s="238">
        <v>25610.5</v>
      </c>
      <c r="F12" s="238">
        <v>25610.5</v>
      </c>
      <c r="G12" s="236">
        <v>4626.5</v>
      </c>
      <c r="H12" s="236">
        <v>4564.1</v>
      </c>
      <c r="I12" s="236">
        <v>15905</v>
      </c>
      <c r="J12" s="236">
        <v>15502.9</v>
      </c>
      <c r="K12" s="236">
        <v>0</v>
      </c>
      <c r="L12" s="236">
        <v>0</v>
      </c>
      <c r="M12" s="236">
        <v>23340</v>
      </c>
      <c r="N12" s="236">
        <v>23340</v>
      </c>
      <c r="O12" s="236">
        <v>11960.1</v>
      </c>
      <c r="P12" s="236">
        <v>11647.5</v>
      </c>
      <c r="Q12" s="236">
        <v>0</v>
      </c>
      <c r="R12" s="236">
        <v>0</v>
      </c>
      <c r="S12" s="236">
        <v>200</v>
      </c>
      <c r="T12" s="236">
        <v>200</v>
      </c>
      <c r="U12" s="236">
        <f t="shared" si="0"/>
        <v>81642.1</v>
      </c>
      <c r="V12" s="236">
        <f t="shared" si="0"/>
        <v>80865</v>
      </c>
      <c r="W12" s="236">
        <v>400959.3</v>
      </c>
      <c r="X12" s="236">
        <v>314598.7</v>
      </c>
      <c r="Y12" s="236">
        <v>0</v>
      </c>
      <c r="Z12" s="236">
        <v>0</v>
      </c>
      <c r="AA12" s="236">
        <v>0</v>
      </c>
      <c r="AB12" s="236">
        <v>0</v>
      </c>
      <c r="AC12" s="236">
        <v>-59192</v>
      </c>
      <c r="AD12" s="236">
        <v>-59914.7</v>
      </c>
      <c r="AE12" s="236">
        <v>-210000</v>
      </c>
      <c r="AF12" s="236">
        <v>-199749</v>
      </c>
      <c r="AG12" s="236">
        <v>0</v>
      </c>
      <c r="AH12" s="236">
        <v>0</v>
      </c>
      <c r="AI12" s="236">
        <v>0</v>
      </c>
      <c r="AJ12" s="236">
        <v>0</v>
      </c>
      <c r="AK12" s="236">
        <f>AI12+AG12+AE12+AC12+AA12+Y12+W12</f>
        <v>131767.3</v>
      </c>
      <c r="AL12" s="236">
        <f>AJ12+AH12+AF12+AD12+AB12+Z12+X12</f>
        <v>54935</v>
      </c>
    </row>
    <row r="13" spans="1:38" s="111" customFormat="1" ht="17.25" customHeight="1">
      <c r="A13" s="222">
        <v>3</v>
      </c>
      <c r="B13" s="235" t="s">
        <v>959</v>
      </c>
      <c r="C13" s="236">
        <f>U13+AK13-AI13</f>
        <v>20911.800000000003</v>
      </c>
      <c r="D13" s="236">
        <f>V13+AL13-AJ13</f>
        <v>11504.1</v>
      </c>
      <c r="E13" s="238">
        <v>11440</v>
      </c>
      <c r="F13" s="236">
        <v>10361.7</v>
      </c>
      <c r="G13" s="236">
        <v>2340</v>
      </c>
      <c r="H13" s="236">
        <v>2198.8</v>
      </c>
      <c r="I13" s="236">
        <v>5588.4</v>
      </c>
      <c r="J13" s="236">
        <v>4477.4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500</v>
      </c>
      <c r="R13" s="236">
        <v>500</v>
      </c>
      <c r="S13" s="236">
        <v>483</v>
      </c>
      <c r="T13" s="236">
        <v>437.8</v>
      </c>
      <c r="U13" s="236">
        <f t="shared" si="0"/>
        <v>20351.4</v>
      </c>
      <c r="V13" s="236">
        <f t="shared" si="0"/>
        <v>17975.7</v>
      </c>
      <c r="W13" s="236">
        <v>3299.8</v>
      </c>
      <c r="X13" s="236">
        <v>842.9</v>
      </c>
      <c r="Y13" s="236">
        <v>0</v>
      </c>
      <c r="Z13" s="236">
        <v>0</v>
      </c>
      <c r="AA13" s="236">
        <v>0</v>
      </c>
      <c r="AB13" s="236">
        <v>0</v>
      </c>
      <c r="AC13" s="236">
        <v>0</v>
      </c>
      <c r="AD13" s="236">
        <v>0</v>
      </c>
      <c r="AE13" s="236">
        <v>-2739.4</v>
      </c>
      <c r="AF13" s="236">
        <v>-7314.5</v>
      </c>
      <c r="AG13" s="236">
        <v>0</v>
      </c>
      <c r="AH13" s="236">
        <v>0</v>
      </c>
      <c r="AI13" s="236">
        <v>0</v>
      </c>
      <c r="AJ13" s="236">
        <v>0</v>
      </c>
      <c r="AK13" s="236">
        <f>AI13+AG13+AE13+AC13+AA13+Y13+W13</f>
        <v>560.4000000000001</v>
      </c>
      <c r="AL13" s="236">
        <f>AJ13+AH13+AF13+AD13+AB13+Z13+X13</f>
        <v>-6471.6</v>
      </c>
    </row>
    <row r="14" spans="1:38" s="111" customFormat="1" ht="17.25" customHeight="1">
      <c r="A14" s="222">
        <v>4</v>
      </c>
      <c r="B14" s="235" t="s">
        <v>826</v>
      </c>
      <c r="C14" s="236">
        <f>U14+AK14</f>
        <v>26104.899999999998</v>
      </c>
      <c r="D14" s="236">
        <f>V14+AL14</f>
        <v>26085.899999999998</v>
      </c>
      <c r="E14" s="237">
        <v>10560</v>
      </c>
      <c r="F14" s="236">
        <v>10354.7</v>
      </c>
      <c r="G14" s="236">
        <v>2412</v>
      </c>
      <c r="H14" s="236">
        <v>2412</v>
      </c>
      <c r="I14" s="236">
        <v>5278.1</v>
      </c>
      <c r="J14" s="236">
        <v>5277.2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2190</v>
      </c>
      <c r="R14" s="236">
        <v>2190</v>
      </c>
      <c r="S14" s="236">
        <v>825.5</v>
      </c>
      <c r="T14" s="236">
        <v>1012.7</v>
      </c>
      <c r="U14" s="236">
        <f t="shared" si="0"/>
        <v>21265.6</v>
      </c>
      <c r="V14" s="236">
        <f t="shared" si="0"/>
        <v>21246.6</v>
      </c>
      <c r="W14" s="236">
        <v>11339.3</v>
      </c>
      <c r="X14" s="236">
        <v>9029.9</v>
      </c>
      <c r="Y14" s="236">
        <v>0</v>
      </c>
      <c r="Z14" s="236">
        <v>0</v>
      </c>
      <c r="AA14" s="236">
        <v>0</v>
      </c>
      <c r="AB14" s="236">
        <v>0</v>
      </c>
      <c r="AC14" s="236">
        <v>0</v>
      </c>
      <c r="AD14" s="236">
        <v>0</v>
      </c>
      <c r="AE14" s="236">
        <v>-6500</v>
      </c>
      <c r="AF14" s="236">
        <v>-4190.6</v>
      </c>
      <c r="AG14" s="236">
        <v>0</v>
      </c>
      <c r="AH14" s="236">
        <v>0</v>
      </c>
      <c r="AI14" s="236">
        <v>1043.2</v>
      </c>
      <c r="AJ14" s="236">
        <v>1043.2</v>
      </c>
      <c r="AK14" s="236">
        <f>AG14+AE14+AC14+AA14+Y14+W14</f>
        <v>4839.299999999999</v>
      </c>
      <c r="AL14" s="236">
        <f>AH14+AF14+AD14+AB14+Z14+X14</f>
        <v>4839.299999999999</v>
      </c>
    </row>
    <row r="15" spans="1:38" s="111" customFormat="1" ht="17.25" customHeight="1">
      <c r="A15" s="222">
        <v>5</v>
      </c>
      <c r="B15" s="235" t="s">
        <v>960</v>
      </c>
      <c r="C15" s="236">
        <f>U15+AK15-AI15</f>
        <v>9022.5</v>
      </c>
      <c r="D15" s="236">
        <f>V15+AL15-AJ15</f>
        <v>-71.69999999999982</v>
      </c>
      <c r="E15" s="238">
        <v>4344</v>
      </c>
      <c r="F15" s="238">
        <v>4063.5</v>
      </c>
      <c r="G15" s="238">
        <v>942</v>
      </c>
      <c r="H15" s="238">
        <v>843.6</v>
      </c>
      <c r="I15" s="238">
        <v>1159.2</v>
      </c>
      <c r="J15" s="238">
        <v>912.4</v>
      </c>
      <c r="K15" s="238">
        <v>0</v>
      </c>
      <c r="L15" s="238">
        <v>0</v>
      </c>
      <c r="M15" s="238">
        <v>0</v>
      </c>
      <c r="N15" s="238">
        <v>0</v>
      </c>
      <c r="O15" s="236">
        <v>0</v>
      </c>
      <c r="P15" s="236">
        <v>0</v>
      </c>
      <c r="Q15" s="236">
        <v>400</v>
      </c>
      <c r="R15" s="236">
        <v>400</v>
      </c>
      <c r="S15" s="236">
        <v>362.3</v>
      </c>
      <c r="T15" s="236">
        <v>8.7</v>
      </c>
      <c r="U15" s="236">
        <f t="shared" si="0"/>
        <v>7207.5</v>
      </c>
      <c r="V15" s="236">
        <f t="shared" si="0"/>
        <v>6228.2</v>
      </c>
      <c r="W15" s="236">
        <v>9863.5</v>
      </c>
      <c r="X15" s="236">
        <v>1142</v>
      </c>
      <c r="Y15" s="236">
        <v>0</v>
      </c>
      <c r="Z15" s="236">
        <v>0</v>
      </c>
      <c r="AA15" s="236">
        <v>0</v>
      </c>
      <c r="AB15" s="236">
        <v>0</v>
      </c>
      <c r="AC15" s="236">
        <v>0</v>
      </c>
      <c r="AD15" s="236">
        <v>0</v>
      </c>
      <c r="AE15" s="236">
        <v>-8048.5</v>
      </c>
      <c r="AF15" s="236">
        <v>-7441.9</v>
      </c>
      <c r="AG15" s="236">
        <v>0</v>
      </c>
      <c r="AH15" s="236">
        <v>0</v>
      </c>
      <c r="AI15" s="236">
        <v>0</v>
      </c>
      <c r="AJ15" s="236">
        <v>0</v>
      </c>
      <c r="AK15" s="236">
        <f>AI15+AG15+AE15+AC15+AA15+Y15+W15</f>
        <v>1815</v>
      </c>
      <c r="AL15" s="236">
        <f>AJ15+AH15+AF15+AD15+AB15+Z15+X15</f>
        <v>-6299.9</v>
      </c>
    </row>
    <row r="16" spans="1:38" s="111" customFormat="1" ht="17.25" customHeight="1">
      <c r="A16" s="222">
        <v>6</v>
      </c>
      <c r="B16" s="235" t="s">
        <v>399</v>
      </c>
      <c r="C16" s="236">
        <f>U16+AK16</f>
        <v>8628.3</v>
      </c>
      <c r="D16" s="236">
        <f>V16+AL16</f>
        <v>6780.999999999999</v>
      </c>
      <c r="E16" s="237">
        <v>4637.7</v>
      </c>
      <c r="F16" s="236">
        <v>4248.7</v>
      </c>
      <c r="G16" s="236">
        <v>1500</v>
      </c>
      <c r="H16" s="236">
        <v>1500</v>
      </c>
      <c r="I16" s="236">
        <v>395.2</v>
      </c>
      <c r="J16" s="236">
        <v>143.6</v>
      </c>
      <c r="K16" s="238">
        <v>0</v>
      </c>
      <c r="L16" s="238">
        <v>0</v>
      </c>
      <c r="M16" s="238">
        <v>0</v>
      </c>
      <c r="N16" s="238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1095.4</v>
      </c>
      <c r="T16" s="236">
        <v>0</v>
      </c>
      <c r="U16" s="236">
        <f t="shared" si="0"/>
        <v>7628.3</v>
      </c>
      <c r="V16" s="236">
        <f t="shared" si="0"/>
        <v>5892.299999999999</v>
      </c>
      <c r="W16" s="236">
        <v>1443.5</v>
      </c>
      <c r="X16" s="236">
        <v>1332.7</v>
      </c>
      <c r="Y16" s="236">
        <v>0</v>
      </c>
      <c r="Z16" s="236">
        <v>0</v>
      </c>
      <c r="AA16" s="236">
        <v>0</v>
      </c>
      <c r="AB16" s="236">
        <v>0</v>
      </c>
      <c r="AC16" s="239">
        <v>0</v>
      </c>
      <c r="AD16" s="239">
        <v>0</v>
      </c>
      <c r="AE16" s="236">
        <v>-443.5</v>
      </c>
      <c r="AF16" s="236">
        <v>-444</v>
      </c>
      <c r="AG16" s="236">
        <v>0</v>
      </c>
      <c r="AH16" s="236">
        <v>0</v>
      </c>
      <c r="AI16" s="236">
        <v>1000</v>
      </c>
      <c r="AJ16" s="236">
        <v>888.7</v>
      </c>
      <c r="AK16" s="236">
        <f>AG16+AE16+AC16+AA16+Y16+W16</f>
        <v>1000</v>
      </c>
      <c r="AL16" s="236">
        <f>AH16+AF16+AD16+AB16+Z16+X16</f>
        <v>888.7</v>
      </c>
    </row>
    <row r="17" spans="1:38" s="111" customFormat="1" ht="17.25" customHeight="1">
      <c r="A17" s="222">
        <v>7</v>
      </c>
      <c r="B17" s="235" t="s">
        <v>961</v>
      </c>
      <c r="C17" s="236">
        <f>U17+AK17</f>
        <v>51378.2</v>
      </c>
      <c r="D17" s="236">
        <f>V17+AL17</f>
        <v>46934.200000000004</v>
      </c>
      <c r="E17" s="240">
        <v>17188</v>
      </c>
      <c r="F17" s="240">
        <v>15542.8</v>
      </c>
      <c r="G17" s="240">
        <v>3610</v>
      </c>
      <c r="H17" s="240">
        <v>2895.8</v>
      </c>
      <c r="I17" s="241">
        <v>5622</v>
      </c>
      <c r="J17" s="241">
        <v>3955.3</v>
      </c>
      <c r="K17" s="238">
        <v>0</v>
      </c>
      <c r="L17" s="238">
        <v>0</v>
      </c>
      <c r="M17" s="241">
        <v>7200</v>
      </c>
      <c r="N17" s="241">
        <v>7200</v>
      </c>
      <c r="O17" s="236">
        <v>4190</v>
      </c>
      <c r="P17" s="236">
        <v>4160</v>
      </c>
      <c r="Q17" s="241">
        <v>6105.2</v>
      </c>
      <c r="R17" s="241">
        <v>6048</v>
      </c>
      <c r="S17" s="241">
        <v>233</v>
      </c>
      <c r="T17" s="241">
        <v>90.4</v>
      </c>
      <c r="U17" s="236">
        <f t="shared" si="0"/>
        <v>44148.2</v>
      </c>
      <c r="V17" s="236">
        <f t="shared" si="0"/>
        <v>39892.3</v>
      </c>
      <c r="W17" s="241">
        <v>7730</v>
      </c>
      <c r="X17" s="241">
        <v>7250</v>
      </c>
      <c r="Y17" s="236">
        <v>0</v>
      </c>
      <c r="Z17" s="236">
        <v>0</v>
      </c>
      <c r="AA17" s="236">
        <v>0</v>
      </c>
      <c r="AB17" s="236">
        <v>0</v>
      </c>
      <c r="AC17" s="241">
        <v>-250</v>
      </c>
      <c r="AD17" s="241">
        <v>0</v>
      </c>
      <c r="AE17" s="241">
        <v>-250</v>
      </c>
      <c r="AF17" s="241">
        <v>-208.1</v>
      </c>
      <c r="AG17" s="236">
        <v>0</v>
      </c>
      <c r="AH17" s="236">
        <v>0</v>
      </c>
      <c r="AI17" s="236">
        <v>899.8</v>
      </c>
      <c r="AJ17" s="236">
        <v>899.8</v>
      </c>
      <c r="AK17" s="236">
        <f>AG17+AE17+AC17+AA17+Y17+W17</f>
        <v>7230</v>
      </c>
      <c r="AL17" s="236">
        <f>AH17+AF17+AD17+AB17+Z17+X17</f>
        <v>7041.9</v>
      </c>
    </row>
    <row r="18" spans="1:38" s="111" customFormat="1" ht="17.25" customHeight="1">
      <c r="A18" s="222">
        <v>8</v>
      </c>
      <c r="B18" s="235" t="s">
        <v>962</v>
      </c>
      <c r="C18" s="236">
        <f>U18+AK18-AI18</f>
        <v>28803.2</v>
      </c>
      <c r="D18" s="236">
        <f>V18+AL18-AJ18</f>
        <v>28015.800000000003</v>
      </c>
      <c r="E18" s="242">
        <v>6790</v>
      </c>
      <c r="F18" s="242">
        <v>6580.9</v>
      </c>
      <c r="G18" s="242">
        <v>1620</v>
      </c>
      <c r="H18" s="242">
        <v>1620</v>
      </c>
      <c r="I18" s="242">
        <v>3735</v>
      </c>
      <c r="J18" s="242">
        <v>3458.8</v>
      </c>
      <c r="K18" s="238">
        <v>0</v>
      </c>
      <c r="L18" s="238">
        <v>0</v>
      </c>
      <c r="M18" s="238">
        <v>0</v>
      </c>
      <c r="N18" s="238">
        <v>0</v>
      </c>
      <c r="O18" s="236">
        <v>0</v>
      </c>
      <c r="P18" s="236">
        <v>0</v>
      </c>
      <c r="Q18" s="242">
        <v>1090</v>
      </c>
      <c r="R18" s="242">
        <v>1090</v>
      </c>
      <c r="S18" s="242">
        <v>403.2</v>
      </c>
      <c r="T18" s="242">
        <v>101</v>
      </c>
      <c r="U18" s="236">
        <f t="shared" si="0"/>
        <v>13638.2</v>
      </c>
      <c r="V18" s="236">
        <f t="shared" si="0"/>
        <v>12850.7</v>
      </c>
      <c r="W18" s="240">
        <v>14885</v>
      </c>
      <c r="X18" s="242">
        <v>14371.1</v>
      </c>
      <c r="Y18" s="242">
        <v>1280</v>
      </c>
      <c r="Z18" s="242">
        <v>1280</v>
      </c>
      <c r="AA18" s="242">
        <v>0</v>
      </c>
      <c r="AB18" s="242">
        <v>0</v>
      </c>
      <c r="AC18" s="239">
        <v>0</v>
      </c>
      <c r="AD18" s="239">
        <v>0</v>
      </c>
      <c r="AE18" s="242">
        <v>-1000</v>
      </c>
      <c r="AF18" s="242">
        <v>-486</v>
      </c>
      <c r="AG18" s="236">
        <v>0</v>
      </c>
      <c r="AH18" s="236">
        <v>0</v>
      </c>
      <c r="AI18" s="236">
        <v>0</v>
      </c>
      <c r="AJ18" s="236">
        <v>0</v>
      </c>
      <c r="AK18" s="236">
        <f>AI18+AG18+AE18+AC18+AA18+Y18+W18</f>
        <v>15165</v>
      </c>
      <c r="AL18" s="236">
        <f>AJ18+AH18+AF18+AD18+AB18+Z18+X18</f>
        <v>15165.1</v>
      </c>
    </row>
    <row r="19" spans="1:38" s="111" customFormat="1" ht="17.25" customHeight="1">
      <c r="A19" s="222">
        <v>9</v>
      </c>
      <c r="B19" s="235" t="s">
        <v>963</v>
      </c>
      <c r="C19" s="236">
        <f>U19+AK19-AI19</f>
        <v>52638.8</v>
      </c>
      <c r="D19" s="236">
        <f>V19+AL19-AJ19</f>
        <v>51659.2</v>
      </c>
      <c r="E19" s="242">
        <v>17499</v>
      </c>
      <c r="F19" s="242">
        <v>17433.7</v>
      </c>
      <c r="G19" s="242">
        <v>3858.3</v>
      </c>
      <c r="H19" s="242">
        <v>3857.7</v>
      </c>
      <c r="I19" s="242">
        <v>9361.9</v>
      </c>
      <c r="J19" s="242">
        <v>9215.1</v>
      </c>
      <c r="K19" s="238">
        <v>0</v>
      </c>
      <c r="L19" s="238">
        <v>0</v>
      </c>
      <c r="M19" s="242">
        <v>9176.8</v>
      </c>
      <c r="N19" s="242">
        <v>8983.9</v>
      </c>
      <c r="O19" s="236">
        <v>320</v>
      </c>
      <c r="P19" s="236">
        <v>320</v>
      </c>
      <c r="Q19" s="242">
        <v>6058</v>
      </c>
      <c r="R19" s="242">
        <v>6058</v>
      </c>
      <c r="S19" s="242">
        <v>2632.5</v>
      </c>
      <c r="T19" s="242">
        <v>2632.4</v>
      </c>
      <c r="U19" s="236">
        <f t="shared" si="0"/>
        <v>48906.5</v>
      </c>
      <c r="V19" s="236">
        <f t="shared" si="0"/>
        <v>48500.8</v>
      </c>
      <c r="W19" s="240">
        <v>23582.3</v>
      </c>
      <c r="X19" s="242">
        <v>23371.1</v>
      </c>
      <c r="Y19" s="242">
        <v>0</v>
      </c>
      <c r="Z19" s="242">
        <v>0</v>
      </c>
      <c r="AA19" s="242">
        <v>0</v>
      </c>
      <c r="AB19" s="242">
        <v>0</v>
      </c>
      <c r="AC19" s="239">
        <v>0</v>
      </c>
      <c r="AD19" s="239">
        <v>0</v>
      </c>
      <c r="AE19" s="242">
        <v>-19850</v>
      </c>
      <c r="AF19" s="242">
        <v>-20212.7</v>
      </c>
      <c r="AG19" s="236">
        <v>0</v>
      </c>
      <c r="AH19" s="236">
        <v>0</v>
      </c>
      <c r="AI19" s="236">
        <v>0</v>
      </c>
      <c r="AJ19" s="236">
        <v>0</v>
      </c>
      <c r="AK19" s="236">
        <f>AI19+AG19+AE19+AC19+AA19+Y19+W19</f>
        <v>3732.2999999999993</v>
      </c>
      <c r="AL19" s="236">
        <f>AJ19+AH19+AF19+AD19+AB19+Z19+X19</f>
        <v>3158.399999999998</v>
      </c>
    </row>
    <row r="20" spans="1:38" s="111" customFormat="1" ht="17.25" customHeight="1">
      <c r="A20" s="222">
        <v>10</v>
      </c>
      <c r="B20" s="243" t="s">
        <v>964</v>
      </c>
      <c r="C20" s="236">
        <f>U20+AK20</f>
        <v>37443.5</v>
      </c>
      <c r="D20" s="236">
        <f>V20+AL20</f>
        <v>33484.1</v>
      </c>
      <c r="E20" s="242">
        <v>13530</v>
      </c>
      <c r="F20" s="242">
        <v>13406.8</v>
      </c>
      <c r="G20" s="242">
        <v>2895</v>
      </c>
      <c r="H20" s="242">
        <v>2719.3</v>
      </c>
      <c r="I20" s="242">
        <v>12451</v>
      </c>
      <c r="J20" s="242">
        <v>8888.5</v>
      </c>
      <c r="K20" s="238">
        <v>0</v>
      </c>
      <c r="L20" s="238">
        <v>0</v>
      </c>
      <c r="M20" s="238">
        <v>0</v>
      </c>
      <c r="N20" s="238">
        <v>0</v>
      </c>
      <c r="O20" s="236">
        <v>320</v>
      </c>
      <c r="P20" s="236">
        <v>320</v>
      </c>
      <c r="Q20" s="242">
        <v>4340</v>
      </c>
      <c r="R20" s="242">
        <v>4340</v>
      </c>
      <c r="S20" s="242">
        <v>193.6</v>
      </c>
      <c r="T20" s="242">
        <v>147</v>
      </c>
      <c r="U20" s="236">
        <f t="shared" si="0"/>
        <v>33729.6</v>
      </c>
      <c r="V20" s="236">
        <f t="shared" si="0"/>
        <v>29821.6</v>
      </c>
      <c r="W20" s="242">
        <v>3763.9</v>
      </c>
      <c r="X20" s="242">
        <v>3712.5</v>
      </c>
      <c r="Y20" s="242">
        <v>0</v>
      </c>
      <c r="Z20" s="242">
        <v>0</v>
      </c>
      <c r="AA20" s="242">
        <v>0</v>
      </c>
      <c r="AB20" s="242">
        <v>0</v>
      </c>
      <c r="AC20" s="239">
        <v>-50</v>
      </c>
      <c r="AD20" s="239">
        <v>-50</v>
      </c>
      <c r="AE20" s="239">
        <v>0</v>
      </c>
      <c r="AF20" s="239">
        <v>0</v>
      </c>
      <c r="AG20" s="236">
        <v>0</v>
      </c>
      <c r="AH20" s="236">
        <v>0</v>
      </c>
      <c r="AI20" s="236">
        <v>2458</v>
      </c>
      <c r="AJ20" s="236">
        <v>2456.6</v>
      </c>
      <c r="AK20" s="236">
        <f>AG20+AE20+AC20+AA20+Y20+W20</f>
        <v>3713.9</v>
      </c>
      <c r="AL20" s="236">
        <f>AH20+AF20+AD20+AB20+Z20+X20</f>
        <v>3662.5</v>
      </c>
    </row>
    <row r="21" spans="1:38" s="111" customFormat="1" ht="17.25" customHeight="1">
      <c r="A21" s="222">
        <v>11</v>
      </c>
      <c r="B21" s="235" t="s">
        <v>965</v>
      </c>
      <c r="C21" s="236">
        <f>U21+AK21</f>
        <v>44124.3</v>
      </c>
      <c r="D21" s="236">
        <f>V21+AL21</f>
        <v>37825.600000000006</v>
      </c>
      <c r="E21" s="242">
        <v>13206</v>
      </c>
      <c r="F21" s="240">
        <v>13018.5</v>
      </c>
      <c r="G21" s="240">
        <v>2906.2</v>
      </c>
      <c r="H21" s="240">
        <v>2769.5</v>
      </c>
      <c r="I21" s="240">
        <v>9277</v>
      </c>
      <c r="J21" s="240">
        <v>7831.1</v>
      </c>
      <c r="K21" s="238">
        <v>0</v>
      </c>
      <c r="L21" s="238">
        <v>0</v>
      </c>
      <c r="M21" s="242">
        <v>8416.6</v>
      </c>
      <c r="N21" s="242">
        <v>8343.5</v>
      </c>
      <c r="O21" s="242">
        <v>320</v>
      </c>
      <c r="P21" s="242">
        <v>320</v>
      </c>
      <c r="Q21" s="242">
        <v>4960</v>
      </c>
      <c r="R21" s="242">
        <v>4904.9</v>
      </c>
      <c r="S21" s="242">
        <v>3261.2</v>
      </c>
      <c r="T21" s="242">
        <v>152.3</v>
      </c>
      <c r="U21" s="236">
        <f t="shared" si="0"/>
        <v>42347</v>
      </c>
      <c r="V21" s="236">
        <f t="shared" si="0"/>
        <v>37339.8</v>
      </c>
      <c r="W21" s="240">
        <v>5120</v>
      </c>
      <c r="X21" s="242">
        <v>2166.7</v>
      </c>
      <c r="Y21" s="242">
        <v>0</v>
      </c>
      <c r="Z21" s="242">
        <v>0</v>
      </c>
      <c r="AA21" s="242">
        <v>0</v>
      </c>
      <c r="AB21" s="242">
        <v>0</v>
      </c>
      <c r="AC21" s="239">
        <v>0</v>
      </c>
      <c r="AD21" s="239">
        <v>0</v>
      </c>
      <c r="AE21" s="242">
        <v>-3342.7</v>
      </c>
      <c r="AF21" s="242">
        <v>-1680.9</v>
      </c>
      <c r="AG21" s="236">
        <v>0</v>
      </c>
      <c r="AH21" s="236">
        <v>0</v>
      </c>
      <c r="AI21" s="236">
        <v>220</v>
      </c>
      <c r="AJ21" s="236">
        <v>200</v>
      </c>
      <c r="AK21" s="236">
        <f>AG21+AE21+AC21+AA21+Y21+W21</f>
        <v>1777.3000000000002</v>
      </c>
      <c r="AL21" s="236">
        <f>AH21+AF21+AD21+AB21+Z21+X21</f>
        <v>485.7999999999997</v>
      </c>
    </row>
    <row r="22" spans="1:38" s="111" customFormat="1" ht="17.25" customHeight="1">
      <c r="A22" s="222">
        <v>12</v>
      </c>
      <c r="B22" s="235" t="s">
        <v>966</v>
      </c>
      <c r="C22" s="236">
        <f>U22+AK22-AI22</f>
        <v>442357</v>
      </c>
      <c r="D22" s="236">
        <f>V22+AL22-AJ22</f>
        <v>434817.9</v>
      </c>
      <c r="E22" s="240">
        <v>60045.3</v>
      </c>
      <c r="F22" s="242">
        <v>60003.3</v>
      </c>
      <c r="G22" s="242">
        <v>10160</v>
      </c>
      <c r="H22" s="242">
        <v>10159.9</v>
      </c>
      <c r="I22" s="240">
        <v>42309.4</v>
      </c>
      <c r="J22" s="240">
        <v>36065.4</v>
      </c>
      <c r="K22" s="238">
        <v>0</v>
      </c>
      <c r="L22" s="238">
        <v>0</v>
      </c>
      <c r="M22" s="242">
        <v>288759.7</v>
      </c>
      <c r="N22" s="242">
        <v>288326.4</v>
      </c>
      <c r="O22" s="236">
        <v>430</v>
      </c>
      <c r="P22" s="236">
        <v>430</v>
      </c>
      <c r="Q22" s="242">
        <v>7510</v>
      </c>
      <c r="R22" s="242">
        <v>7441</v>
      </c>
      <c r="S22" s="242">
        <v>32583.5</v>
      </c>
      <c r="T22" s="242">
        <v>31833.1</v>
      </c>
      <c r="U22" s="236">
        <f t="shared" si="0"/>
        <v>441797.9</v>
      </c>
      <c r="V22" s="236">
        <f t="shared" si="0"/>
        <v>434259.10000000003</v>
      </c>
      <c r="W22" s="240">
        <v>64282.4</v>
      </c>
      <c r="X22" s="240">
        <v>32344.7</v>
      </c>
      <c r="Y22" s="242">
        <v>0</v>
      </c>
      <c r="Z22" s="242">
        <v>0</v>
      </c>
      <c r="AA22" s="242">
        <v>0</v>
      </c>
      <c r="AB22" s="242">
        <v>0</v>
      </c>
      <c r="AC22" s="242">
        <v>-31832.5</v>
      </c>
      <c r="AD22" s="242">
        <v>-21995.2</v>
      </c>
      <c r="AE22" s="242">
        <v>-31890.8</v>
      </c>
      <c r="AF22" s="242">
        <v>-9790.7</v>
      </c>
      <c r="AG22" s="236">
        <v>0</v>
      </c>
      <c r="AH22" s="236">
        <v>0</v>
      </c>
      <c r="AI22" s="236">
        <v>0</v>
      </c>
      <c r="AJ22" s="236">
        <v>0</v>
      </c>
      <c r="AK22" s="236">
        <f>AI22+AG22+AE22+AC22+AA22+Y22+W22</f>
        <v>559.0999999999985</v>
      </c>
      <c r="AL22" s="236">
        <f>AJ22+AH22+AF22+AD22+AB22+Z22+X22</f>
        <v>558.7999999999993</v>
      </c>
    </row>
    <row r="23" spans="1:38" s="111" customFormat="1" ht="17.25" customHeight="1">
      <c r="A23" s="222">
        <v>13</v>
      </c>
      <c r="B23" s="235" t="s">
        <v>967</v>
      </c>
      <c r="C23" s="236">
        <f>U23+AK23</f>
        <v>64325.200000000004</v>
      </c>
      <c r="D23" s="236">
        <f>V23+AL23</f>
        <v>57090.700000000004</v>
      </c>
      <c r="E23" s="244">
        <v>22174</v>
      </c>
      <c r="F23" s="244">
        <v>21561.5</v>
      </c>
      <c r="G23" s="244">
        <v>4448</v>
      </c>
      <c r="H23" s="244">
        <v>3494.3</v>
      </c>
      <c r="I23" s="244">
        <v>6989.4</v>
      </c>
      <c r="J23" s="244">
        <v>5685.3</v>
      </c>
      <c r="K23" s="238">
        <v>0</v>
      </c>
      <c r="L23" s="238">
        <v>0</v>
      </c>
      <c r="M23" s="244">
        <v>16177.9</v>
      </c>
      <c r="N23" s="244">
        <v>16177.9</v>
      </c>
      <c r="O23" s="244">
        <v>0</v>
      </c>
      <c r="P23" s="242">
        <v>0</v>
      </c>
      <c r="Q23" s="242">
        <v>1620</v>
      </c>
      <c r="R23" s="242">
        <v>1398</v>
      </c>
      <c r="S23" s="242">
        <v>7968.6</v>
      </c>
      <c r="T23" s="242">
        <v>7361.9</v>
      </c>
      <c r="U23" s="236">
        <f t="shared" si="0"/>
        <v>59377.9</v>
      </c>
      <c r="V23" s="236">
        <f t="shared" si="0"/>
        <v>55678.9</v>
      </c>
      <c r="W23" s="244">
        <v>12237.1</v>
      </c>
      <c r="X23" s="244">
        <v>8935.2</v>
      </c>
      <c r="Y23" s="242">
        <v>0</v>
      </c>
      <c r="Z23" s="242">
        <v>0</v>
      </c>
      <c r="AA23" s="242">
        <v>0</v>
      </c>
      <c r="AB23" s="242">
        <v>0</v>
      </c>
      <c r="AC23" s="239">
        <v>-850</v>
      </c>
      <c r="AD23" s="239">
        <v>-850</v>
      </c>
      <c r="AE23" s="244">
        <v>-6439.8</v>
      </c>
      <c r="AF23" s="244">
        <v>-6673.4</v>
      </c>
      <c r="AG23" s="236">
        <v>0</v>
      </c>
      <c r="AH23" s="236">
        <v>0</v>
      </c>
      <c r="AI23" s="236">
        <v>60</v>
      </c>
      <c r="AJ23" s="236">
        <v>0</v>
      </c>
      <c r="AK23" s="236">
        <f>AG23+AE23+AC23+AA23+Y23+W23</f>
        <v>4947.3</v>
      </c>
      <c r="AL23" s="236">
        <f>AH23+AF23+AD23+AB23+Z23+X23</f>
        <v>1411.800000000001</v>
      </c>
    </row>
    <row r="24" spans="1:38" s="111" customFormat="1" ht="17.25" customHeight="1">
      <c r="A24" s="222">
        <v>14</v>
      </c>
      <c r="B24" s="235" t="s">
        <v>968</v>
      </c>
      <c r="C24" s="236">
        <f>U24+AK24-AI24</f>
        <v>20742.5</v>
      </c>
      <c r="D24" s="236">
        <f>V24+AL24-AJ24</f>
        <v>17519.1</v>
      </c>
      <c r="E24" s="244">
        <v>11153</v>
      </c>
      <c r="F24" s="244">
        <v>10301.5</v>
      </c>
      <c r="G24" s="244">
        <v>2397.9</v>
      </c>
      <c r="H24" s="244">
        <v>2338.7</v>
      </c>
      <c r="I24" s="244">
        <v>5246.6</v>
      </c>
      <c r="J24" s="244">
        <v>3314.6</v>
      </c>
      <c r="K24" s="238">
        <v>0</v>
      </c>
      <c r="L24" s="238">
        <v>0</v>
      </c>
      <c r="M24" s="238">
        <v>0</v>
      </c>
      <c r="N24" s="238">
        <v>0</v>
      </c>
      <c r="O24" s="236">
        <v>0</v>
      </c>
      <c r="P24" s="236">
        <v>0</v>
      </c>
      <c r="Q24" s="242">
        <v>800</v>
      </c>
      <c r="R24" s="242">
        <v>800</v>
      </c>
      <c r="S24" s="244">
        <v>1145</v>
      </c>
      <c r="T24" s="242">
        <v>764.2</v>
      </c>
      <c r="U24" s="236">
        <f t="shared" si="0"/>
        <v>20742.5</v>
      </c>
      <c r="V24" s="236">
        <f t="shared" si="0"/>
        <v>17519</v>
      </c>
      <c r="W24" s="242">
        <v>10000</v>
      </c>
      <c r="X24" s="242">
        <v>1269.7</v>
      </c>
      <c r="Y24" s="242">
        <v>0</v>
      </c>
      <c r="Z24" s="242">
        <v>0</v>
      </c>
      <c r="AA24" s="242">
        <v>0</v>
      </c>
      <c r="AB24" s="242">
        <v>0</v>
      </c>
      <c r="AC24" s="239">
        <v>0</v>
      </c>
      <c r="AD24" s="239">
        <v>0</v>
      </c>
      <c r="AE24" s="242">
        <v>-10000</v>
      </c>
      <c r="AF24" s="244">
        <v>-1269.6</v>
      </c>
      <c r="AG24" s="236">
        <v>0</v>
      </c>
      <c r="AH24" s="236">
        <v>0</v>
      </c>
      <c r="AI24" s="236">
        <v>0</v>
      </c>
      <c r="AJ24" s="236">
        <v>0</v>
      </c>
      <c r="AK24" s="236">
        <f>AI24+AG24+AE24+AC24+AA24+Y24+W24</f>
        <v>0</v>
      </c>
      <c r="AL24" s="236">
        <f>AJ24+AH24+AF24+AD24+AB24+Z24+X24</f>
        <v>0.10000000000013642</v>
      </c>
    </row>
    <row r="25" spans="1:38" s="111" customFormat="1" ht="17.25" customHeight="1">
      <c r="A25" s="222">
        <v>15</v>
      </c>
      <c r="B25" s="235" t="s">
        <v>969</v>
      </c>
      <c r="C25" s="236">
        <f>U25+AK25</f>
        <v>49334.3</v>
      </c>
      <c r="D25" s="236">
        <f>V25+AL25</f>
        <v>42846.5</v>
      </c>
      <c r="E25" s="244">
        <v>18095.8</v>
      </c>
      <c r="F25" s="244">
        <v>17115.5</v>
      </c>
      <c r="G25" s="244">
        <v>3398.2</v>
      </c>
      <c r="H25" s="244">
        <v>3008.5</v>
      </c>
      <c r="I25" s="244">
        <v>9982</v>
      </c>
      <c r="J25" s="244">
        <v>7398</v>
      </c>
      <c r="K25" s="238">
        <v>0</v>
      </c>
      <c r="L25" s="238">
        <v>0</v>
      </c>
      <c r="M25" s="244">
        <v>11000</v>
      </c>
      <c r="N25" s="244">
        <v>11000</v>
      </c>
      <c r="O25" s="236">
        <v>0</v>
      </c>
      <c r="P25" s="236">
        <v>0</v>
      </c>
      <c r="Q25" s="244">
        <v>800</v>
      </c>
      <c r="R25" s="244">
        <v>430</v>
      </c>
      <c r="S25" s="244">
        <v>3558.9</v>
      </c>
      <c r="T25" s="244">
        <v>3098.4</v>
      </c>
      <c r="U25" s="236">
        <f t="shared" si="0"/>
        <v>46834.9</v>
      </c>
      <c r="V25" s="236">
        <f t="shared" si="0"/>
        <v>42050.4</v>
      </c>
      <c r="W25" s="244">
        <v>2499.4</v>
      </c>
      <c r="X25" s="244">
        <v>999.4</v>
      </c>
      <c r="Y25" s="242">
        <v>0</v>
      </c>
      <c r="Z25" s="242">
        <v>0</v>
      </c>
      <c r="AA25" s="242">
        <v>0</v>
      </c>
      <c r="AB25" s="242">
        <v>0</v>
      </c>
      <c r="AC25" s="239">
        <v>0</v>
      </c>
      <c r="AD25" s="239">
        <v>0</v>
      </c>
      <c r="AE25" s="239">
        <v>0</v>
      </c>
      <c r="AF25" s="239">
        <v>-203.3</v>
      </c>
      <c r="AG25" s="236">
        <v>0</v>
      </c>
      <c r="AH25" s="236">
        <v>0</v>
      </c>
      <c r="AI25" s="236">
        <v>3500.9</v>
      </c>
      <c r="AJ25" s="236">
        <v>3095.9</v>
      </c>
      <c r="AK25" s="236">
        <f>AG25+AE25+AC25+AA25+Y25+W25</f>
        <v>2499.4</v>
      </c>
      <c r="AL25" s="236">
        <f>AH25+AF25+AD25+AB25+Z25+X25</f>
        <v>796.0999999999999</v>
      </c>
    </row>
    <row r="26" spans="1:38" s="111" customFormat="1" ht="17.25" customHeight="1">
      <c r="A26" s="222">
        <v>16</v>
      </c>
      <c r="B26" s="235" t="s">
        <v>970</v>
      </c>
      <c r="C26" s="236">
        <f>U26+AK26-AI26</f>
        <v>47978.5</v>
      </c>
      <c r="D26" s="236">
        <f>V26+AL26-AJ26</f>
        <v>34261</v>
      </c>
      <c r="E26" s="244">
        <v>16380</v>
      </c>
      <c r="F26" s="244">
        <v>15092.5</v>
      </c>
      <c r="G26" s="244">
        <v>3460</v>
      </c>
      <c r="H26" s="244">
        <v>3011.8</v>
      </c>
      <c r="I26" s="244">
        <v>6780</v>
      </c>
      <c r="J26" s="244">
        <v>4709.7</v>
      </c>
      <c r="K26" s="238">
        <v>0</v>
      </c>
      <c r="L26" s="238">
        <v>0</v>
      </c>
      <c r="M26" s="244">
        <v>6142</v>
      </c>
      <c r="N26" s="244">
        <v>6142</v>
      </c>
      <c r="O26" s="236">
        <v>0</v>
      </c>
      <c r="P26" s="236">
        <v>0</v>
      </c>
      <c r="Q26" s="242">
        <v>800</v>
      </c>
      <c r="R26" s="242">
        <v>798</v>
      </c>
      <c r="S26" s="242">
        <v>5194.1</v>
      </c>
      <c r="T26" s="244">
        <v>3177</v>
      </c>
      <c r="U26" s="236">
        <f t="shared" si="0"/>
        <v>38756.1</v>
      </c>
      <c r="V26" s="236">
        <f t="shared" si="0"/>
        <v>32931</v>
      </c>
      <c r="W26" s="244">
        <v>12222.4</v>
      </c>
      <c r="X26" s="242">
        <v>1330</v>
      </c>
      <c r="Y26" s="242">
        <v>0</v>
      </c>
      <c r="Z26" s="242">
        <v>0</v>
      </c>
      <c r="AA26" s="242">
        <v>0</v>
      </c>
      <c r="AB26" s="242">
        <v>0</v>
      </c>
      <c r="AC26" s="239">
        <v>0</v>
      </c>
      <c r="AD26" s="239">
        <v>0</v>
      </c>
      <c r="AE26" s="244">
        <v>-3000</v>
      </c>
      <c r="AF26" s="244">
        <v>0</v>
      </c>
      <c r="AG26" s="236">
        <v>0</v>
      </c>
      <c r="AH26" s="236">
        <v>0</v>
      </c>
      <c r="AI26" s="236">
        <v>0</v>
      </c>
      <c r="AJ26" s="236">
        <v>0</v>
      </c>
      <c r="AK26" s="236">
        <f aca="true" t="shared" si="1" ref="AK26:AL30">AI26+AG26+AE26+AC26+AA26+Y26+W26</f>
        <v>9222.4</v>
      </c>
      <c r="AL26" s="236">
        <f t="shared" si="1"/>
        <v>1330</v>
      </c>
    </row>
    <row r="27" spans="1:38" s="111" customFormat="1" ht="17.25" customHeight="1">
      <c r="A27" s="222">
        <v>17</v>
      </c>
      <c r="B27" s="235" t="s">
        <v>971</v>
      </c>
      <c r="C27" s="236">
        <f>U27+AK27</f>
        <v>35971</v>
      </c>
      <c r="D27" s="236">
        <f>V27+AL27-AJ27</f>
        <v>22203.6</v>
      </c>
      <c r="E27" s="244">
        <v>8580</v>
      </c>
      <c r="F27" s="244">
        <v>7720.1</v>
      </c>
      <c r="G27" s="244">
        <v>1720</v>
      </c>
      <c r="H27" s="244">
        <v>1720</v>
      </c>
      <c r="I27" s="244">
        <v>3300.3</v>
      </c>
      <c r="J27" s="244">
        <v>2678.9</v>
      </c>
      <c r="K27" s="238">
        <v>0</v>
      </c>
      <c r="L27" s="238">
        <v>0</v>
      </c>
      <c r="M27" s="238">
        <v>0</v>
      </c>
      <c r="N27" s="238">
        <v>0</v>
      </c>
      <c r="O27" s="236">
        <v>0</v>
      </c>
      <c r="P27" s="236">
        <v>0</v>
      </c>
      <c r="Q27" s="242">
        <v>400</v>
      </c>
      <c r="R27" s="244">
        <v>230</v>
      </c>
      <c r="S27" s="244">
        <v>1600</v>
      </c>
      <c r="T27" s="244">
        <v>1438</v>
      </c>
      <c r="U27" s="236">
        <f t="shared" si="0"/>
        <v>15600.3</v>
      </c>
      <c r="V27" s="236">
        <f t="shared" si="0"/>
        <v>13787</v>
      </c>
      <c r="W27" s="242">
        <v>18753.7</v>
      </c>
      <c r="X27" s="242">
        <v>10252.9</v>
      </c>
      <c r="Y27" s="242">
        <v>0</v>
      </c>
      <c r="Z27" s="242">
        <v>0</v>
      </c>
      <c r="AA27" s="242">
        <v>0</v>
      </c>
      <c r="AB27" s="242">
        <v>0</v>
      </c>
      <c r="AC27" s="239">
        <v>0</v>
      </c>
      <c r="AD27" s="239">
        <v>0</v>
      </c>
      <c r="AE27" s="239">
        <v>0</v>
      </c>
      <c r="AF27" s="239">
        <v>-1836.3</v>
      </c>
      <c r="AG27" s="236">
        <v>0</v>
      </c>
      <c r="AH27" s="236">
        <v>0</v>
      </c>
      <c r="AI27" s="236">
        <v>1617</v>
      </c>
      <c r="AJ27" s="236">
        <v>1400</v>
      </c>
      <c r="AK27" s="236">
        <f t="shared" si="1"/>
        <v>20370.7</v>
      </c>
      <c r="AL27" s="236">
        <f t="shared" si="1"/>
        <v>9816.6</v>
      </c>
    </row>
    <row r="28" spans="1:38" s="111" customFormat="1" ht="17.25" customHeight="1">
      <c r="A28" s="222">
        <v>18</v>
      </c>
      <c r="B28" s="245" t="s">
        <v>972</v>
      </c>
      <c r="C28" s="236">
        <f>U28+AK28-AI28</f>
        <v>827182.9000000001</v>
      </c>
      <c r="D28" s="236">
        <f>V28+AL28-AJ28</f>
        <v>825038.0999999999</v>
      </c>
      <c r="E28" s="242">
        <v>124262</v>
      </c>
      <c r="F28" s="242">
        <v>121341</v>
      </c>
      <c r="G28" s="242">
        <v>20488.4</v>
      </c>
      <c r="H28" s="242">
        <v>20105.4</v>
      </c>
      <c r="I28" s="242">
        <v>66378</v>
      </c>
      <c r="J28" s="242">
        <v>76556.1</v>
      </c>
      <c r="K28" s="238">
        <v>0</v>
      </c>
      <c r="L28" s="238">
        <v>0</v>
      </c>
      <c r="M28" s="242">
        <v>546702.8</v>
      </c>
      <c r="N28" s="242">
        <v>545126.2</v>
      </c>
      <c r="O28" s="242">
        <v>1000</v>
      </c>
      <c r="P28" s="236">
        <v>0</v>
      </c>
      <c r="Q28" s="242">
        <v>11100</v>
      </c>
      <c r="R28" s="242">
        <v>11200</v>
      </c>
      <c r="S28" s="242">
        <v>8501</v>
      </c>
      <c r="T28" s="242">
        <v>890.7</v>
      </c>
      <c r="U28" s="236">
        <f t="shared" si="0"/>
        <v>778432.2000000001</v>
      </c>
      <c r="V28" s="236">
        <f t="shared" si="0"/>
        <v>775219.3999999999</v>
      </c>
      <c r="W28" s="242">
        <v>498454.7</v>
      </c>
      <c r="X28" s="242">
        <v>549500.1</v>
      </c>
      <c r="Y28" s="242">
        <v>0</v>
      </c>
      <c r="Z28" s="242">
        <v>0</v>
      </c>
      <c r="AA28" s="242">
        <v>0</v>
      </c>
      <c r="AB28" s="242">
        <v>0</v>
      </c>
      <c r="AC28" s="242">
        <v>-50000</v>
      </c>
      <c r="AD28" s="242">
        <v>-74655.2</v>
      </c>
      <c r="AE28" s="242">
        <v>-400869.6</v>
      </c>
      <c r="AF28" s="242">
        <v>-425026.2</v>
      </c>
      <c r="AG28" s="236">
        <v>1165.6</v>
      </c>
      <c r="AH28" s="236">
        <v>0</v>
      </c>
      <c r="AI28" s="236">
        <v>0</v>
      </c>
      <c r="AJ28" s="236">
        <v>0</v>
      </c>
      <c r="AK28" s="236">
        <f t="shared" si="1"/>
        <v>48750.70000000001</v>
      </c>
      <c r="AL28" s="236">
        <f t="shared" si="1"/>
        <v>49818.69999999995</v>
      </c>
    </row>
    <row r="29" spans="1:38" s="111" customFormat="1" ht="17.25" customHeight="1">
      <c r="A29" s="222">
        <v>19</v>
      </c>
      <c r="B29" s="245" t="s">
        <v>973</v>
      </c>
      <c r="C29" s="236">
        <f>U29+AK29-AI29</f>
        <v>54237.2</v>
      </c>
      <c r="D29" s="236">
        <f>V29+AL29-AJ29</f>
        <v>34186.5</v>
      </c>
      <c r="E29" s="242">
        <v>16225</v>
      </c>
      <c r="F29" s="242">
        <v>15448.4</v>
      </c>
      <c r="G29" s="242">
        <v>2970</v>
      </c>
      <c r="H29" s="242">
        <v>2773.8</v>
      </c>
      <c r="I29" s="242">
        <v>8795</v>
      </c>
      <c r="J29" s="242">
        <v>9302.1</v>
      </c>
      <c r="K29" s="238">
        <v>0</v>
      </c>
      <c r="L29" s="238">
        <v>0</v>
      </c>
      <c r="M29" s="238">
        <v>0</v>
      </c>
      <c r="N29" s="238">
        <v>0</v>
      </c>
      <c r="O29" s="236">
        <v>0</v>
      </c>
      <c r="P29" s="236">
        <v>0</v>
      </c>
      <c r="Q29" s="242">
        <v>4100</v>
      </c>
      <c r="R29" s="242">
        <v>4347</v>
      </c>
      <c r="S29" s="242">
        <v>810</v>
      </c>
      <c r="T29" s="242">
        <v>98</v>
      </c>
      <c r="U29" s="236">
        <f t="shared" si="0"/>
        <v>32900</v>
      </c>
      <c r="V29" s="236">
        <f t="shared" si="0"/>
        <v>31969.300000000003</v>
      </c>
      <c r="W29" s="240">
        <v>28700</v>
      </c>
      <c r="X29" s="242">
        <v>8101.3</v>
      </c>
      <c r="Y29" s="242">
        <v>0</v>
      </c>
      <c r="Z29" s="242">
        <v>0</v>
      </c>
      <c r="AA29" s="242">
        <v>0</v>
      </c>
      <c r="AB29" s="242">
        <v>0</v>
      </c>
      <c r="AC29" s="239">
        <v>0</v>
      </c>
      <c r="AD29" s="239">
        <v>0</v>
      </c>
      <c r="AE29" s="242">
        <v>-7362.8</v>
      </c>
      <c r="AF29" s="242">
        <v>-5884.1</v>
      </c>
      <c r="AG29" s="236">
        <v>0</v>
      </c>
      <c r="AH29" s="236">
        <v>0</v>
      </c>
      <c r="AI29" s="236">
        <v>0</v>
      </c>
      <c r="AJ29" s="236">
        <v>0</v>
      </c>
      <c r="AK29" s="236">
        <f t="shared" si="1"/>
        <v>21337.2</v>
      </c>
      <c r="AL29" s="236">
        <f t="shared" si="1"/>
        <v>2217.2</v>
      </c>
    </row>
    <row r="30" spans="1:38" s="111" customFormat="1" ht="17.25" customHeight="1">
      <c r="A30" s="222">
        <v>20</v>
      </c>
      <c r="B30" s="245" t="s">
        <v>974</v>
      </c>
      <c r="C30" s="236">
        <f>U30+AK30-AI30</f>
        <v>134099.4</v>
      </c>
      <c r="D30" s="236">
        <f>V30+AL30-AJ30</f>
        <v>99077.8</v>
      </c>
      <c r="E30" s="242">
        <v>33350</v>
      </c>
      <c r="F30" s="242">
        <v>31659.4</v>
      </c>
      <c r="G30" s="242">
        <v>6580</v>
      </c>
      <c r="H30" s="242">
        <v>5396.7</v>
      </c>
      <c r="I30" s="242">
        <v>21133.9</v>
      </c>
      <c r="J30" s="242">
        <v>10344.8</v>
      </c>
      <c r="K30" s="238">
        <v>0</v>
      </c>
      <c r="L30" s="238">
        <v>0</v>
      </c>
      <c r="M30" s="242">
        <v>17620</v>
      </c>
      <c r="N30" s="242">
        <v>17620</v>
      </c>
      <c r="O30" s="242">
        <v>780</v>
      </c>
      <c r="P30" s="242">
        <v>380</v>
      </c>
      <c r="Q30" s="242">
        <v>5500</v>
      </c>
      <c r="R30" s="242">
        <v>3109.7</v>
      </c>
      <c r="S30" s="242">
        <v>13660.6</v>
      </c>
      <c r="T30" s="242">
        <v>175.5</v>
      </c>
      <c r="U30" s="236">
        <f t="shared" si="0"/>
        <v>98624.5</v>
      </c>
      <c r="V30" s="236">
        <f t="shared" si="0"/>
        <v>68686.1</v>
      </c>
      <c r="W30" s="240">
        <v>36836.3</v>
      </c>
      <c r="X30" s="242">
        <v>32155.7</v>
      </c>
      <c r="Y30" s="242">
        <v>0</v>
      </c>
      <c r="Z30" s="242">
        <v>0</v>
      </c>
      <c r="AA30" s="242">
        <v>0</v>
      </c>
      <c r="AB30" s="242">
        <v>0</v>
      </c>
      <c r="AC30" s="239">
        <v>0</v>
      </c>
      <c r="AD30" s="239">
        <v>0</v>
      </c>
      <c r="AE30" s="239">
        <v>-1361.4</v>
      </c>
      <c r="AF30" s="239">
        <v>-1764</v>
      </c>
      <c r="AG30" s="236">
        <v>0</v>
      </c>
      <c r="AH30" s="236">
        <v>0</v>
      </c>
      <c r="AI30" s="236">
        <v>0</v>
      </c>
      <c r="AJ30" s="236">
        <v>0</v>
      </c>
      <c r="AK30" s="236">
        <f t="shared" si="1"/>
        <v>35474.9</v>
      </c>
      <c r="AL30" s="236">
        <f t="shared" si="1"/>
        <v>30391.7</v>
      </c>
    </row>
    <row r="31" spans="1:38" s="111" customFormat="1" ht="17.25" customHeight="1">
      <c r="A31" s="222">
        <v>21</v>
      </c>
      <c r="B31" s="245" t="s">
        <v>975</v>
      </c>
      <c r="C31" s="236">
        <f aca="true" t="shared" si="2" ref="C31:D35">U31+AK31</f>
        <v>63739.700000000004</v>
      </c>
      <c r="D31" s="236">
        <f t="shared" si="2"/>
        <v>53090.5</v>
      </c>
      <c r="E31" s="242">
        <v>24430</v>
      </c>
      <c r="F31" s="242">
        <v>24341</v>
      </c>
      <c r="G31" s="242">
        <v>4520</v>
      </c>
      <c r="H31" s="242">
        <v>4359.9</v>
      </c>
      <c r="I31" s="242">
        <v>13682.8</v>
      </c>
      <c r="J31" s="242">
        <v>8724.6</v>
      </c>
      <c r="K31" s="238">
        <v>0</v>
      </c>
      <c r="L31" s="238">
        <v>0</v>
      </c>
      <c r="M31" s="238">
        <v>0</v>
      </c>
      <c r="N31" s="238">
        <v>0</v>
      </c>
      <c r="O31" s="242">
        <v>350</v>
      </c>
      <c r="P31" s="242">
        <v>20</v>
      </c>
      <c r="Q31" s="242">
        <v>12430</v>
      </c>
      <c r="R31" s="242">
        <v>10472.3</v>
      </c>
      <c r="S31" s="242">
        <v>3250</v>
      </c>
      <c r="T31" s="242">
        <v>117</v>
      </c>
      <c r="U31" s="236">
        <f t="shared" si="0"/>
        <v>58662.8</v>
      </c>
      <c r="V31" s="236">
        <f t="shared" si="0"/>
        <v>48034.8</v>
      </c>
      <c r="W31" s="240">
        <v>8076.9</v>
      </c>
      <c r="X31" s="240">
        <v>7504.5</v>
      </c>
      <c r="Y31" s="242">
        <v>0</v>
      </c>
      <c r="Z31" s="242">
        <v>0</v>
      </c>
      <c r="AA31" s="242">
        <v>0</v>
      </c>
      <c r="AB31" s="242">
        <v>0</v>
      </c>
      <c r="AC31" s="242">
        <v>0</v>
      </c>
      <c r="AD31" s="242">
        <v>-1355.6</v>
      </c>
      <c r="AE31" s="242">
        <v>-3000</v>
      </c>
      <c r="AF31" s="242">
        <v>-1093.2</v>
      </c>
      <c r="AG31" s="236">
        <v>0</v>
      </c>
      <c r="AH31" s="236">
        <v>0</v>
      </c>
      <c r="AI31" s="236">
        <v>1500</v>
      </c>
      <c r="AJ31" s="236">
        <v>1479.3</v>
      </c>
      <c r="AK31" s="236">
        <f aca="true" t="shared" si="3" ref="AK31:AL35">AG31+AE31+AC31+AA31+Y31+W31</f>
        <v>5076.9</v>
      </c>
      <c r="AL31" s="236">
        <f t="shared" si="3"/>
        <v>5055.7</v>
      </c>
    </row>
    <row r="32" spans="1:38" s="111" customFormat="1" ht="17.25" customHeight="1">
      <c r="A32" s="222">
        <v>22</v>
      </c>
      <c r="B32" s="245" t="s">
        <v>976</v>
      </c>
      <c r="C32" s="236">
        <f t="shared" si="2"/>
        <v>79027.79999999999</v>
      </c>
      <c r="D32" s="236">
        <f t="shared" si="2"/>
        <v>64881.200000000004</v>
      </c>
      <c r="E32" s="242">
        <v>18140</v>
      </c>
      <c r="F32" s="242">
        <v>17108.3</v>
      </c>
      <c r="G32" s="242">
        <v>3980</v>
      </c>
      <c r="H32" s="242">
        <v>3417.9</v>
      </c>
      <c r="I32" s="242">
        <v>7380</v>
      </c>
      <c r="J32" s="242">
        <v>4262.6</v>
      </c>
      <c r="K32" s="238">
        <v>0</v>
      </c>
      <c r="L32" s="238">
        <v>0</v>
      </c>
      <c r="M32" s="242">
        <v>5600.7</v>
      </c>
      <c r="N32" s="242">
        <v>3000</v>
      </c>
      <c r="O32" s="242">
        <v>0</v>
      </c>
      <c r="P32" s="242">
        <v>0</v>
      </c>
      <c r="Q32" s="242">
        <v>5100</v>
      </c>
      <c r="R32" s="242">
        <v>5300</v>
      </c>
      <c r="S32" s="242">
        <v>5277</v>
      </c>
      <c r="T32" s="242">
        <v>0</v>
      </c>
      <c r="U32" s="236">
        <f t="shared" si="0"/>
        <v>45477.7</v>
      </c>
      <c r="V32" s="236">
        <f t="shared" si="0"/>
        <v>33088.8</v>
      </c>
      <c r="W32" s="240">
        <v>50660.1</v>
      </c>
      <c r="X32" s="240">
        <v>53218.5</v>
      </c>
      <c r="Y32" s="242">
        <v>0</v>
      </c>
      <c r="Z32" s="242">
        <v>0</v>
      </c>
      <c r="AA32" s="242">
        <v>0</v>
      </c>
      <c r="AB32" s="242">
        <v>0</v>
      </c>
      <c r="AC32" s="239">
        <v>0</v>
      </c>
      <c r="AD32" s="239">
        <v>0</v>
      </c>
      <c r="AE32" s="242">
        <v>-17110</v>
      </c>
      <c r="AF32" s="242">
        <v>-21426.1</v>
      </c>
      <c r="AG32" s="236">
        <v>0</v>
      </c>
      <c r="AH32" s="236">
        <v>0</v>
      </c>
      <c r="AI32" s="236">
        <v>3000</v>
      </c>
      <c r="AJ32" s="236">
        <v>1980</v>
      </c>
      <c r="AK32" s="236">
        <f t="shared" si="3"/>
        <v>33550.1</v>
      </c>
      <c r="AL32" s="236">
        <f t="shared" si="3"/>
        <v>31792.4</v>
      </c>
    </row>
    <row r="33" spans="1:38" s="111" customFormat="1" ht="17.25" customHeight="1">
      <c r="A33" s="222">
        <v>23</v>
      </c>
      <c r="B33" s="245" t="s">
        <v>977</v>
      </c>
      <c r="C33" s="236">
        <f t="shared" si="2"/>
        <v>83102.20000000001</v>
      </c>
      <c r="D33" s="236">
        <f t="shared" si="2"/>
        <v>76809.6</v>
      </c>
      <c r="E33" s="242">
        <v>31977.7</v>
      </c>
      <c r="F33" s="242">
        <v>30814.3</v>
      </c>
      <c r="G33" s="242">
        <v>5650.4</v>
      </c>
      <c r="H33" s="242">
        <v>5443.5</v>
      </c>
      <c r="I33" s="242">
        <v>12480</v>
      </c>
      <c r="J33" s="242">
        <v>12057.4</v>
      </c>
      <c r="K33" s="238">
        <v>0</v>
      </c>
      <c r="L33" s="238">
        <v>0</v>
      </c>
      <c r="M33" s="238">
        <v>0</v>
      </c>
      <c r="N33" s="238">
        <v>0</v>
      </c>
      <c r="O33" s="242">
        <v>20</v>
      </c>
      <c r="P33" s="242">
        <v>0</v>
      </c>
      <c r="Q33" s="242">
        <v>6659.3</v>
      </c>
      <c r="R33" s="242">
        <v>6498</v>
      </c>
      <c r="S33" s="242">
        <v>326.2</v>
      </c>
      <c r="T33" s="242">
        <v>153.7</v>
      </c>
      <c r="U33" s="236">
        <f t="shared" si="0"/>
        <v>57113.600000000006</v>
      </c>
      <c r="V33" s="236">
        <f t="shared" si="0"/>
        <v>54966.899999999994</v>
      </c>
      <c r="W33" s="240">
        <v>76561.6</v>
      </c>
      <c r="X33" s="240">
        <v>72579.1</v>
      </c>
      <c r="Y33" s="242">
        <v>0</v>
      </c>
      <c r="Z33" s="242">
        <v>0</v>
      </c>
      <c r="AA33" s="242">
        <v>0</v>
      </c>
      <c r="AB33" s="242">
        <v>0</v>
      </c>
      <c r="AC33" s="242">
        <v>0</v>
      </c>
      <c r="AD33" s="242">
        <v>-576.2</v>
      </c>
      <c r="AE33" s="242">
        <v>-50573</v>
      </c>
      <c r="AF33" s="242">
        <v>-50160.2</v>
      </c>
      <c r="AG33" s="236">
        <v>0</v>
      </c>
      <c r="AH33" s="236">
        <v>0</v>
      </c>
      <c r="AI33" s="236">
        <v>0</v>
      </c>
      <c r="AJ33" s="236">
        <v>0</v>
      </c>
      <c r="AK33" s="236">
        <f t="shared" si="3"/>
        <v>25988.600000000006</v>
      </c>
      <c r="AL33" s="236">
        <f t="shared" si="3"/>
        <v>21842.70000000001</v>
      </c>
    </row>
    <row r="34" spans="1:38" s="111" customFormat="1" ht="17.25" customHeight="1">
      <c r="A34" s="222">
        <v>24</v>
      </c>
      <c r="B34" s="245" t="s">
        <v>978</v>
      </c>
      <c r="C34" s="236">
        <f t="shared" si="2"/>
        <v>137128.8</v>
      </c>
      <c r="D34" s="236">
        <f t="shared" si="2"/>
        <v>127028.70000000001</v>
      </c>
      <c r="E34" s="242">
        <v>21040</v>
      </c>
      <c r="F34" s="242">
        <v>17924.6</v>
      </c>
      <c r="G34" s="242">
        <v>4395</v>
      </c>
      <c r="H34" s="242">
        <v>3488.4</v>
      </c>
      <c r="I34" s="242">
        <v>18806.2</v>
      </c>
      <c r="J34" s="242">
        <v>17593.2</v>
      </c>
      <c r="K34" s="238">
        <v>0</v>
      </c>
      <c r="L34" s="238">
        <v>0</v>
      </c>
      <c r="M34" s="242">
        <v>47572</v>
      </c>
      <c r="N34" s="242">
        <v>44952.8</v>
      </c>
      <c r="O34" s="242">
        <v>1300</v>
      </c>
      <c r="P34" s="242">
        <v>1265</v>
      </c>
      <c r="Q34" s="242">
        <v>3300</v>
      </c>
      <c r="R34" s="242">
        <v>3295</v>
      </c>
      <c r="S34" s="242">
        <v>1117</v>
      </c>
      <c r="T34" s="242">
        <v>65</v>
      </c>
      <c r="U34" s="236">
        <f t="shared" si="0"/>
        <v>97530.2</v>
      </c>
      <c r="V34" s="236">
        <f t="shared" si="0"/>
        <v>88584</v>
      </c>
      <c r="W34" s="240">
        <v>48598.6</v>
      </c>
      <c r="X34" s="240">
        <v>48434.8</v>
      </c>
      <c r="Y34" s="242">
        <v>0</v>
      </c>
      <c r="Z34" s="242">
        <v>0</v>
      </c>
      <c r="AA34" s="242">
        <v>0</v>
      </c>
      <c r="AB34" s="242">
        <v>0</v>
      </c>
      <c r="AC34" s="242">
        <v>-3000</v>
      </c>
      <c r="AD34" s="242">
        <v>-2483</v>
      </c>
      <c r="AE34" s="242">
        <v>-6000</v>
      </c>
      <c r="AF34" s="242">
        <v>-7507.1</v>
      </c>
      <c r="AG34" s="236">
        <v>0</v>
      </c>
      <c r="AH34" s="236">
        <v>0</v>
      </c>
      <c r="AI34" s="236">
        <v>20000</v>
      </c>
      <c r="AJ34" s="236">
        <v>20000</v>
      </c>
      <c r="AK34" s="236">
        <f t="shared" si="3"/>
        <v>39598.6</v>
      </c>
      <c r="AL34" s="236">
        <f t="shared" si="3"/>
        <v>38444.700000000004</v>
      </c>
    </row>
    <row r="35" spans="1:38" s="111" customFormat="1" ht="17.25" customHeight="1">
      <c r="A35" s="222">
        <v>25</v>
      </c>
      <c r="B35" s="245" t="s">
        <v>979</v>
      </c>
      <c r="C35" s="236">
        <f t="shared" si="2"/>
        <v>112187.70000000001</v>
      </c>
      <c r="D35" s="236">
        <f t="shared" si="2"/>
        <v>103906.6</v>
      </c>
      <c r="E35" s="242">
        <v>38955</v>
      </c>
      <c r="F35" s="242">
        <v>37109.7</v>
      </c>
      <c r="G35" s="242">
        <v>9543</v>
      </c>
      <c r="H35" s="242">
        <v>8008.7</v>
      </c>
      <c r="I35" s="242">
        <v>21598.1</v>
      </c>
      <c r="J35" s="242">
        <v>17928.3</v>
      </c>
      <c r="K35" s="238">
        <v>0</v>
      </c>
      <c r="L35" s="238">
        <v>0</v>
      </c>
      <c r="M35" s="242">
        <v>11730</v>
      </c>
      <c r="N35" s="242">
        <v>11726.8</v>
      </c>
      <c r="O35" s="242">
        <v>179</v>
      </c>
      <c r="P35" s="242">
        <v>129</v>
      </c>
      <c r="Q35" s="242">
        <v>7536</v>
      </c>
      <c r="R35" s="242">
        <v>7414</v>
      </c>
      <c r="S35" s="242">
        <v>224</v>
      </c>
      <c r="T35" s="242">
        <v>86</v>
      </c>
      <c r="U35" s="236">
        <f t="shared" si="0"/>
        <v>89765.1</v>
      </c>
      <c r="V35" s="236">
        <f t="shared" si="0"/>
        <v>82402.5</v>
      </c>
      <c r="W35" s="240">
        <v>37422.6</v>
      </c>
      <c r="X35" s="240">
        <v>35100.6</v>
      </c>
      <c r="Y35" s="242">
        <v>0</v>
      </c>
      <c r="Z35" s="242">
        <v>0</v>
      </c>
      <c r="AA35" s="242">
        <v>0</v>
      </c>
      <c r="AB35" s="242">
        <v>0</v>
      </c>
      <c r="AC35" s="239">
        <v>0</v>
      </c>
      <c r="AD35" s="239">
        <v>-207</v>
      </c>
      <c r="AE35" s="242">
        <v>-15000</v>
      </c>
      <c r="AF35" s="242">
        <v>-13389.5</v>
      </c>
      <c r="AG35" s="236">
        <v>0</v>
      </c>
      <c r="AH35" s="236">
        <v>0</v>
      </c>
      <c r="AI35" s="236">
        <v>14740</v>
      </c>
      <c r="AJ35" s="236">
        <v>14407.8</v>
      </c>
      <c r="AK35" s="236">
        <f t="shared" si="3"/>
        <v>22422.6</v>
      </c>
      <c r="AL35" s="236">
        <f t="shared" si="3"/>
        <v>21504.1</v>
      </c>
    </row>
    <row r="36" spans="1:38" s="111" customFormat="1" ht="17.25" customHeight="1">
      <c r="A36" s="222">
        <v>26</v>
      </c>
      <c r="B36" s="245" t="s">
        <v>980</v>
      </c>
      <c r="C36" s="236">
        <f>U36+AK36-AI36</f>
        <v>11746.2</v>
      </c>
      <c r="D36" s="236">
        <f>V36+AL36-AJ36</f>
        <v>7773.9</v>
      </c>
      <c r="E36" s="242">
        <v>5060</v>
      </c>
      <c r="F36" s="242">
        <v>3943</v>
      </c>
      <c r="G36" s="242">
        <v>930</v>
      </c>
      <c r="H36" s="242">
        <v>756</v>
      </c>
      <c r="I36" s="242">
        <v>1227</v>
      </c>
      <c r="J36" s="242">
        <v>90</v>
      </c>
      <c r="K36" s="238">
        <v>0</v>
      </c>
      <c r="L36" s="238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390</v>
      </c>
      <c r="T36" s="242">
        <v>11</v>
      </c>
      <c r="U36" s="236">
        <f t="shared" si="0"/>
        <v>7607</v>
      </c>
      <c r="V36" s="236">
        <f t="shared" si="0"/>
        <v>4800</v>
      </c>
      <c r="W36" s="240">
        <v>5062.2</v>
      </c>
      <c r="X36" s="242">
        <v>2973.9</v>
      </c>
      <c r="Y36" s="242">
        <v>0</v>
      </c>
      <c r="Z36" s="242">
        <v>0</v>
      </c>
      <c r="AA36" s="242">
        <v>0</v>
      </c>
      <c r="AB36" s="242">
        <v>0</v>
      </c>
      <c r="AC36" s="239">
        <v>0</v>
      </c>
      <c r="AD36" s="239">
        <v>0</v>
      </c>
      <c r="AE36" s="242">
        <v>-923</v>
      </c>
      <c r="AF36" s="242">
        <v>0</v>
      </c>
      <c r="AG36" s="236">
        <v>0</v>
      </c>
      <c r="AH36" s="236">
        <v>0</v>
      </c>
      <c r="AI36" s="236">
        <v>0</v>
      </c>
      <c r="AJ36" s="236">
        <v>0</v>
      </c>
      <c r="AK36" s="236">
        <f>AI36+AG36+AE36+AC36+AA36+Y36+W36</f>
        <v>4139.2</v>
      </c>
      <c r="AL36" s="236">
        <f>AJ36+AH36+AF36+AD36+AB36+Z36+X36</f>
        <v>2973.9</v>
      </c>
    </row>
    <row r="37" spans="1:38" s="111" customFormat="1" ht="17.25" customHeight="1">
      <c r="A37" s="222">
        <v>27</v>
      </c>
      <c r="B37" s="245" t="s">
        <v>981</v>
      </c>
      <c r="C37" s="236">
        <f>U37+AK37</f>
        <v>72657.2</v>
      </c>
      <c r="D37" s="236">
        <f>V37+AL37</f>
        <v>51971.09999999999</v>
      </c>
      <c r="E37" s="242">
        <v>18488.3</v>
      </c>
      <c r="F37" s="242">
        <v>18182.1</v>
      </c>
      <c r="G37" s="242">
        <v>3994.3</v>
      </c>
      <c r="H37" s="242">
        <v>3719</v>
      </c>
      <c r="I37" s="242">
        <v>16228.2</v>
      </c>
      <c r="J37" s="242">
        <v>11463.5</v>
      </c>
      <c r="K37" s="238">
        <v>0</v>
      </c>
      <c r="L37" s="238">
        <v>0</v>
      </c>
      <c r="M37" s="238">
        <v>3177.4</v>
      </c>
      <c r="N37" s="238">
        <v>2760</v>
      </c>
      <c r="O37" s="242">
        <v>150</v>
      </c>
      <c r="P37" s="242">
        <v>150</v>
      </c>
      <c r="Q37" s="242">
        <v>6300</v>
      </c>
      <c r="R37" s="242">
        <v>5030</v>
      </c>
      <c r="S37" s="242">
        <v>220</v>
      </c>
      <c r="T37" s="242">
        <v>141.3</v>
      </c>
      <c r="U37" s="236">
        <f t="shared" si="0"/>
        <v>48558.2</v>
      </c>
      <c r="V37" s="236">
        <f t="shared" si="0"/>
        <v>41445.899999999994</v>
      </c>
      <c r="W37" s="242">
        <v>27378</v>
      </c>
      <c r="X37" s="242">
        <v>13804.2</v>
      </c>
      <c r="Y37" s="242">
        <v>0</v>
      </c>
      <c r="Z37" s="242">
        <v>0</v>
      </c>
      <c r="AA37" s="242">
        <v>0</v>
      </c>
      <c r="AB37" s="242">
        <v>0</v>
      </c>
      <c r="AC37" s="239">
        <v>0</v>
      </c>
      <c r="AD37" s="239">
        <v>0</v>
      </c>
      <c r="AE37" s="239">
        <v>-3279</v>
      </c>
      <c r="AF37" s="239">
        <v>-3279</v>
      </c>
      <c r="AG37" s="236">
        <v>0</v>
      </c>
      <c r="AH37" s="236">
        <v>0</v>
      </c>
      <c r="AI37" s="236">
        <v>11900</v>
      </c>
      <c r="AJ37" s="236">
        <v>0</v>
      </c>
      <c r="AK37" s="236">
        <f>AG37+AE37+AC37+AA37+Y37+W37</f>
        <v>24099</v>
      </c>
      <c r="AL37" s="236">
        <f>AH37+AF37+AD37+AB37+Z37+X37</f>
        <v>10525.2</v>
      </c>
    </row>
    <row r="38" spans="1:38" s="111" customFormat="1" ht="17.25" customHeight="1">
      <c r="A38" s="222">
        <v>28</v>
      </c>
      <c r="B38" s="245" t="s">
        <v>982</v>
      </c>
      <c r="C38" s="236">
        <f aca="true" t="shared" si="4" ref="C38:D46">U38+AK38-AI38</f>
        <v>12292.4</v>
      </c>
      <c r="D38" s="236">
        <f t="shared" si="4"/>
        <v>11836.599999999999</v>
      </c>
      <c r="E38" s="242">
        <v>7630</v>
      </c>
      <c r="F38" s="242">
        <v>7587.2</v>
      </c>
      <c r="G38" s="242">
        <v>1554</v>
      </c>
      <c r="H38" s="242">
        <v>1397.2</v>
      </c>
      <c r="I38" s="242">
        <v>1886</v>
      </c>
      <c r="J38" s="242">
        <v>1657.8</v>
      </c>
      <c r="K38" s="238">
        <v>0</v>
      </c>
      <c r="L38" s="238">
        <v>0</v>
      </c>
      <c r="M38" s="238">
        <v>0</v>
      </c>
      <c r="N38" s="238">
        <v>0</v>
      </c>
      <c r="O38" s="242">
        <v>10</v>
      </c>
      <c r="P38" s="242">
        <v>0</v>
      </c>
      <c r="Q38" s="242">
        <v>327.1</v>
      </c>
      <c r="R38" s="242">
        <v>310</v>
      </c>
      <c r="S38" s="242">
        <v>48</v>
      </c>
      <c r="T38" s="242">
        <v>47.1</v>
      </c>
      <c r="U38" s="236">
        <f t="shared" si="0"/>
        <v>11455.1</v>
      </c>
      <c r="V38" s="236">
        <f t="shared" si="0"/>
        <v>10999.3</v>
      </c>
      <c r="W38" s="240">
        <v>1137.3</v>
      </c>
      <c r="X38" s="240">
        <v>837.3</v>
      </c>
      <c r="Y38" s="242">
        <v>0</v>
      </c>
      <c r="Z38" s="242">
        <v>0</v>
      </c>
      <c r="AA38" s="242">
        <v>0</v>
      </c>
      <c r="AB38" s="242">
        <v>0</v>
      </c>
      <c r="AC38" s="239">
        <v>0</v>
      </c>
      <c r="AD38" s="239">
        <v>0</v>
      </c>
      <c r="AE38" s="242">
        <v>-300</v>
      </c>
      <c r="AF38" s="242">
        <v>0</v>
      </c>
      <c r="AG38" s="236">
        <v>0</v>
      </c>
      <c r="AH38" s="236">
        <v>0</v>
      </c>
      <c r="AI38" s="236">
        <v>0</v>
      </c>
      <c r="AJ38" s="236">
        <v>0</v>
      </c>
      <c r="AK38" s="236">
        <f aca="true" t="shared" si="5" ref="AK38:AL46">AI38+AG38+AE38+AC38+AA38+Y38+W38</f>
        <v>837.3</v>
      </c>
      <c r="AL38" s="236">
        <f t="shared" si="5"/>
        <v>837.3</v>
      </c>
    </row>
    <row r="39" spans="1:38" s="111" customFormat="1" ht="17.25" customHeight="1">
      <c r="A39" s="222">
        <v>29</v>
      </c>
      <c r="B39" s="245" t="s">
        <v>983</v>
      </c>
      <c r="C39" s="236">
        <f t="shared" si="4"/>
        <v>33018.899999999994</v>
      </c>
      <c r="D39" s="236">
        <f t="shared" si="4"/>
        <v>13917.8</v>
      </c>
      <c r="E39" s="242">
        <v>14020</v>
      </c>
      <c r="F39" s="242">
        <v>13540</v>
      </c>
      <c r="G39" s="242">
        <v>3494.3</v>
      </c>
      <c r="H39" s="242">
        <v>3494.3</v>
      </c>
      <c r="I39" s="242">
        <v>6605.8</v>
      </c>
      <c r="J39" s="242">
        <v>5001.8</v>
      </c>
      <c r="K39" s="238">
        <v>0</v>
      </c>
      <c r="L39" s="238">
        <v>0</v>
      </c>
      <c r="M39" s="242">
        <v>4500</v>
      </c>
      <c r="N39" s="242">
        <v>4500</v>
      </c>
      <c r="O39" s="242">
        <v>0</v>
      </c>
      <c r="P39" s="242">
        <v>0</v>
      </c>
      <c r="Q39" s="242">
        <v>1210</v>
      </c>
      <c r="R39" s="242">
        <v>1210</v>
      </c>
      <c r="S39" s="242">
        <v>1540</v>
      </c>
      <c r="T39" s="242">
        <v>16.8</v>
      </c>
      <c r="U39" s="236">
        <f t="shared" si="0"/>
        <v>31370.1</v>
      </c>
      <c r="V39" s="236">
        <f t="shared" si="0"/>
        <v>27762.9</v>
      </c>
      <c r="W39" s="240">
        <v>25648.8</v>
      </c>
      <c r="X39" s="242">
        <v>22188.3</v>
      </c>
      <c r="Y39" s="242">
        <v>0</v>
      </c>
      <c r="Z39" s="242">
        <v>0</v>
      </c>
      <c r="AA39" s="242">
        <v>0</v>
      </c>
      <c r="AB39" s="242">
        <v>0</v>
      </c>
      <c r="AC39" s="242">
        <v>0</v>
      </c>
      <c r="AD39" s="242">
        <v>0</v>
      </c>
      <c r="AE39" s="242">
        <v>-24000</v>
      </c>
      <c r="AF39" s="242">
        <v>-36033.4</v>
      </c>
      <c r="AG39" s="236">
        <v>0</v>
      </c>
      <c r="AH39" s="236">
        <v>0</v>
      </c>
      <c r="AI39" s="236">
        <v>0</v>
      </c>
      <c r="AJ39" s="236">
        <v>0</v>
      </c>
      <c r="AK39" s="236">
        <f t="shared" si="5"/>
        <v>1648.7999999999993</v>
      </c>
      <c r="AL39" s="236">
        <f t="shared" si="5"/>
        <v>-13845.100000000002</v>
      </c>
    </row>
    <row r="40" spans="1:38" s="111" customFormat="1" ht="17.25" customHeight="1">
      <c r="A40" s="222">
        <v>30</v>
      </c>
      <c r="B40" s="245" t="s">
        <v>984</v>
      </c>
      <c r="C40" s="236">
        <f t="shared" si="4"/>
        <v>22630.300000000003</v>
      </c>
      <c r="D40" s="236">
        <f t="shared" si="4"/>
        <v>18436.1</v>
      </c>
      <c r="E40" s="242">
        <v>10973</v>
      </c>
      <c r="F40" s="242">
        <v>10067.4</v>
      </c>
      <c r="G40" s="242">
        <v>2110.9</v>
      </c>
      <c r="H40" s="242">
        <v>2021.9</v>
      </c>
      <c r="I40" s="242">
        <v>6663</v>
      </c>
      <c r="J40" s="242">
        <v>5086</v>
      </c>
      <c r="K40" s="238">
        <v>0</v>
      </c>
      <c r="L40" s="238">
        <v>0</v>
      </c>
      <c r="M40" s="238">
        <v>0</v>
      </c>
      <c r="N40" s="238">
        <v>0</v>
      </c>
      <c r="O40" s="242">
        <v>200</v>
      </c>
      <c r="P40" s="242">
        <v>200</v>
      </c>
      <c r="Q40" s="242">
        <v>800</v>
      </c>
      <c r="R40" s="242">
        <v>700</v>
      </c>
      <c r="S40" s="242">
        <v>1448.5</v>
      </c>
      <c r="T40" s="242">
        <v>24</v>
      </c>
      <c r="U40" s="236">
        <f t="shared" si="0"/>
        <v>22195.4</v>
      </c>
      <c r="V40" s="236">
        <f t="shared" si="0"/>
        <v>18099.3</v>
      </c>
      <c r="W40" s="240">
        <v>5434.9</v>
      </c>
      <c r="X40" s="242">
        <v>4367.6</v>
      </c>
      <c r="Y40" s="242">
        <v>0</v>
      </c>
      <c r="Z40" s="242">
        <v>0</v>
      </c>
      <c r="AA40" s="242">
        <v>0</v>
      </c>
      <c r="AB40" s="242">
        <v>0</v>
      </c>
      <c r="AC40" s="239">
        <v>0</v>
      </c>
      <c r="AD40" s="239">
        <v>0</v>
      </c>
      <c r="AE40" s="242">
        <v>-5000</v>
      </c>
      <c r="AF40" s="242">
        <v>-4030.8</v>
      </c>
      <c r="AG40" s="236">
        <v>0</v>
      </c>
      <c r="AH40" s="236">
        <v>0</v>
      </c>
      <c r="AI40" s="236">
        <v>0</v>
      </c>
      <c r="AJ40" s="236">
        <v>0</v>
      </c>
      <c r="AK40" s="236">
        <f t="shared" si="5"/>
        <v>434.89999999999964</v>
      </c>
      <c r="AL40" s="236">
        <f t="shared" si="5"/>
        <v>336.8000000000002</v>
      </c>
    </row>
    <row r="41" spans="1:38" s="111" customFormat="1" ht="17.25" customHeight="1">
      <c r="A41" s="222">
        <v>31</v>
      </c>
      <c r="B41" s="245" t="s">
        <v>985</v>
      </c>
      <c r="C41" s="236">
        <f t="shared" si="4"/>
        <v>7204</v>
      </c>
      <c r="D41" s="236">
        <f t="shared" si="4"/>
        <v>4888.5</v>
      </c>
      <c r="E41" s="240">
        <v>3611</v>
      </c>
      <c r="F41" s="240">
        <v>3260.2</v>
      </c>
      <c r="G41" s="240">
        <v>897.7</v>
      </c>
      <c r="H41" s="240">
        <v>830.7</v>
      </c>
      <c r="I41" s="242">
        <v>1380.1</v>
      </c>
      <c r="J41" s="242">
        <v>481.6</v>
      </c>
      <c r="K41" s="238">
        <v>0</v>
      </c>
      <c r="L41" s="238">
        <v>0</v>
      </c>
      <c r="M41" s="238">
        <v>0</v>
      </c>
      <c r="N41" s="238">
        <v>0</v>
      </c>
      <c r="O41" s="242">
        <v>0</v>
      </c>
      <c r="P41" s="242">
        <v>0</v>
      </c>
      <c r="Q41" s="242">
        <v>205.2</v>
      </c>
      <c r="R41" s="242">
        <v>200</v>
      </c>
      <c r="S41" s="242">
        <v>385</v>
      </c>
      <c r="T41" s="242">
        <v>0</v>
      </c>
      <c r="U41" s="236">
        <f t="shared" si="0"/>
        <v>6479</v>
      </c>
      <c r="V41" s="236">
        <f t="shared" si="0"/>
        <v>4772.5</v>
      </c>
      <c r="W41" s="240">
        <v>725</v>
      </c>
      <c r="X41" s="240">
        <v>116</v>
      </c>
      <c r="Y41" s="242">
        <v>0</v>
      </c>
      <c r="Z41" s="242">
        <v>0</v>
      </c>
      <c r="AA41" s="242">
        <v>0</v>
      </c>
      <c r="AB41" s="242">
        <v>0</v>
      </c>
      <c r="AC41" s="239">
        <v>0</v>
      </c>
      <c r="AD41" s="239">
        <v>0</v>
      </c>
      <c r="AE41" s="239">
        <v>0</v>
      </c>
      <c r="AF41" s="239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f t="shared" si="5"/>
        <v>725</v>
      </c>
      <c r="AL41" s="236">
        <f t="shared" si="5"/>
        <v>116</v>
      </c>
    </row>
    <row r="42" spans="1:38" s="111" customFormat="1" ht="17.25" customHeight="1">
      <c r="A42" s="222">
        <v>32</v>
      </c>
      <c r="B42" s="245" t="s">
        <v>986</v>
      </c>
      <c r="C42" s="236">
        <f t="shared" si="4"/>
        <v>25629.199999999997</v>
      </c>
      <c r="D42" s="236">
        <f t="shared" si="4"/>
        <v>18441</v>
      </c>
      <c r="E42" s="242">
        <v>9140</v>
      </c>
      <c r="F42" s="242">
        <v>8681.6</v>
      </c>
      <c r="G42" s="242">
        <v>1845</v>
      </c>
      <c r="H42" s="242">
        <v>1816.2</v>
      </c>
      <c r="I42" s="242">
        <v>2528</v>
      </c>
      <c r="J42" s="242">
        <v>905.1</v>
      </c>
      <c r="K42" s="238">
        <v>0</v>
      </c>
      <c r="L42" s="238">
        <v>0</v>
      </c>
      <c r="M42" s="238">
        <v>0</v>
      </c>
      <c r="N42" s="238">
        <v>0</v>
      </c>
      <c r="O42" s="242">
        <v>500</v>
      </c>
      <c r="P42" s="242">
        <v>500</v>
      </c>
      <c r="Q42" s="242">
        <v>490</v>
      </c>
      <c r="R42" s="242">
        <v>400</v>
      </c>
      <c r="S42" s="242">
        <v>802</v>
      </c>
      <c r="T42" s="242">
        <v>31</v>
      </c>
      <c r="U42" s="236">
        <f t="shared" si="0"/>
        <v>15305</v>
      </c>
      <c r="V42" s="236">
        <f t="shared" si="0"/>
        <v>12333.900000000001</v>
      </c>
      <c r="W42" s="242">
        <v>22087.1</v>
      </c>
      <c r="X42" s="242">
        <v>17870</v>
      </c>
      <c r="Y42" s="242">
        <v>0</v>
      </c>
      <c r="Z42" s="242">
        <v>0</v>
      </c>
      <c r="AA42" s="242">
        <v>0</v>
      </c>
      <c r="AB42" s="242">
        <v>0</v>
      </c>
      <c r="AC42" s="239">
        <v>-111</v>
      </c>
      <c r="AD42" s="239">
        <v>-111</v>
      </c>
      <c r="AE42" s="239">
        <v>-11651.9</v>
      </c>
      <c r="AF42" s="239">
        <v>-11651.9</v>
      </c>
      <c r="AG42" s="236">
        <v>0</v>
      </c>
      <c r="AH42" s="236">
        <v>0</v>
      </c>
      <c r="AI42" s="236">
        <v>0</v>
      </c>
      <c r="AJ42" s="236">
        <v>0</v>
      </c>
      <c r="AK42" s="236">
        <f t="shared" si="5"/>
        <v>10324.199999999999</v>
      </c>
      <c r="AL42" s="236">
        <f t="shared" si="5"/>
        <v>6107.1</v>
      </c>
    </row>
    <row r="43" spans="1:38" s="111" customFormat="1" ht="17.25" customHeight="1">
      <c r="A43" s="222">
        <v>33</v>
      </c>
      <c r="B43" s="245" t="s">
        <v>987</v>
      </c>
      <c r="C43" s="236">
        <f t="shared" si="4"/>
        <v>46393.3</v>
      </c>
      <c r="D43" s="236">
        <f t="shared" si="4"/>
        <v>35327</v>
      </c>
      <c r="E43" s="242">
        <v>14110</v>
      </c>
      <c r="F43" s="242">
        <v>13148.9</v>
      </c>
      <c r="G43" s="242">
        <v>3060</v>
      </c>
      <c r="H43" s="242">
        <v>2677.8</v>
      </c>
      <c r="I43" s="242">
        <v>7180.5</v>
      </c>
      <c r="J43" s="242">
        <v>6167.5</v>
      </c>
      <c r="K43" s="238">
        <v>0</v>
      </c>
      <c r="L43" s="238">
        <v>0</v>
      </c>
      <c r="M43" s="242">
        <v>6500</v>
      </c>
      <c r="N43" s="242">
        <v>6500</v>
      </c>
      <c r="O43" s="242">
        <v>0</v>
      </c>
      <c r="P43" s="242">
        <v>0</v>
      </c>
      <c r="Q43" s="242">
        <v>2000</v>
      </c>
      <c r="R43" s="242">
        <v>1565</v>
      </c>
      <c r="S43" s="242">
        <v>3107.8</v>
      </c>
      <c r="T43" s="242">
        <v>30</v>
      </c>
      <c r="U43" s="236">
        <f aca="true" t="shared" si="6" ref="U43:V77">S43+Q43+O43+M43+K43+I43+G43+E43</f>
        <v>35958.3</v>
      </c>
      <c r="V43" s="236">
        <f t="shared" si="6"/>
        <v>30089.199999999997</v>
      </c>
      <c r="W43" s="242">
        <v>12281.7</v>
      </c>
      <c r="X43" s="242">
        <v>7084.5</v>
      </c>
      <c r="Y43" s="242">
        <v>0</v>
      </c>
      <c r="Z43" s="242">
        <v>0</v>
      </c>
      <c r="AA43" s="242">
        <v>0</v>
      </c>
      <c r="AB43" s="242">
        <v>0</v>
      </c>
      <c r="AC43" s="239">
        <v>-517</v>
      </c>
      <c r="AD43" s="239">
        <v>-517</v>
      </c>
      <c r="AE43" s="239">
        <v>-1329.7</v>
      </c>
      <c r="AF43" s="239">
        <v>-1329.7</v>
      </c>
      <c r="AG43" s="236">
        <v>0</v>
      </c>
      <c r="AH43" s="236">
        <v>0</v>
      </c>
      <c r="AI43" s="236">
        <v>0</v>
      </c>
      <c r="AJ43" s="236">
        <v>0</v>
      </c>
      <c r="AK43" s="236">
        <f t="shared" si="5"/>
        <v>10435</v>
      </c>
      <c r="AL43" s="236">
        <f t="shared" si="5"/>
        <v>5237.8</v>
      </c>
    </row>
    <row r="44" spans="1:38" s="111" customFormat="1" ht="17.25" customHeight="1">
      <c r="A44" s="222">
        <v>34</v>
      </c>
      <c r="B44" s="245" t="s">
        <v>988</v>
      </c>
      <c r="C44" s="236">
        <f t="shared" si="4"/>
        <v>24134.7</v>
      </c>
      <c r="D44" s="236">
        <f t="shared" si="4"/>
        <v>20651.9</v>
      </c>
      <c r="E44" s="242">
        <v>12190.9</v>
      </c>
      <c r="F44" s="242">
        <v>12136</v>
      </c>
      <c r="G44" s="242">
        <v>2530</v>
      </c>
      <c r="H44" s="242">
        <v>2441.6</v>
      </c>
      <c r="I44" s="242">
        <v>5407</v>
      </c>
      <c r="J44" s="242">
        <v>3458.6</v>
      </c>
      <c r="K44" s="238">
        <v>0</v>
      </c>
      <c r="L44" s="238">
        <v>0</v>
      </c>
      <c r="M44" s="238">
        <v>0</v>
      </c>
      <c r="N44" s="238">
        <v>0</v>
      </c>
      <c r="O44" s="242">
        <v>0</v>
      </c>
      <c r="P44" s="242">
        <v>0</v>
      </c>
      <c r="Q44" s="242">
        <v>1168</v>
      </c>
      <c r="R44" s="242">
        <v>1168</v>
      </c>
      <c r="S44" s="242">
        <v>755</v>
      </c>
      <c r="T44" s="242">
        <v>80</v>
      </c>
      <c r="U44" s="236">
        <f t="shared" si="6"/>
        <v>22050.9</v>
      </c>
      <c r="V44" s="236">
        <f t="shared" si="6"/>
        <v>19284.2</v>
      </c>
      <c r="W44" s="242">
        <v>6400.1</v>
      </c>
      <c r="X44" s="242">
        <v>1566.7</v>
      </c>
      <c r="Y44" s="242">
        <v>0</v>
      </c>
      <c r="Z44" s="242">
        <v>0</v>
      </c>
      <c r="AA44" s="242">
        <v>0</v>
      </c>
      <c r="AB44" s="242">
        <v>0</v>
      </c>
      <c r="AC44" s="242">
        <v>-800</v>
      </c>
      <c r="AD44" s="242">
        <v>0</v>
      </c>
      <c r="AE44" s="242">
        <v>-3516.3</v>
      </c>
      <c r="AF44" s="242">
        <v>-199</v>
      </c>
      <c r="AG44" s="236">
        <v>0</v>
      </c>
      <c r="AH44" s="236">
        <v>0</v>
      </c>
      <c r="AI44" s="236">
        <v>0</v>
      </c>
      <c r="AJ44" s="236">
        <v>0</v>
      </c>
      <c r="AK44" s="236">
        <f t="shared" si="5"/>
        <v>2083.8</v>
      </c>
      <c r="AL44" s="236">
        <f t="shared" si="5"/>
        <v>1367.7</v>
      </c>
    </row>
    <row r="45" spans="1:38" s="111" customFormat="1" ht="17.25" customHeight="1">
      <c r="A45" s="222">
        <v>35</v>
      </c>
      <c r="B45" s="245" t="s">
        <v>989</v>
      </c>
      <c r="C45" s="236">
        <f t="shared" si="4"/>
        <v>11311.5</v>
      </c>
      <c r="D45" s="236">
        <f t="shared" si="4"/>
        <v>4287.700000000001</v>
      </c>
      <c r="E45" s="242">
        <v>6856</v>
      </c>
      <c r="F45" s="242">
        <v>6852.3</v>
      </c>
      <c r="G45" s="242">
        <v>1640</v>
      </c>
      <c r="H45" s="242">
        <v>1639.4</v>
      </c>
      <c r="I45" s="242">
        <v>1837.4</v>
      </c>
      <c r="J45" s="242">
        <v>1822.5</v>
      </c>
      <c r="K45" s="238">
        <v>0</v>
      </c>
      <c r="L45" s="238">
        <v>0</v>
      </c>
      <c r="M45" s="238">
        <v>0</v>
      </c>
      <c r="N45" s="238">
        <v>0</v>
      </c>
      <c r="O45" s="242">
        <v>0</v>
      </c>
      <c r="P45" s="242">
        <v>0</v>
      </c>
      <c r="Q45" s="242">
        <v>352</v>
      </c>
      <c r="R45" s="242">
        <v>352</v>
      </c>
      <c r="S45" s="242">
        <v>76.7</v>
      </c>
      <c r="T45" s="242">
        <v>70.5</v>
      </c>
      <c r="U45" s="236">
        <f t="shared" si="6"/>
        <v>10762.1</v>
      </c>
      <c r="V45" s="236">
        <f t="shared" si="6"/>
        <v>10736.7</v>
      </c>
      <c r="W45" s="242">
        <v>9208.5</v>
      </c>
      <c r="X45" s="242">
        <v>3224.4</v>
      </c>
      <c r="Y45" s="242">
        <v>0</v>
      </c>
      <c r="Z45" s="242">
        <v>0</v>
      </c>
      <c r="AA45" s="242">
        <v>0</v>
      </c>
      <c r="AB45" s="242">
        <v>0</v>
      </c>
      <c r="AC45" s="239">
        <v>-1928.7</v>
      </c>
      <c r="AD45" s="239">
        <v>-1928.7</v>
      </c>
      <c r="AE45" s="242">
        <v>-6730.4</v>
      </c>
      <c r="AF45" s="242">
        <v>-7744.7</v>
      </c>
      <c r="AG45" s="236">
        <v>0</v>
      </c>
      <c r="AH45" s="236">
        <v>0</v>
      </c>
      <c r="AI45" s="236">
        <v>0</v>
      </c>
      <c r="AJ45" s="236">
        <v>0</v>
      </c>
      <c r="AK45" s="236">
        <f t="shared" si="5"/>
        <v>549.3999999999996</v>
      </c>
      <c r="AL45" s="236">
        <f t="shared" si="5"/>
        <v>-6449</v>
      </c>
    </row>
    <row r="46" spans="1:38" s="111" customFormat="1" ht="17.25" customHeight="1">
      <c r="A46" s="222">
        <v>36</v>
      </c>
      <c r="B46" s="245" t="s">
        <v>990</v>
      </c>
      <c r="C46" s="236">
        <f t="shared" si="4"/>
        <v>44554.6</v>
      </c>
      <c r="D46" s="236">
        <f t="shared" si="4"/>
        <v>36630.5</v>
      </c>
      <c r="E46" s="242">
        <v>12801.8</v>
      </c>
      <c r="F46" s="242">
        <v>12697</v>
      </c>
      <c r="G46" s="242">
        <v>2592.2</v>
      </c>
      <c r="H46" s="242">
        <v>2592.2</v>
      </c>
      <c r="I46" s="242">
        <v>10442.5</v>
      </c>
      <c r="J46" s="242">
        <v>4896.4</v>
      </c>
      <c r="K46" s="238">
        <v>0</v>
      </c>
      <c r="L46" s="238">
        <v>0</v>
      </c>
      <c r="M46" s="238">
        <v>0</v>
      </c>
      <c r="N46" s="238">
        <v>0</v>
      </c>
      <c r="O46" s="242">
        <v>0</v>
      </c>
      <c r="P46" s="242">
        <v>0</v>
      </c>
      <c r="Q46" s="242">
        <v>3300</v>
      </c>
      <c r="R46" s="242">
        <v>2795</v>
      </c>
      <c r="S46" s="242">
        <v>1820</v>
      </c>
      <c r="T46" s="242">
        <v>222.2</v>
      </c>
      <c r="U46" s="236">
        <f t="shared" si="6"/>
        <v>30956.5</v>
      </c>
      <c r="V46" s="236">
        <f t="shared" si="6"/>
        <v>23202.8</v>
      </c>
      <c r="W46" s="242">
        <v>14633.6</v>
      </c>
      <c r="X46" s="242">
        <v>14463.2</v>
      </c>
      <c r="Y46" s="242">
        <v>0</v>
      </c>
      <c r="Z46" s="242">
        <v>0</v>
      </c>
      <c r="AA46" s="242">
        <v>0</v>
      </c>
      <c r="AB46" s="242">
        <v>0</v>
      </c>
      <c r="AC46" s="239">
        <v>0</v>
      </c>
      <c r="AD46" s="239">
        <v>0</v>
      </c>
      <c r="AE46" s="239">
        <v>-1035.5</v>
      </c>
      <c r="AF46" s="239">
        <v>-1035.5</v>
      </c>
      <c r="AG46" s="236">
        <v>0</v>
      </c>
      <c r="AH46" s="236">
        <v>0</v>
      </c>
      <c r="AI46" s="236">
        <v>0</v>
      </c>
      <c r="AJ46" s="236">
        <v>0</v>
      </c>
      <c r="AK46" s="236">
        <f t="shared" si="5"/>
        <v>13598.1</v>
      </c>
      <c r="AL46" s="236">
        <f t="shared" si="5"/>
        <v>13427.7</v>
      </c>
    </row>
    <row r="47" spans="1:38" s="111" customFormat="1" ht="17.25" customHeight="1">
      <c r="A47" s="222">
        <v>37</v>
      </c>
      <c r="B47" s="245" t="s">
        <v>991</v>
      </c>
      <c r="C47" s="236">
        <f>U47+AK47</f>
        <v>12700</v>
      </c>
      <c r="D47" s="236">
        <f>V47+AL47</f>
        <v>11558.4</v>
      </c>
      <c r="E47" s="242">
        <v>7261</v>
      </c>
      <c r="F47" s="242">
        <v>6823.9</v>
      </c>
      <c r="G47" s="242">
        <v>1253.5</v>
      </c>
      <c r="H47" s="242">
        <v>1041.6</v>
      </c>
      <c r="I47" s="242">
        <v>2101</v>
      </c>
      <c r="J47" s="242">
        <v>1612.4</v>
      </c>
      <c r="K47" s="238">
        <v>0</v>
      </c>
      <c r="L47" s="238">
        <v>0</v>
      </c>
      <c r="M47" s="238">
        <v>0</v>
      </c>
      <c r="N47" s="238">
        <v>0</v>
      </c>
      <c r="O47" s="242">
        <v>0</v>
      </c>
      <c r="P47" s="242">
        <v>0</v>
      </c>
      <c r="Q47" s="242">
        <v>150</v>
      </c>
      <c r="R47" s="242">
        <v>150</v>
      </c>
      <c r="S47" s="242">
        <v>44.4</v>
      </c>
      <c r="T47" s="242">
        <v>40.4</v>
      </c>
      <c r="U47" s="236">
        <f t="shared" si="6"/>
        <v>10809.9</v>
      </c>
      <c r="V47" s="236">
        <f t="shared" si="6"/>
        <v>9668.3</v>
      </c>
      <c r="W47" s="242">
        <v>1890.1</v>
      </c>
      <c r="X47" s="242">
        <v>1890.1</v>
      </c>
      <c r="Y47" s="242">
        <v>0</v>
      </c>
      <c r="Z47" s="242">
        <v>0</v>
      </c>
      <c r="AA47" s="242">
        <v>0</v>
      </c>
      <c r="AB47" s="242">
        <v>0</v>
      </c>
      <c r="AC47" s="239">
        <v>0</v>
      </c>
      <c r="AD47" s="239">
        <v>0</v>
      </c>
      <c r="AE47" s="239">
        <v>0</v>
      </c>
      <c r="AF47" s="239">
        <v>0</v>
      </c>
      <c r="AG47" s="236">
        <v>0</v>
      </c>
      <c r="AH47" s="236">
        <v>0</v>
      </c>
      <c r="AI47" s="236">
        <v>180</v>
      </c>
      <c r="AJ47" s="236">
        <v>180</v>
      </c>
      <c r="AK47" s="236">
        <f>AG47+AE47+AC47+AA47+Y47+W47</f>
        <v>1890.1</v>
      </c>
      <c r="AL47" s="236">
        <f>AH47+AF47+AD47+AB47+Z47+X47</f>
        <v>1890.1</v>
      </c>
    </row>
    <row r="48" spans="1:38" s="111" customFormat="1" ht="17.25" customHeight="1">
      <c r="A48" s="222">
        <v>38</v>
      </c>
      <c r="B48" s="245" t="s">
        <v>992</v>
      </c>
      <c r="C48" s="236">
        <f>U48+AK48-AI48</f>
        <v>9432.7</v>
      </c>
      <c r="D48" s="236">
        <f>V48+AL48-AJ48</f>
        <v>5228.2</v>
      </c>
      <c r="E48" s="242">
        <v>4120</v>
      </c>
      <c r="F48" s="242">
        <v>4120</v>
      </c>
      <c r="G48" s="242">
        <v>1040</v>
      </c>
      <c r="H48" s="242">
        <v>960</v>
      </c>
      <c r="I48" s="242">
        <v>1246.5</v>
      </c>
      <c r="J48" s="242">
        <v>148.2</v>
      </c>
      <c r="K48" s="238">
        <v>0</v>
      </c>
      <c r="L48" s="238">
        <v>0</v>
      </c>
      <c r="M48" s="238">
        <v>0</v>
      </c>
      <c r="N48" s="238">
        <v>0</v>
      </c>
      <c r="O48" s="242">
        <v>0</v>
      </c>
      <c r="P48" s="242">
        <v>0</v>
      </c>
      <c r="Q48" s="242">
        <v>0</v>
      </c>
      <c r="R48" s="242">
        <v>0</v>
      </c>
      <c r="S48" s="242">
        <v>360</v>
      </c>
      <c r="T48" s="242">
        <v>0</v>
      </c>
      <c r="U48" s="236">
        <f t="shared" si="6"/>
        <v>6766.5</v>
      </c>
      <c r="V48" s="236">
        <f t="shared" si="6"/>
        <v>5228.2</v>
      </c>
      <c r="W48" s="242">
        <v>2666.2</v>
      </c>
      <c r="X48" s="242">
        <v>0</v>
      </c>
      <c r="Y48" s="242">
        <v>0</v>
      </c>
      <c r="Z48" s="242">
        <v>0</v>
      </c>
      <c r="AA48" s="242">
        <v>0</v>
      </c>
      <c r="AB48" s="242">
        <v>0</v>
      </c>
      <c r="AC48" s="239">
        <v>0</v>
      </c>
      <c r="AD48" s="239">
        <v>0</v>
      </c>
      <c r="AE48" s="239">
        <v>0</v>
      </c>
      <c r="AF48" s="239">
        <v>0</v>
      </c>
      <c r="AG48" s="236">
        <v>0</v>
      </c>
      <c r="AH48" s="236">
        <v>0</v>
      </c>
      <c r="AI48" s="236">
        <v>0</v>
      </c>
      <c r="AJ48" s="236">
        <v>0</v>
      </c>
      <c r="AK48" s="236">
        <f>AI48+AG48+AE48+AC48+AA48+Y48+W48</f>
        <v>2666.2</v>
      </c>
      <c r="AL48" s="236">
        <f>AJ48+AH48+AF48+AD48+AB48+Z48+X48</f>
        <v>0</v>
      </c>
    </row>
    <row r="49" spans="1:38" s="111" customFormat="1" ht="17.25" customHeight="1">
      <c r="A49" s="222">
        <v>39</v>
      </c>
      <c r="B49" s="245" t="s">
        <v>993</v>
      </c>
      <c r="C49" s="236">
        <f>U49+AK49-AI49</f>
        <v>91797.6</v>
      </c>
      <c r="D49" s="236">
        <f>V49+AL49-AJ49</f>
        <v>72452.7</v>
      </c>
      <c r="E49" s="242">
        <v>19282.4</v>
      </c>
      <c r="F49" s="242">
        <v>18595.4</v>
      </c>
      <c r="G49" s="242">
        <v>3530.3</v>
      </c>
      <c r="H49" s="242">
        <v>3043.7</v>
      </c>
      <c r="I49" s="242">
        <v>15152.3</v>
      </c>
      <c r="J49" s="242">
        <v>13740.8</v>
      </c>
      <c r="K49" s="238">
        <v>0</v>
      </c>
      <c r="L49" s="238">
        <v>0</v>
      </c>
      <c r="M49" s="242">
        <v>4797</v>
      </c>
      <c r="N49" s="242">
        <v>1043</v>
      </c>
      <c r="O49" s="242">
        <v>3325</v>
      </c>
      <c r="P49" s="242">
        <v>3324.4</v>
      </c>
      <c r="Q49" s="242">
        <v>2950</v>
      </c>
      <c r="R49" s="242">
        <v>2950</v>
      </c>
      <c r="S49" s="242">
        <v>3205</v>
      </c>
      <c r="T49" s="242">
        <v>103</v>
      </c>
      <c r="U49" s="236">
        <f t="shared" si="6"/>
        <v>52242</v>
      </c>
      <c r="V49" s="236">
        <f t="shared" si="6"/>
        <v>42800.3</v>
      </c>
      <c r="W49" s="242">
        <v>156147.2</v>
      </c>
      <c r="X49" s="242">
        <v>152867.8</v>
      </c>
      <c r="Y49" s="242">
        <v>0</v>
      </c>
      <c r="Z49" s="242">
        <v>0</v>
      </c>
      <c r="AA49" s="242">
        <v>0</v>
      </c>
      <c r="AB49" s="242">
        <v>0</v>
      </c>
      <c r="AC49" s="239">
        <v>0</v>
      </c>
      <c r="AD49" s="239">
        <v>0</v>
      </c>
      <c r="AE49" s="242">
        <v>-116591.6</v>
      </c>
      <c r="AF49" s="242">
        <v>-123215.4</v>
      </c>
      <c r="AG49" s="236">
        <v>0</v>
      </c>
      <c r="AH49" s="236">
        <v>0</v>
      </c>
      <c r="AI49" s="236">
        <v>0</v>
      </c>
      <c r="AJ49" s="236">
        <v>0</v>
      </c>
      <c r="AK49" s="236">
        <f>AI49+AG49+AE49+AC49+AA49+Y49+W49</f>
        <v>39555.600000000006</v>
      </c>
      <c r="AL49" s="236">
        <f>AJ49+AH49+AF49+AD49+AB49+Z49+X49</f>
        <v>29652.399999999994</v>
      </c>
    </row>
    <row r="50" spans="1:38" s="111" customFormat="1" ht="17.25" customHeight="1">
      <c r="A50" s="222">
        <v>40</v>
      </c>
      <c r="B50" s="245" t="s">
        <v>994</v>
      </c>
      <c r="C50" s="236">
        <f>U50+AK50</f>
        <v>35182.7</v>
      </c>
      <c r="D50" s="236">
        <f>V50+AL50</f>
        <v>33800.40000000001</v>
      </c>
      <c r="E50" s="242">
        <v>17903.6</v>
      </c>
      <c r="F50" s="242">
        <v>17839</v>
      </c>
      <c r="G50" s="242">
        <v>3349.4</v>
      </c>
      <c r="H50" s="242">
        <v>3348.2</v>
      </c>
      <c r="I50" s="242">
        <v>8733.4</v>
      </c>
      <c r="J50" s="242">
        <v>8406.6</v>
      </c>
      <c r="K50" s="238">
        <v>0</v>
      </c>
      <c r="L50" s="238">
        <v>0</v>
      </c>
      <c r="M50" s="242">
        <v>510</v>
      </c>
      <c r="N50" s="242">
        <v>510</v>
      </c>
      <c r="O50" s="242">
        <v>250</v>
      </c>
      <c r="P50" s="242">
        <v>250</v>
      </c>
      <c r="Q50" s="242">
        <v>3245</v>
      </c>
      <c r="R50" s="242">
        <v>3205</v>
      </c>
      <c r="S50" s="242">
        <v>36</v>
      </c>
      <c r="T50" s="242">
        <v>36</v>
      </c>
      <c r="U50" s="236">
        <f t="shared" si="6"/>
        <v>34027.399999999994</v>
      </c>
      <c r="V50" s="236">
        <f t="shared" si="6"/>
        <v>33594.8</v>
      </c>
      <c r="W50" s="242">
        <v>20098.1</v>
      </c>
      <c r="X50" s="242">
        <v>19152.4</v>
      </c>
      <c r="Y50" s="242">
        <v>0</v>
      </c>
      <c r="Z50" s="242">
        <v>0</v>
      </c>
      <c r="AA50" s="242">
        <v>0</v>
      </c>
      <c r="AB50" s="242">
        <v>0</v>
      </c>
      <c r="AC50" s="239">
        <v>0</v>
      </c>
      <c r="AD50" s="239">
        <v>0</v>
      </c>
      <c r="AE50" s="242">
        <v>-18942.8</v>
      </c>
      <c r="AF50" s="242">
        <v>-18946.8</v>
      </c>
      <c r="AG50" s="236">
        <v>0</v>
      </c>
      <c r="AH50" s="236">
        <v>0</v>
      </c>
      <c r="AI50" s="236">
        <v>77</v>
      </c>
      <c r="AJ50" s="236">
        <v>0</v>
      </c>
      <c r="AK50" s="236">
        <f>AG50+AE50+AC50+AA50+Y50+W50</f>
        <v>1155.2999999999993</v>
      </c>
      <c r="AL50" s="236">
        <f>AH50+AF50+AD50+AB50+Z50+X50</f>
        <v>205.60000000000218</v>
      </c>
    </row>
    <row r="51" spans="1:38" s="111" customFormat="1" ht="17.25" customHeight="1">
      <c r="A51" s="222">
        <v>41</v>
      </c>
      <c r="B51" s="245" t="s">
        <v>995</v>
      </c>
      <c r="C51" s="236">
        <f>U51+AK51-AI51</f>
        <v>27705.200000000004</v>
      </c>
      <c r="D51" s="236">
        <f>V51+AL51-AJ51</f>
        <v>-44478.9</v>
      </c>
      <c r="E51" s="242">
        <v>15340</v>
      </c>
      <c r="F51" s="242">
        <v>15138.8</v>
      </c>
      <c r="G51" s="242">
        <v>2650</v>
      </c>
      <c r="H51" s="242">
        <v>2539.6</v>
      </c>
      <c r="I51" s="242">
        <v>7830.4</v>
      </c>
      <c r="J51" s="242">
        <v>6710</v>
      </c>
      <c r="K51" s="238">
        <v>0</v>
      </c>
      <c r="L51" s="238">
        <v>0</v>
      </c>
      <c r="M51" s="238">
        <v>0</v>
      </c>
      <c r="N51" s="238">
        <v>0</v>
      </c>
      <c r="O51" s="242">
        <v>600</v>
      </c>
      <c r="P51" s="242">
        <v>600</v>
      </c>
      <c r="Q51" s="242">
        <v>984</v>
      </c>
      <c r="R51" s="242">
        <v>800</v>
      </c>
      <c r="S51" s="242">
        <v>300</v>
      </c>
      <c r="T51" s="242">
        <v>300</v>
      </c>
      <c r="U51" s="236">
        <f t="shared" si="6"/>
        <v>27704.4</v>
      </c>
      <c r="V51" s="236">
        <f t="shared" si="6"/>
        <v>26088.4</v>
      </c>
      <c r="W51" s="242">
        <v>48500.8</v>
      </c>
      <c r="X51" s="242">
        <v>33208.7</v>
      </c>
      <c r="Y51" s="242">
        <v>0</v>
      </c>
      <c r="Z51" s="242">
        <v>0</v>
      </c>
      <c r="AA51" s="242">
        <v>0</v>
      </c>
      <c r="AB51" s="242">
        <v>0</v>
      </c>
      <c r="AC51" s="239">
        <v>0</v>
      </c>
      <c r="AD51" s="242">
        <v>-21017.1</v>
      </c>
      <c r="AE51" s="242">
        <v>-48500</v>
      </c>
      <c r="AF51" s="242">
        <v>-82758.9</v>
      </c>
      <c r="AG51" s="236">
        <v>0</v>
      </c>
      <c r="AH51" s="236">
        <v>0</v>
      </c>
      <c r="AI51" s="236">
        <v>0</v>
      </c>
      <c r="AJ51" s="236">
        <v>0</v>
      </c>
      <c r="AK51" s="236">
        <f>AI51+AG51+AE51+AC51+AA51+Y51+W51</f>
        <v>0.8000000000029104</v>
      </c>
      <c r="AL51" s="236">
        <f>AJ51+AH51+AF51+AD51+AB51+Z51+X51</f>
        <v>-70567.3</v>
      </c>
    </row>
    <row r="52" spans="1:38" s="111" customFormat="1" ht="17.25" customHeight="1">
      <c r="A52" s="222">
        <v>42</v>
      </c>
      <c r="B52" s="245" t="s">
        <v>996</v>
      </c>
      <c r="C52" s="236">
        <f>U52+AK52-AI52</f>
        <v>19480.199999999997</v>
      </c>
      <c r="D52" s="236">
        <f>V52+AL52-AJ52</f>
        <v>16061.8</v>
      </c>
      <c r="E52" s="242">
        <v>7805</v>
      </c>
      <c r="F52" s="242">
        <v>7288.7</v>
      </c>
      <c r="G52" s="242">
        <v>1749.8</v>
      </c>
      <c r="H52" s="242">
        <v>1629.8</v>
      </c>
      <c r="I52" s="242">
        <v>1878.6</v>
      </c>
      <c r="J52" s="242">
        <v>1766.5</v>
      </c>
      <c r="K52" s="238">
        <v>0</v>
      </c>
      <c r="L52" s="238">
        <v>0</v>
      </c>
      <c r="M52" s="238">
        <v>0</v>
      </c>
      <c r="N52" s="238">
        <v>0</v>
      </c>
      <c r="O52" s="242">
        <v>0</v>
      </c>
      <c r="P52" s="242">
        <v>0</v>
      </c>
      <c r="Q52" s="242">
        <v>400</v>
      </c>
      <c r="R52" s="242">
        <v>400</v>
      </c>
      <c r="S52" s="242">
        <v>484.4</v>
      </c>
      <c r="T52" s="242">
        <v>59.4</v>
      </c>
      <c r="U52" s="236">
        <f t="shared" si="6"/>
        <v>12317.8</v>
      </c>
      <c r="V52" s="236">
        <f t="shared" si="6"/>
        <v>11144.4</v>
      </c>
      <c r="W52" s="242">
        <v>9162.4</v>
      </c>
      <c r="X52" s="242">
        <v>6901</v>
      </c>
      <c r="Y52" s="242">
        <v>0</v>
      </c>
      <c r="Z52" s="242">
        <v>0</v>
      </c>
      <c r="AA52" s="242">
        <v>0</v>
      </c>
      <c r="AB52" s="242">
        <v>0</v>
      </c>
      <c r="AC52" s="239">
        <v>0</v>
      </c>
      <c r="AD52" s="239">
        <v>0</v>
      </c>
      <c r="AE52" s="242">
        <v>-2000</v>
      </c>
      <c r="AF52" s="242">
        <v>-1983.6</v>
      </c>
      <c r="AG52" s="236">
        <v>0</v>
      </c>
      <c r="AH52" s="236">
        <v>0</v>
      </c>
      <c r="AI52" s="236">
        <v>0</v>
      </c>
      <c r="AJ52" s="236">
        <v>0</v>
      </c>
      <c r="AK52" s="236">
        <f>AI52+AG52+AE52+AC52+AA52+Y52+W52</f>
        <v>7162.4</v>
      </c>
      <c r="AL52" s="236">
        <f>AJ52+AH52+AF52+AD52+AB52+Z52+X52</f>
        <v>4917.4</v>
      </c>
    </row>
    <row r="53" spans="1:38" s="111" customFormat="1" ht="17.25" customHeight="1">
      <c r="A53" s="222">
        <v>43</v>
      </c>
      <c r="B53" s="245" t="s">
        <v>997</v>
      </c>
      <c r="C53" s="236">
        <f>U53+AK53</f>
        <v>16510.5</v>
      </c>
      <c r="D53" s="236">
        <f>V53+AL53</f>
        <v>14929.099999999999</v>
      </c>
      <c r="E53" s="242">
        <v>8670</v>
      </c>
      <c r="F53" s="242">
        <v>8090.7</v>
      </c>
      <c r="G53" s="242">
        <v>1600</v>
      </c>
      <c r="H53" s="242">
        <v>1555.7</v>
      </c>
      <c r="I53" s="242">
        <v>2813.2</v>
      </c>
      <c r="J53" s="242">
        <v>1956.1</v>
      </c>
      <c r="K53" s="238">
        <v>0</v>
      </c>
      <c r="L53" s="238">
        <v>0</v>
      </c>
      <c r="M53" s="238">
        <v>0</v>
      </c>
      <c r="N53" s="238">
        <v>0</v>
      </c>
      <c r="O53" s="242">
        <v>0</v>
      </c>
      <c r="P53" s="242">
        <v>0</v>
      </c>
      <c r="Q53" s="242">
        <v>660</v>
      </c>
      <c r="R53" s="242">
        <v>660</v>
      </c>
      <c r="S53" s="242">
        <v>169</v>
      </c>
      <c r="T53" s="242">
        <v>68.6</v>
      </c>
      <c r="U53" s="236">
        <f t="shared" si="6"/>
        <v>13912.2</v>
      </c>
      <c r="V53" s="236">
        <f t="shared" si="6"/>
        <v>12331.099999999999</v>
      </c>
      <c r="W53" s="242">
        <v>4610.3</v>
      </c>
      <c r="X53" s="242">
        <v>4610</v>
      </c>
      <c r="Y53" s="242">
        <v>0</v>
      </c>
      <c r="Z53" s="242">
        <v>0</v>
      </c>
      <c r="AA53" s="242">
        <v>0</v>
      </c>
      <c r="AB53" s="242">
        <v>0</v>
      </c>
      <c r="AC53" s="239">
        <v>0</v>
      </c>
      <c r="AD53" s="239">
        <v>0</v>
      </c>
      <c r="AE53" s="242">
        <v>-2012</v>
      </c>
      <c r="AF53" s="242">
        <v>-2012</v>
      </c>
      <c r="AG53" s="236">
        <v>0</v>
      </c>
      <c r="AH53" s="236">
        <v>0</v>
      </c>
      <c r="AI53" s="236">
        <v>654</v>
      </c>
      <c r="AJ53" s="236">
        <v>654</v>
      </c>
      <c r="AK53" s="236">
        <f>AG53+AE53+AC53+AA53+Y53+W53</f>
        <v>2598.3</v>
      </c>
      <c r="AL53" s="236">
        <f>AH53+AF53+AD53+AB53+Z53+X53</f>
        <v>2598</v>
      </c>
    </row>
    <row r="54" spans="1:38" s="111" customFormat="1" ht="17.25" customHeight="1">
      <c r="A54" s="222">
        <v>44</v>
      </c>
      <c r="B54" s="245" t="s">
        <v>998</v>
      </c>
      <c r="C54" s="236">
        <f>U54+AK54</f>
        <v>33404</v>
      </c>
      <c r="D54" s="236">
        <f>V54+AL54</f>
        <v>27858.6</v>
      </c>
      <c r="E54" s="242">
        <v>17430</v>
      </c>
      <c r="F54" s="242">
        <v>15732.1</v>
      </c>
      <c r="G54" s="242">
        <v>3190</v>
      </c>
      <c r="H54" s="242">
        <v>2689</v>
      </c>
      <c r="I54" s="242">
        <v>4970.4</v>
      </c>
      <c r="J54" s="242">
        <v>3523.2</v>
      </c>
      <c r="K54" s="238">
        <v>0</v>
      </c>
      <c r="L54" s="238">
        <v>0</v>
      </c>
      <c r="M54" s="238">
        <v>0</v>
      </c>
      <c r="N54" s="238">
        <v>0</v>
      </c>
      <c r="O54" s="242">
        <v>0</v>
      </c>
      <c r="P54" s="242">
        <v>0</v>
      </c>
      <c r="Q54" s="242">
        <v>850</v>
      </c>
      <c r="R54" s="242">
        <v>680</v>
      </c>
      <c r="S54" s="242">
        <v>1470</v>
      </c>
      <c r="T54" s="242">
        <v>48</v>
      </c>
      <c r="U54" s="236">
        <f t="shared" si="6"/>
        <v>27910.4</v>
      </c>
      <c r="V54" s="236">
        <f t="shared" si="6"/>
        <v>22672.3</v>
      </c>
      <c r="W54" s="242">
        <v>6493.6</v>
      </c>
      <c r="X54" s="242">
        <v>6419.2</v>
      </c>
      <c r="Y54" s="242">
        <v>0</v>
      </c>
      <c r="Z54" s="242">
        <v>0</v>
      </c>
      <c r="AA54" s="242">
        <v>0</v>
      </c>
      <c r="AB54" s="242">
        <v>0</v>
      </c>
      <c r="AC54" s="239">
        <v>0</v>
      </c>
      <c r="AD54" s="239">
        <v>0</v>
      </c>
      <c r="AE54" s="242">
        <v>-1000</v>
      </c>
      <c r="AF54" s="242">
        <v>-1232.9</v>
      </c>
      <c r="AG54" s="236">
        <v>0</v>
      </c>
      <c r="AH54" s="236">
        <v>0</v>
      </c>
      <c r="AI54" s="236">
        <v>300</v>
      </c>
      <c r="AJ54" s="236">
        <v>300</v>
      </c>
      <c r="AK54" s="236">
        <f>AG54+AE54+AC54+AA54+Y54+W54</f>
        <v>5493.6</v>
      </c>
      <c r="AL54" s="236">
        <f>AH54+AF54+AD54+AB54+Z54+X54</f>
        <v>5186.299999999999</v>
      </c>
    </row>
    <row r="55" spans="1:38" s="111" customFormat="1" ht="17.25" customHeight="1">
      <c r="A55" s="222">
        <v>45</v>
      </c>
      <c r="B55" s="245" t="s">
        <v>999</v>
      </c>
      <c r="C55" s="236">
        <f>U55+AK55-AI55</f>
        <v>14474.4</v>
      </c>
      <c r="D55" s="236">
        <f>V55+AL55-AJ55</f>
        <v>13382</v>
      </c>
      <c r="E55" s="246">
        <v>8612.4</v>
      </c>
      <c r="F55" s="246">
        <v>8507.9</v>
      </c>
      <c r="G55" s="242">
        <v>1777.6</v>
      </c>
      <c r="H55" s="242">
        <v>1765.7</v>
      </c>
      <c r="I55" s="242">
        <v>1777.4</v>
      </c>
      <c r="J55" s="242">
        <v>1506.4</v>
      </c>
      <c r="K55" s="238">
        <v>0</v>
      </c>
      <c r="L55" s="238">
        <v>0</v>
      </c>
      <c r="M55" s="238">
        <v>0</v>
      </c>
      <c r="N55" s="238">
        <v>0</v>
      </c>
      <c r="O55" s="242">
        <v>0</v>
      </c>
      <c r="P55" s="242">
        <v>0</v>
      </c>
      <c r="Q55" s="242">
        <v>280</v>
      </c>
      <c r="R55" s="242">
        <v>170</v>
      </c>
      <c r="S55" s="242">
        <v>450</v>
      </c>
      <c r="T55" s="242">
        <v>0</v>
      </c>
      <c r="U55" s="236">
        <f t="shared" si="6"/>
        <v>12897.4</v>
      </c>
      <c r="V55" s="236">
        <f t="shared" si="6"/>
        <v>11950</v>
      </c>
      <c r="W55" s="242">
        <v>1577</v>
      </c>
      <c r="X55" s="242">
        <v>1432</v>
      </c>
      <c r="Y55" s="242">
        <v>0</v>
      </c>
      <c r="Z55" s="242">
        <v>0</v>
      </c>
      <c r="AA55" s="242">
        <v>0</v>
      </c>
      <c r="AB55" s="242">
        <v>0</v>
      </c>
      <c r="AC55" s="239">
        <v>0</v>
      </c>
      <c r="AD55" s="239">
        <v>0</v>
      </c>
      <c r="AE55" s="239">
        <v>0</v>
      </c>
      <c r="AF55" s="239">
        <v>0</v>
      </c>
      <c r="AG55" s="236">
        <v>0</v>
      </c>
      <c r="AH55" s="236">
        <v>0</v>
      </c>
      <c r="AI55" s="236">
        <v>0</v>
      </c>
      <c r="AJ55" s="236">
        <v>0</v>
      </c>
      <c r="AK55" s="236">
        <f>AI55+AG55+AE55+AC55+AA55+Y55+W55</f>
        <v>1577</v>
      </c>
      <c r="AL55" s="236">
        <f>AJ55+AH55+AF55+AD55+AB55+Z55+X55</f>
        <v>1432</v>
      </c>
    </row>
    <row r="56" spans="1:38" s="111" customFormat="1" ht="17.25" customHeight="1">
      <c r="A56" s="222">
        <v>46</v>
      </c>
      <c r="B56" s="245" t="s">
        <v>1000</v>
      </c>
      <c r="C56" s="236">
        <f>U56+AK56</f>
        <v>176396.4</v>
      </c>
      <c r="D56" s="236">
        <f>V56+AL56</f>
        <v>146024.2</v>
      </c>
      <c r="E56" s="242">
        <v>24232</v>
      </c>
      <c r="F56" s="242">
        <v>20817.1</v>
      </c>
      <c r="G56" s="242">
        <v>3564</v>
      </c>
      <c r="H56" s="242">
        <v>3046.8</v>
      </c>
      <c r="I56" s="242">
        <v>59579</v>
      </c>
      <c r="J56" s="242">
        <v>38866.2</v>
      </c>
      <c r="K56" s="238">
        <v>0</v>
      </c>
      <c r="L56" s="238">
        <v>0</v>
      </c>
      <c r="M56" s="242">
        <v>12050</v>
      </c>
      <c r="N56" s="242">
        <v>10900</v>
      </c>
      <c r="O56" s="242">
        <v>750</v>
      </c>
      <c r="P56" s="242">
        <v>130</v>
      </c>
      <c r="Q56" s="242">
        <v>3500</v>
      </c>
      <c r="R56" s="242">
        <v>1420</v>
      </c>
      <c r="S56" s="242">
        <v>1310</v>
      </c>
      <c r="T56" s="242">
        <v>298.1</v>
      </c>
      <c r="U56" s="236">
        <f t="shared" si="6"/>
        <v>104985</v>
      </c>
      <c r="V56" s="236">
        <f t="shared" si="6"/>
        <v>75478.2</v>
      </c>
      <c r="W56" s="242">
        <v>81411.4</v>
      </c>
      <c r="X56" s="242">
        <v>80279.5</v>
      </c>
      <c r="Y56" s="242">
        <v>0</v>
      </c>
      <c r="Z56" s="242">
        <v>0</v>
      </c>
      <c r="AA56" s="242">
        <v>0</v>
      </c>
      <c r="AB56" s="242">
        <v>0</v>
      </c>
      <c r="AC56" s="239">
        <v>0</v>
      </c>
      <c r="AD56" s="239">
        <v>0</v>
      </c>
      <c r="AE56" s="242">
        <v>-10000</v>
      </c>
      <c r="AF56" s="242">
        <v>-9733.5</v>
      </c>
      <c r="AG56" s="236">
        <v>0</v>
      </c>
      <c r="AH56" s="236">
        <v>0</v>
      </c>
      <c r="AI56" s="236">
        <v>24560</v>
      </c>
      <c r="AJ56" s="236">
        <v>24560</v>
      </c>
      <c r="AK56" s="236">
        <f>AG56+AE56+AC56+AA56+Y56+W56</f>
        <v>71411.4</v>
      </c>
      <c r="AL56" s="236">
        <f>AH56+AF56+AD56+AB56+Z56+X56</f>
        <v>70546</v>
      </c>
    </row>
    <row r="57" spans="1:38" s="111" customFormat="1" ht="17.25" customHeight="1">
      <c r="A57" s="222">
        <v>47</v>
      </c>
      <c r="B57" s="245" t="s">
        <v>1001</v>
      </c>
      <c r="C57" s="236">
        <f>U57+AK57-AI57</f>
        <v>19092.3</v>
      </c>
      <c r="D57" s="236">
        <f>V57+AL57-AJ57</f>
        <v>13938.300000000001</v>
      </c>
      <c r="E57" s="242">
        <v>6555.9</v>
      </c>
      <c r="F57" s="242">
        <v>6412.8</v>
      </c>
      <c r="G57" s="242">
        <v>1434</v>
      </c>
      <c r="H57" s="242">
        <v>1310.1</v>
      </c>
      <c r="I57" s="242">
        <v>2396.6</v>
      </c>
      <c r="J57" s="242">
        <v>2222.5</v>
      </c>
      <c r="K57" s="238">
        <v>0</v>
      </c>
      <c r="L57" s="238">
        <v>0</v>
      </c>
      <c r="M57" s="238">
        <v>0</v>
      </c>
      <c r="N57" s="238">
        <v>0</v>
      </c>
      <c r="O57" s="242">
        <v>250</v>
      </c>
      <c r="P57" s="242">
        <v>250</v>
      </c>
      <c r="Q57" s="242">
        <v>1079</v>
      </c>
      <c r="R57" s="242">
        <v>1079</v>
      </c>
      <c r="S57" s="242">
        <v>39.3</v>
      </c>
      <c r="T57" s="242">
        <v>0</v>
      </c>
      <c r="U57" s="236">
        <f t="shared" si="6"/>
        <v>11754.8</v>
      </c>
      <c r="V57" s="236">
        <f t="shared" si="6"/>
        <v>11274.400000000001</v>
      </c>
      <c r="W57" s="242">
        <v>13410.5</v>
      </c>
      <c r="X57" s="242">
        <v>7550.9</v>
      </c>
      <c r="Y57" s="242">
        <v>100</v>
      </c>
      <c r="Z57" s="242">
        <v>0</v>
      </c>
      <c r="AA57" s="242">
        <v>0</v>
      </c>
      <c r="AB57" s="242">
        <v>0</v>
      </c>
      <c r="AC57" s="239">
        <v>0</v>
      </c>
      <c r="AD57" s="239">
        <v>-91</v>
      </c>
      <c r="AE57" s="242">
        <v>-6173</v>
      </c>
      <c r="AF57" s="242">
        <v>-4796</v>
      </c>
      <c r="AG57" s="236">
        <v>0</v>
      </c>
      <c r="AH57" s="236">
        <v>0</v>
      </c>
      <c r="AI57" s="236">
        <v>0</v>
      </c>
      <c r="AJ57" s="236">
        <v>0</v>
      </c>
      <c r="AK57" s="236">
        <f>AI57+AG57+AE57+AC57+AA57+Y57+W57</f>
        <v>7337.5</v>
      </c>
      <c r="AL57" s="236">
        <f>AJ57+AH57+AF57+AD57+AB57+Z57+X57</f>
        <v>2663.8999999999996</v>
      </c>
    </row>
    <row r="58" spans="1:38" s="111" customFormat="1" ht="17.25" customHeight="1">
      <c r="A58" s="222">
        <v>48</v>
      </c>
      <c r="B58" s="245" t="s">
        <v>1002</v>
      </c>
      <c r="C58" s="236">
        <f>U58+AK58-AI58</f>
        <v>6704.5</v>
      </c>
      <c r="D58" s="236">
        <f>V58+AL58-AJ58</f>
        <v>5790.8</v>
      </c>
      <c r="E58" s="242">
        <v>4352</v>
      </c>
      <c r="F58" s="242">
        <v>4281</v>
      </c>
      <c r="G58" s="242">
        <v>829.8</v>
      </c>
      <c r="H58" s="242">
        <v>804.4</v>
      </c>
      <c r="I58" s="242">
        <v>641.2</v>
      </c>
      <c r="J58" s="242">
        <v>466.4</v>
      </c>
      <c r="K58" s="238">
        <v>0</v>
      </c>
      <c r="L58" s="238">
        <v>0</v>
      </c>
      <c r="M58" s="238">
        <v>0</v>
      </c>
      <c r="N58" s="238">
        <v>0</v>
      </c>
      <c r="O58" s="242">
        <v>0</v>
      </c>
      <c r="P58" s="242">
        <v>0</v>
      </c>
      <c r="Q58" s="242">
        <v>120</v>
      </c>
      <c r="R58" s="242">
        <v>120</v>
      </c>
      <c r="S58" s="242">
        <v>22</v>
      </c>
      <c r="T58" s="242">
        <v>0</v>
      </c>
      <c r="U58" s="236">
        <f t="shared" si="6"/>
        <v>5965</v>
      </c>
      <c r="V58" s="236">
        <f t="shared" si="6"/>
        <v>5671.8</v>
      </c>
      <c r="W58" s="242">
        <v>739.5</v>
      </c>
      <c r="X58" s="242">
        <v>739</v>
      </c>
      <c r="Y58" s="242">
        <v>0</v>
      </c>
      <c r="Z58" s="242">
        <v>0</v>
      </c>
      <c r="AA58" s="242">
        <v>0</v>
      </c>
      <c r="AB58" s="242">
        <v>0</v>
      </c>
      <c r="AC58" s="239">
        <v>0</v>
      </c>
      <c r="AD58" s="239">
        <v>0</v>
      </c>
      <c r="AE58" s="239">
        <v>0</v>
      </c>
      <c r="AF58" s="239">
        <v>-620</v>
      </c>
      <c r="AG58" s="236">
        <v>0</v>
      </c>
      <c r="AH58" s="236">
        <v>0</v>
      </c>
      <c r="AI58" s="236">
        <v>0</v>
      </c>
      <c r="AJ58" s="236">
        <v>0</v>
      </c>
      <c r="AK58" s="236">
        <f>AI58+AG58+AE58+AC58+AA58+Y58+W58</f>
        <v>739.5</v>
      </c>
      <c r="AL58" s="236">
        <f>AJ58+AH58+AF58+AD58+AB58+Z58+X58</f>
        <v>119</v>
      </c>
    </row>
    <row r="59" spans="1:38" s="111" customFormat="1" ht="17.25" customHeight="1">
      <c r="A59" s="222">
        <v>49</v>
      </c>
      <c r="B59" s="245" t="s">
        <v>1003</v>
      </c>
      <c r="C59" s="236">
        <f>U59+AK59</f>
        <v>28159.200000000004</v>
      </c>
      <c r="D59" s="236">
        <f>V59+AL59</f>
        <v>21338</v>
      </c>
      <c r="E59" s="242">
        <v>12863</v>
      </c>
      <c r="F59" s="242">
        <v>12017.2</v>
      </c>
      <c r="G59" s="242">
        <v>2270</v>
      </c>
      <c r="H59" s="242">
        <v>2228.6</v>
      </c>
      <c r="I59" s="242">
        <v>4809.7</v>
      </c>
      <c r="J59" s="242">
        <v>4186.6</v>
      </c>
      <c r="K59" s="238">
        <v>0</v>
      </c>
      <c r="L59" s="238">
        <v>0</v>
      </c>
      <c r="M59" s="238">
        <v>0</v>
      </c>
      <c r="N59" s="238">
        <v>0</v>
      </c>
      <c r="O59" s="242">
        <v>74</v>
      </c>
      <c r="P59" s="242">
        <v>74</v>
      </c>
      <c r="Q59" s="242">
        <v>2049</v>
      </c>
      <c r="R59" s="242">
        <v>1949</v>
      </c>
      <c r="S59" s="242">
        <v>112.2</v>
      </c>
      <c r="T59" s="242">
        <v>12</v>
      </c>
      <c r="U59" s="236">
        <f t="shared" si="6"/>
        <v>22177.9</v>
      </c>
      <c r="V59" s="236">
        <f t="shared" si="6"/>
        <v>20467.4</v>
      </c>
      <c r="W59" s="242">
        <v>23346.9</v>
      </c>
      <c r="X59" s="242">
        <v>19127.8</v>
      </c>
      <c r="Y59" s="242">
        <v>0</v>
      </c>
      <c r="Z59" s="242">
        <v>0</v>
      </c>
      <c r="AA59" s="242">
        <v>0</v>
      </c>
      <c r="AB59" s="242">
        <v>0</v>
      </c>
      <c r="AC59" s="239">
        <v>-8752.6</v>
      </c>
      <c r="AD59" s="239">
        <v>-6332</v>
      </c>
      <c r="AE59" s="239">
        <v>-8613</v>
      </c>
      <c r="AF59" s="239">
        <v>-11925.2</v>
      </c>
      <c r="AG59" s="236">
        <v>0</v>
      </c>
      <c r="AH59" s="236">
        <v>0</v>
      </c>
      <c r="AI59" s="236">
        <v>1080</v>
      </c>
      <c r="AJ59" s="236">
        <v>1067.3</v>
      </c>
      <c r="AK59" s="236">
        <f>AG59+AE59+AC59+AA59+Y59+W59</f>
        <v>5981.300000000003</v>
      </c>
      <c r="AL59" s="236">
        <f>AH59+AF59+AD59+AB59+Z59+X59</f>
        <v>870.5999999999985</v>
      </c>
    </row>
    <row r="60" spans="1:38" s="111" customFormat="1" ht="17.25" customHeight="1">
      <c r="A60" s="222">
        <v>50</v>
      </c>
      <c r="B60" s="245" t="s">
        <v>1004</v>
      </c>
      <c r="C60" s="236">
        <f>U60+AK60-AI60</f>
        <v>227677.5</v>
      </c>
      <c r="D60" s="236">
        <f>V60+AL60-AJ60</f>
        <v>77129.00000000003</v>
      </c>
      <c r="E60" s="239">
        <v>42145</v>
      </c>
      <c r="F60" s="239">
        <v>41495.9</v>
      </c>
      <c r="G60" s="239">
        <v>10080</v>
      </c>
      <c r="H60" s="239">
        <v>9594.8</v>
      </c>
      <c r="I60" s="239">
        <v>48685.2</v>
      </c>
      <c r="J60" s="239">
        <v>41246.7</v>
      </c>
      <c r="K60" s="238">
        <v>0</v>
      </c>
      <c r="L60" s="238">
        <v>0</v>
      </c>
      <c r="M60" s="238">
        <v>320</v>
      </c>
      <c r="N60" s="238">
        <v>320</v>
      </c>
      <c r="O60" s="239">
        <v>43710</v>
      </c>
      <c r="P60" s="239">
        <v>43710</v>
      </c>
      <c r="Q60" s="239">
        <v>34305</v>
      </c>
      <c r="R60" s="239">
        <v>33697</v>
      </c>
      <c r="S60" s="239">
        <v>8200</v>
      </c>
      <c r="T60" s="239">
        <v>3217</v>
      </c>
      <c r="U60" s="236">
        <f t="shared" si="6"/>
        <v>187445.2</v>
      </c>
      <c r="V60" s="236">
        <f t="shared" si="6"/>
        <v>173281.4</v>
      </c>
      <c r="W60" s="239">
        <v>232232.3</v>
      </c>
      <c r="X60" s="239">
        <v>192756.7</v>
      </c>
      <c r="Y60" s="242">
        <v>0</v>
      </c>
      <c r="Z60" s="242">
        <v>0</v>
      </c>
      <c r="AA60" s="242">
        <v>0</v>
      </c>
      <c r="AB60" s="242">
        <v>0</v>
      </c>
      <c r="AC60" s="239">
        <v>0</v>
      </c>
      <c r="AD60" s="239">
        <v>0</v>
      </c>
      <c r="AE60" s="239">
        <v>-192000</v>
      </c>
      <c r="AF60" s="239">
        <v>-288909.1</v>
      </c>
      <c r="AG60" s="236">
        <v>0</v>
      </c>
      <c r="AH60" s="236">
        <v>0</v>
      </c>
      <c r="AI60" s="236">
        <v>0</v>
      </c>
      <c r="AJ60" s="236">
        <v>0</v>
      </c>
      <c r="AK60" s="236">
        <f>AI60+AG60+AE60+AC60+AA60+Y60+W60</f>
        <v>40232.29999999999</v>
      </c>
      <c r="AL60" s="236">
        <f>AJ60+AH60+AF60+AD60+AB60+Z60+X60</f>
        <v>-96152.39999999997</v>
      </c>
    </row>
    <row r="61" spans="1:38" s="111" customFormat="1" ht="17.25" customHeight="1">
      <c r="A61" s="222">
        <v>51</v>
      </c>
      <c r="B61" s="245" t="s">
        <v>1005</v>
      </c>
      <c r="C61" s="236">
        <f>U61+AK61-AI61</f>
        <v>25666.3</v>
      </c>
      <c r="D61" s="236">
        <f>V61+AL61-AJ61</f>
        <v>20636.2</v>
      </c>
      <c r="E61" s="242">
        <v>11980</v>
      </c>
      <c r="F61" s="242">
        <v>10372.6</v>
      </c>
      <c r="G61" s="242">
        <v>2120</v>
      </c>
      <c r="H61" s="242">
        <v>2120</v>
      </c>
      <c r="I61" s="242">
        <v>2803</v>
      </c>
      <c r="J61" s="242">
        <v>1972.1</v>
      </c>
      <c r="K61" s="238">
        <v>0</v>
      </c>
      <c r="L61" s="238">
        <v>0</v>
      </c>
      <c r="M61" s="242">
        <v>0</v>
      </c>
      <c r="N61" s="242">
        <v>0</v>
      </c>
      <c r="O61" s="242">
        <v>0</v>
      </c>
      <c r="P61" s="242">
        <v>0</v>
      </c>
      <c r="Q61" s="242">
        <v>3478.5</v>
      </c>
      <c r="R61" s="242">
        <v>2675</v>
      </c>
      <c r="S61" s="242">
        <v>64.8</v>
      </c>
      <c r="T61" s="242">
        <v>0</v>
      </c>
      <c r="U61" s="236">
        <f t="shared" si="6"/>
        <v>20446.3</v>
      </c>
      <c r="V61" s="236">
        <f t="shared" si="6"/>
        <v>17139.7</v>
      </c>
      <c r="W61" s="242">
        <v>6220</v>
      </c>
      <c r="X61" s="242">
        <v>5950</v>
      </c>
      <c r="Y61" s="242">
        <v>0</v>
      </c>
      <c r="Z61" s="242">
        <v>0</v>
      </c>
      <c r="AA61" s="242">
        <v>0</v>
      </c>
      <c r="AB61" s="242">
        <v>0</v>
      </c>
      <c r="AC61" s="239">
        <v>0</v>
      </c>
      <c r="AD61" s="239">
        <v>0</v>
      </c>
      <c r="AE61" s="242">
        <v>-1000</v>
      </c>
      <c r="AF61" s="239">
        <v>-2453.5</v>
      </c>
      <c r="AG61" s="236">
        <v>0</v>
      </c>
      <c r="AH61" s="236">
        <v>0</v>
      </c>
      <c r="AI61" s="236">
        <v>0</v>
      </c>
      <c r="AJ61" s="236">
        <v>0</v>
      </c>
      <c r="AK61" s="236">
        <f>AI61+AG61+AE61+AC61+AA61+Y61+W61</f>
        <v>5220</v>
      </c>
      <c r="AL61" s="236">
        <f>AJ61+AH61+AF61+AD61+AB61+Z61+X61</f>
        <v>3496.5</v>
      </c>
    </row>
    <row r="62" spans="1:38" s="111" customFormat="1" ht="17.25" customHeight="1">
      <c r="A62" s="222">
        <v>52</v>
      </c>
      <c r="B62" s="245" t="s">
        <v>1006</v>
      </c>
      <c r="C62" s="236">
        <f>U62+AK62</f>
        <v>51394.100000000006</v>
      </c>
      <c r="D62" s="236">
        <f>V62+AL62</f>
        <v>49296.9</v>
      </c>
      <c r="E62" s="242">
        <v>19320</v>
      </c>
      <c r="F62" s="242">
        <v>19234.7</v>
      </c>
      <c r="G62" s="242">
        <v>4240</v>
      </c>
      <c r="H62" s="242">
        <v>3646.3</v>
      </c>
      <c r="I62" s="242">
        <v>15631.8</v>
      </c>
      <c r="J62" s="242">
        <v>13570.8</v>
      </c>
      <c r="K62" s="238">
        <v>0</v>
      </c>
      <c r="L62" s="238">
        <v>0</v>
      </c>
      <c r="M62" s="238">
        <v>320</v>
      </c>
      <c r="N62" s="238">
        <v>320</v>
      </c>
      <c r="O62" s="242">
        <v>3450</v>
      </c>
      <c r="P62" s="242">
        <v>3400</v>
      </c>
      <c r="Q62" s="242">
        <v>3900</v>
      </c>
      <c r="R62" s="242">
        <v>3755</v>
      </c>
      <c r="S62" s="242">
        <v>2080</v>
      </c>
      <c r="T62" s="242">
        <v>0</v>
      </c>
      <c r="U62" s="236">
        <f t="shared" si="6"/>
        <v>48941.8</v>
      </c>
      <c r="V62" s="236">
        <f t="shared" si="6"/>
        <v>43926.8</v>
      </c>
      <c r="W62" s="242">
        <v>10952.3</v>
      </c>
      <c r="X62" s="242">
        <v>7115</v>
      </c>
      <c r="Y62" s="242">
        <v>0</v>
      </c>
      <c r="Z62" s="242">
        <v>0</v>
      </c>
      <c r="AA62" s="242">
        <v>0</v>
      </c>
      <c r="AB62" s="242">
        <v>0</v>
      </c>
      <c r="AC62" s="239">
        <v>0</v>
      </c>
      <c r="AD62" s="239">
        <v>0</v>
      </c>
      <c r="AE62" s="242">
        <v>-8500</v>
      </c>
      <c r="AF62" s="242">
        <v>-1744.9</v>
      </c>
      <c r="AG62" s="236">
        <v>0</v>
      </c>
      <c r="AH62" s="236">
        <v>0</v>
      </c>
      <c r="AI62" s="236">
        <v>0</v>
      </c>
      <c r="AJ62" s="236">
        <v>3700</v>
      </c>
      <c r="AK62" s="236">
        <f>AG62+AE62+AC62+AA62+Y62+W62</f>
        <v>2452.2999999999993</v>
      </c>
      <c r="AL62" s="236">
        <f>AH62+AF62+AD62+AB62+Z62+X62</f>
        <v>5370.1</v>
      </c>
    </row>
    <row r="63" spans="1:38" s="111" customFormat="1" ht="17.25" customHeight="1">
      <c r="A63" s="222">
        <v>53</v>
      </c>
      <c r="B63" s="245" t="s">
        <v>1007</v>
      </c>
      <c r="C63" s="236">
        <f>U63+AK63-AI63</f>
        <v>30524.1</v>
      </c>
      <c r="D63" s="236">
        <f>V63+AL63-AJ63</f>
        <v>25428.699999999997</v>
      </c>
      <c r="E63" s="239">
        <v>12566</v>
      </c>
      <c r="F63" s="242">
        <v>11488.9</v>
      </c>
      <c r="G63" s="239">
        <v>2625</v>
      </c>
      <c r="H63" s="239">
        <v>2392.7</v>
      </c>
      <c r="I63" s="239">
        <v>7528.8</v>
      </c>
      <c r="J63" s="239">
        <v>4848.1</v>
      </c>
      <c r="K63" s="238">
        <v>0</v>
      </c>
      <c r="L63" s="238">
        <v>0</v>
      </c>
      <c r="M63" s="238">
        <v>0</v>
      </c>
      <c r="N63" s="238">
        <v>0</v>
      </c>
      <c r="O63" s="242">
        <v>1850</v>
      </c>
      <c r="P63" s="242">
        <v>2326</v>
      </c>
      <c r="Q63" s="239">
        <v>3000</v>
      </c>
      <c r="R63" s="242">
        <v>2691</v>
      </c>
      <c r="S63" s="242">
        <v>1250</v>
      </c>
      <c r="T63" s="242">
        <v>44</v>
      </c>
      <c r="U63" s="236">
        <f t="shared" si="6"/>
        <v>28819.8</v>
      </c>
      <c r="V63" s="236">
        <f t="shared" si="6"/>
        <v>23790.699999999997</v>
      </c>
      <c r="W63" s="239">
        <v>1704.3</v>
      </c>
      <c r="X63" s="239">
        <v>1638</v>
      </c>
      <c r="Y63" s="242">
        <v>0</v>
      </c>
      <c r="Z63" s="242">
        <v>0</v>
      </c>
      <c r="AA63" s="242">
        <v>0</v>
      </c>
      <c r="AB63" s="242">
        <v>0</v>
      </c>
      <c r="AC63" s="239">
        <v>0</v>
      </c>
      <c r="AD63" s="239">
        <v>0</v>
      </c>
      <c r="AE63" s="239">
        <v>0</v>
      </c>
      <c r="AF63" s="239">
        <v>0</v>
      </c>
      <c r="AG63" s="236">
        <v>0</v>
      </c>
      <c r="AH63" s="236">
        <v>0</v>
      </c>
      <c r="AI63" s="236">
        <v>0</v>
      </c>
      <c r="AJ63" s="236">
        <v>0</v>
      </c>
      <c r="AK63" s="236">
        <f>AI63+AG63+AE63+AC63+AA63+Y63+W63</f>
        <v>1704.3</v>
      </c>
      <c r="AL63" s="236">
        <f>AJ63+AH63+AF63+AD63+AB63+Z63+X63</f>
        <v>1638</v>
      </c>
    </row>
    <row r="64" spans="1:38" s="111" customFormat="1" ht="17.25" customHeight="1">
      <c r="A64" s="222">
        <v>54</v>
      </c>
      <c r="B64" s="245" t="s">
        <v>1008</v>
      </c>
      <c r="C64" s="236">
        <f>U64+AK64-AI64</f>
        <v>19875.5</v>
      </c>
      <c r="D64" s="236">
        <f>V64+AL64-AJ64</f>
        <v>19278.6</v>
      </c>
      <c r="E64" s="242">
        <v>8780.8</v>
      </c>
      <c r="F64" s="242">
        <v>8768.2</v>
      </c>
      <c r="G64" s="242">
        <v>1462.5</v>
      </c>
      <c r="H64" s="242">
        <v>1459</v>
      </c>
      <c r="I64" s="242">
        <v>6661.6</v>
      </c>
      <c r="J64" s="242">
        <v>6302.2</v>
      </c>
      <c r="K64" s="238">
        <v>0</v>
      </c>
      <c r="L64" s="238">
        <v>0</v>
      </c>
      <c r="M64" s="238">
        <v>0</v>
      </c>
      <c r="N64" s="238">
        <v>0</v>
      </c>
      <c r="O64" s="242">
        <v>0</v>
      </c>
      <c r="P64" s="242">
        <v>0</v>
      </c>
      <c r="Q64" s="242">
        <v>2900</v>
      </c>
      <c r="R64" s="242">
        <v>2715</v>
      </c>
      <c r="S64" s="242">
        <v>55</v>
      </c>
      <c r="T64" s="242">
        <v>18.6</v>
      </c>
      <c r="U64" s="236">
        <f t="shared" si="6"/>
        <v>19859.9</v>
      </c>
      <c r="V64" s="236">
        <f t="shared" si="6"/>
        <v>19263</v>
      </c>
      <c r="W64" s="242">
        <v>765.6</v>
      </c>
      <c r="X64" s="242">
        <v>739.9</v>
      </c>
      <c r="Y64" s="242">
        <v>0</v>
      </c>
      <c r="Z64" s="242">
        <v>0</v>
      </c>
      <c r="AA64" s="242">
        <v>0</v>
      </c>
      <c r="AB64" s="242">
        <v>0</v>
      </c>
      <c r="AC64" s="239">
        <v>0</v>
      </c>
      <c r="AD64" s="239">
        <v>0</v>
      </c>
      <c r="AE64" s="242">
        <v>-750</v>
      </c>
      <c r="AF64" s="242">
        <v>-724.3</v>
      </c>
      <c r="AG64" s="236">
        <v>0</v>
      </c>
      <c r="AH64" s="236">
        <v>0</v>
      </c>
      <c r="AI64" s="236">
        <v>0</v>
      </c>
      <c r="AJ64" s="236">
        <v>0</v>
      </c>
      <c r="AK64" s="236">
        <f>AI64+AG64+AE64+AC64+AA64+Y64+W64</f>
        <v>15.600000000000023</v>
      </c>
      <c r="AL64" s="236">
        <f>AJ64+AH64+AF64+AD64+AB64+Z64+X64</f>
        <v>15.600000000000023</v>
      </c>
    </row>
    <row r="65" spans="1:38" s="111" customFormat="1" ht="17.25" customHeight="1">
      <c r="A65" s="222">
        <v>55</v>
      </c>
      <c r="B65" s="245" t="s">
        <v>1009</v>
      </c>
      <c r="C65" s="236">
        <f>U65+AK65</f>
        <v>91389.9</v>
      </c>
      <c r="D65" s="236">
        <f>V65+AL65</f>
        <v>90202.2</v>
      </c>
      <c r="E65" s="242">
        <v>38685</v>
      </c>
      <c r="F65" s="242">
        <v>33903.1</v>
      </c>
      <c r="G65" s="242">
        <v>8730</v>
      </c>
      <c r="H65" s="242">
        <v>7573.8</v>
      </c>
      <c r="I65" s="242">
        <v>33154.9</v>
      </c>
      <c r="J65" s="242">
        <v>16101.1</v>
      </c>
      <c r="K65" s="238">
        <v>0</v>
      </c>
      <c r="L65" s="238">
        <v>0</v>
      </c>
      <c r="M65" s="238">
        <v>320</v>
      </c>
      <c r="N65" s="238">
        <v>320</v>
      </c>
      <c r="O65" s="242">
        <v>0</v>
      </c>
      <c r="P65" s="242">
        <v>0</v>
      </c>
      <c r="Q65" s="242">
        <v>6000</v>
      </c>
      <c r="R65" s="242">
        <v>6000</v>
      </c>
      <c r="S65" s="242">
        <v>4500</v>
      </c>
      <c r="T65" s="242">
        <v>0</v>
      </c>
      <c r="U65" s="236">
        <f t="shared" si="6"/>
        <v>91389.9</v>
      </c>
      <c r="V65" s="236">
        <f t="shared" si="6"/>
        <v>63898</v>
      </c>
      <c r="W65" s="242">
        <v>47532.3</v>
      </c>
      <c r="X65" s="242">
        <v>40231.7</v>
      </c>
      <c r="Y65" s="242">
        <v>0</v>
      </c>
      <c r="Z65" s="242">
        <v>0</v>
      </c>
      <c r="AA65" s="242">
        <v>0</v>
      </c>
      <c r="AB65" s="242">
        <v>0</v>
      </c>
      <c r="AC65" s="242">
        <v>-2500</v>
      </c>
      <c r="AD65" s="242">
        <v>0</v>
      </c>
      <c r="AE65" s="242">
        <v>-45032.3</v>
      </c>
      <c r="AF65" s="242">
        <v>-13927.5</v>
      </c>
      <c r="AG65" s="236">
        <v>0</v>
      </c>
      <c r="AH65" s="236">
        <v>0</v>
      </c>
      <c r="AI65" s="236">
        <v>0</v>
      </c>
      <c r="AJ65" s="236">
        <v>7000</v>
      </c>
      <c r="AK65" s="236">
        <f>AG65+AE65+AC65+AA65+Y65+W65</f>
        <v>0</v>
      </c>
      <c r="AL65" s="236">
        <f>AH65+AF65+AD65+AB65+Z65+X65</f>
        <v>26304.199999999997</v>
      </c>
    </row>
    <row r="66" spans="1:38" s="111" customFormat="1" ht="17.25" customHeight="1">
      <c r="A66" s="222">
        <v>56</v>
      </c>
      <c r="B66" s="245" t="s">
        <v>1010</v>
      </c>
      <c r="C66" s="236">
        <f aca="true" t="shared" si="7" ref="C66:D68">U66+AK66-AI66</f>
        <v>34686.5</v>
      </c>
      <c r="D66" s="236">
        <f t="shared" si="7"/>
        <v>26342.8</v>
      </c>
      <c r="E66" s="242">
        <v>11670</v>
      </c>
      <c r="F66" s="242">
        <v>11503.6</v>
      </c>
      <c r="G66" s="242">
        <v>2500</v>
      </c>
      <c r="H66" s="242">
        <v>2500</v>
      </c>
      <c r="I66" s="242">
        <v>4650</v>
      </c>
      <c r="J66" s="242">
        <v>1786</v>
      </c>
      <c r="K66" s="238">
        <v>0</v>
      </c>
      <c r="L66" s="238">
        <v>0</v>
      </c>
      <c r="M66" s="238">
        <v>0</v>
      </c>
      <c r="N66" s="238">
        <v>0</v>
      </c>
      <c r="O66" s="242">
        <v>8270</v>
      </c>
      <c r="P66" s="242">
        <v>7848</v>
      </c>
      <c r="Q66" s="242">
        <v>1900</v>
      </c>
      <c r="R66" s="242">
        <v>1740</v>
      </c>
      <c r="S66" s="242">
        <v>2048</v>
      </c>
      <c r="T66" s="242">
        <v>0</v>
      </c>
      <c r="U66" s="236">
        <f t="shared" si="6"/>
        <v>31038</v>
      </c>
      <c r="V66" s="236">
        <f t="shared" si="6"/>
        <v>25377.6</v>
      </c>
      <c r="W66" s="242">
        <v>8430</v>
      </c>
      <c r="X66" s="242">
        <v>8389</v>
      </c>
      <c r="Y66" s="242">
        <v>0</v>
      </c>
      <c r="Z66" s="242">
        <v>0</v>
      </c>
      <c r="AA66" s="242">
        <v>0</v>
      </c>
      <c r="AB66" s="242">
        <v>0</v>
      </c>
      <c r="AC66" s="239">
        <v>0</v>
      </c>
      <c r="AD66" s="239">
        <v>0</v>
      </c>
      <c r="AE66" s="242">
        <v>-4781.5</v>
      </c>
      <c r="AF66" s="242">
        <v>-7423.8</v>
      </c>
      <c r="AG66" s="236">
        <v>0</v>
      </c>
      <c r="AH66" s="236">
        <v>0</v>
      </c>
      <c r="AI66" s="236">
        <v>0</v>
      </c>
      <c r="AJ66" s="236">
        <v>0</v>
      </c>
      <c r="AK66" s="236">
        <f aca="true" t="shared" si="8" ref="AK66:AL68">AI66+AG66+AE66+AC66+AA66+Y66+W66</f>
        <v>3648.5</v>
      </c>
      <c r="AL66" s="236">
        <f t="shared" si="8"/>
        <v>965.1999999999998</v>
      </c>
    </row>
    <row r="67" spans="1:38" s="111" customFormat="1" ht="17.25" customHeight="1">
      <c r="A67" s="222">
        <v>57</v>
      </c>
      <c r="B67" s="245" t="s">
        <v>1011</v>
      </c>
      <c r="C67" s="236">
        <f t="shared" si="7"/>
        <v>11329</v>
      </c>
      <c r="D67" s="236">
        <f t="shared" si="7"/>
        <v>11161.8</v>
      </c>
      <c r="E67" s="242">
        <v>6670</v>
      </c>
      <c r="F67" s="242">
        <v>6667.9</v>
      </c>
      <c r="G67" s="242">
        <v>1333</v>
      </c>
      <c r="H67" s="242">
        <v>1279.5</v>
      </c>
      <c r="I67" s="242">
        <v>2526</v>
      </c>
      <c r="J67" s="242">
        <v>2361.9</v>
      </c>
      <c r="K67" s="238">
        <v>0</v>
      </c>
      <c r="L67" s="238">
        <v>0</v>
      </c>
      <c r="M67" s="238">
        <v>0</v>
      </c>
      <c r="N67" s="238">
        <v>0</v>
      </c>
      <c r="O67" s="242">
        <v>0</v>
      </c>
      <c r="P67" s="242">
        <v>0</v>
      </c>
      <c r="Q67" s="242">
        <v>800</v>
      </c>
      <c r="R67" s="242">
        <v>800</v>
      </c>
      <c r="S67" s="242">
        <v>0</v>
      </c>
      <c r="T67" s="242">
        <v>0</v>
      </c>
      <c r="U67" s="236">
        <f t="shared" si="6"/>
        <v>11329</v>
      </c>
      <c r="V67" s="236">
        <f t="shared" si="6"/>
        <v>11109.3</v>
      </c>
      <c r="W67" s="242">
        <v>6000</v>
      </c>
      <c r="X67" s="242">
        <v>3771.9</v>
      </c>
      <c r="Y67" s="242">
        <v>0</v>
      </c>
      <c r="Z67" s="242">
        <v>0</v>
      </c>
      <c r="AA67" s="242">
        <v>0</v>
      </c>
      <c r="AB67" s="242">
        <v>0</v>
      </c>
      <c r="AC67" s="239">
        <v>0</v>
      </c>
      <c r="AD67" s="239">
        <v>0</v>
      </c>
      <c r="AE67" s="242">
        <v>-6000</v>
      </c>
      <c r="AF67" s="242">
        <v>-3719.4</v>
      </c>
      <c r="AG67" s="236">
        <v>0</v>
      </c>
      <c r="AH67" s="236">
        <v>0</v>
      </c>
      <c r="AI67" s="236">
        <v>0</v>
      </c>
      <c r="AJ67" s="236">
        <v>0</v>
      </c>
      <c r="AK67" s="236">
        <f t="shared" si="8"/>
        <v>0</v>
      </c>
      <c r="AL67" s="236">
        <f t="shared" si="8"/>
        <v>52.5</v>
      </c>
    </row>
    <row r="68" spans="1:38" s="111" customFormat="1" ht="17.25" customHeight="1">
      <c r="A68" s="222">
        <v>58</v>
      </c>
      <c r="B68" s="245" t="s">
        <v>1012</v>
      </c>
      <c r="C68" s="236">
        <f t="shared" si="7"/>
        <v>33244.6</v>
      </c>
      <c r="D68" s="236">
        <f t="shared" si="7"/>
        <v>34203.8</v>
      </c>
      <c r="E68" s="239">
        <v>12090</v>
      </c>
      <c r="F68" s="239">
        <v>11997.3</v>
      </c>
      <c r="G68" s="239">
        <v>2570</v>
      </c>
      <c r="H68" s="239">
        <v>2570</v>
      </c>
      <c r="I68" s="239">
        <v>6273</v>
      </c>
      <c r="J68" s="239">
        <v>5858.5</v>
      </c>
      <c r="K68" s="238">
        <v>0</v>
      </c>
      <c r="L68" s="238">
        <v>0</v>
      </c>
      <c r="M68" s="238">
        <v>0</v>
      </c>
      <c r="N68" s="238">
        <v>0</v>
      </c>
      <c r="O68" s="239">
        <v>7350</v>
      </c>
      <c r="P68" s="239">
        <v>7350</v>
      </c>
      <c r="Q68" s="239">
        <v>4433</v>
      </c>
      <c r="R68" s="239">
        <v>4433</v>
      </c>
      <c r="S68" s="242">
        <v>28.6</v>
      </c>
      <c r="T68" s="242">
        <v>8</v>
      </c>
      <c r="U68" s="236">
        <f t="shared" si="6"/>
        <v>32744.6</v>
      </c>
      <c r="V68" s="236">
        <f t="shared" si="6"/>
        <v>32216.8</v>
      </c>
      <c r="W68" s="242">
        <v>6900</v>
      </c>
      <c r="X68" s="239">
        <v>5279.5</v>
      </c>
      <c r="Y68" s="242">
        <v>0</v>
      </c>
      <c r="Z68" s="242">
        <v>0</v>
      </c>
      <c r="AA68" s="242">
        <v>0</v>
      </c>
      <c r="AB68" s="242">
        <v>0</v>
      </c>
      <c r="AC68" s="239">
        <v>0</v>
      </c>
      <c r="AD68" s="239">
        <v>0</v>
      </c>
      <c r="AE68" s="242">
        <v>-6400</v>
      </c>
      <c r="AF68" s="239">
        <v>-3292.5</v>
      </c>
      <c r="AG68" s="236">
        <v>0</v>
      </c>
      <c r="AH68" s="236">
        <v>0</v>
      </c>
      <c r="AI68" s="236">
        <v>0</v>
      </c>
      <c r="AJ68" s="236">
        <v>0</v>
      </c>
      <c r="AK68" s="236">
        <f t="shared" si="8"/>
        <v>500</v>
      </c>
      <c r="AL68" s="236">
        <f t="shared" si="8"/>
        <v>1987</v>
      </c>
    </row>
    <row r="69" spans="1:38" s="111" customFormat="1" ht="17.25" customHeight="1">
      <c r="A69" s="222">
        <v>59</v>
      </c>
      <c r="B69" s="245" t="s">
        <v>1013</v>
      </c>
      <c r="C69" s="236">
        <f aca="true" t="shared" si="9" ref="C69:D71">U69+AK69</f>
        <v>20017.8</v>
      </c>
      <c r="D69" s="236">
        <f t="shared" si="9"/>
        <v>18537.1</v>
      </c>
      <c r="E69" s="239">
        <v>8418.3</v>
      </c>
      <c r="F69" s="239">
        <v>8380.1</v>
      </c>
      <c r="G69" s="239">
        <v>1700</v>
      </c>
      <c r="H69" s="239">
        <v>1699.9</v>
      </c>
      <c r="I69" s="239">
        <v>4978.5</v>
      </c>
      <c r="J69" s="239">
        <v>4807.1</v>
      </c>
      <c r="K69" s="238">
        <v>0</v>
      </c>
      <c r="L69" s="238">
        <v>0</v>
      </c>
      <c r="M69" s="238">
        <v>0</v>
      </c>
      <c r="N69" s="238">
        <v>0</v>
      </c>
      <c r="O69" s="242">
        <v>0</v>
      </c>
      <c r="P69" s="242">
        <v>0</v>
      </c>
      <c r="Q69" s="239">
        <v>3996</v>
      </c>
      <c r="R69" s="239">
        <v>2850</v>
      </c>
      <c r="S69" s="242">
        <v>925</v>
      </c>
      <c r="T69" s="242">
        <v>0</v>
      </c>
      <c r="U69" s="236">
        <f t="shared" si="6"/>
        <v>20017.8</v>
      </c>
      <c r="V69" s="236">
        <f t="shared" si="6"/>
        <v>17737.1</v>
      </c>
      <c r="W69" s="239">
        <v>800</v>
      </c>
      <c r="X69" s="239">
        <v>800</v>
      </c>
      <c r="Y69" s="242">
        <v>0</v>
      </c>
      <c r="Z69" s="242">
        <v>0</v>
      </c>
      <c r="AA69" s="242">
        <v>0</v>
      </c>
      <c r="AB69" s="242">
        <v>0</v>
      </c>
      <c r="AC69" s="239">
        <v>0</v>
      </c>
      <c r="AD69" s="239">
        <v>0</v>
      </c>
      <c r="AE69" s="239">
        <v>-800</v>
      </c>
      <c r="AF69" s="239">
        <v>0</v>
      </c>
      <c r="AG69" s="236">
        <v>0</v>
      </c>
      <c r="AH69" s="236">
        <v>0</v>
      </c>
      <c r="AI69" s="236">
        <v>0</v>
      </c>
      <c r="AJ69" s="236">
        <v>800</v>
      </c>
      <c r="AK69" s="236">
        <f aca="true" t="shared" si="10" ref="AK69:AL71">AG69+AE69+AC69+AA69+Y69+W69</f>
        <v>0</v>
      </c>
      <c r="AL69" s="236">
        <f t="shared" si="10"/>
        <v>800</v>
      </c>
    </row>
    <row r="70" spans="1:38" s="111" customFormat="1" ht="17.25" customHeight="1">
      <c r="A70" s="222">
        <v>60</v>
      </c>
      <c r="B70" s="245" t="s">
        <v>1014</v>
      </c>
      <c r="C70" s="236">
        <f t="shared" si="9"/>
        <v>139161.8</v>
      </c>
      <c r="D70" s="236">
        <f t="shared" si="9"/>
        <v>124400.79999999999</v>
      </c>
      <c r="E70" s="239">
        <v>42910</v>
      </c>
      <c r="F70" s="239">
        <v>41238.8</v>
      </c>
      <c r="G70" s="239">
        <v>9416</v>
      </c>
      <c r="H70" s="239">
        <v>8819.3</v>
      </c>
      <c r="I70" s="239">
        <v>22491</v>
      </c>
      <c r="J70" s="239">
        <v>18082.4</v>
      </c>
      <c r="K70" s="238">
        <v>0</v>
      </c>
      <c r="L70" s="238">
        <v>0</v>
      </c>
      <c r="M70" s="239">
        <v>9260</v>
      </c>
      <c r="N70" s="239">
        <v>9260</v>
      </c>
      <c r="O70" s="242">
        <v>0</v>
      </c>
      <c r="P70" s="242">
        <v>0</v>
      </c>
      <c r="Q70" s="239">
        <v>19650</v>
      </c>
      <c r="R70" s="239">
        <v>19650</v>
      </c>
      <c r="S70" s="242">
        <v>11071.7</v>
      </c>
      <c r="T70" s="242">
        <v>42</v>
      </c>
      <c r="U70" s="236">
        <f t="shared" si="6"/>
        <v>114798.7</v>
      </c>
      <c r="V70" s="236">
        <f t="shared" si="6"/>
        <v>97092.5</v>
      </c>
      <c r="W70" s="239">
        <v>44363.1</v>
      </c>
      <c r="X70" s="239">
        <v>43934.2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39">
        <v>-16625.9</v>
      </c>
      <c r="AE70" s="239">
        <v>-20000</v>
      </c>
      <c r="AF70" s="242">
        <v>0</v>
      </c>
      <c r="AG70" s="236">
        <v>0</v>
      </c>
      <c r="AH70" s="236">
        <v>0</v>
      </c>
      <c r="AI70" s="236">
        <v>0</v>
      </c>
      <c r="AJ70" s="236">
        <v>10500</v>
      </c>
      <c r="AK70" s="236">
        <f t="shared" si="10"/>
        <v>24363.1</v>
      </c>
      <c r="AL70" s="236">
        <f t="shared" si="10"/>
        <v>27308.299999999996</v>
      </c>
    </row>
    <row r="71" spans="1:38" s="111" customFormat="1" ht="17.25" customHeight="1">
      <c r="A71" s="222">
        <v>61</v>
      </c>
      <c r="B71" s="245" t="s">
        <v>1015</v>
      </c>
      <c r="C71" s="236">
        <f t="shared" si="9"/>
        <v>28643.899999999998</v>
      </c>
      <c r="D71" s="236">
        <f t="shared" si="9"/>
        <v>27153</v>
      </c>
      <c r="E71" s="239">
        <v>10437</v>
      </c>
      <c r="F71" s="239">
        <v>10424.1</v>
      </c>
      <c r="G71" s="239">
        <v>2081</v>
      </c>
      <c r="H71" s="239">
        <v>2081</v>
      </c>
      <c r="I71" s="239">
        <v>3120.4</v>
      </c>
      <c r="J71" s="239">
        <v>2957.2</v>
      </c>
      <c r="K71" s="238">
        <v>0</v>
      </c>
      <c r="L71" s="238">
        <v>0</v>
      </c>
      <c r="M71" s="238">
        <v>320</v>
      </c>
      <c r="N71" s="238">
        <v>320</v>
      </c>
      <c r="O71" s="239">
        <v>10218.2</v>
      </c>
      <c r="P71" s="239">
        <v>10218.2</v>
      </c>
      <c r="Q71" s="239">
        <v>475</v>
      </c>
      <c r="R71" s="239">
        <v>475</v>
      </c>
      <c r="S71" s="242">
        <v>0</v>
      </c>
      <c r="T71" s="242">
        <v>0</v>
      </c>
      <c r="U71" s="236">
        <f t="shared" si="6"/>
        <v>26651.6</v>
      </c>
      <c r="V71" s="236">
        <f t="shared" si="6"/>
        <v>26475.5</v>
      </c>
      <c r="W71" s="239">
        <v>11492.3</v>
      </c>
      <c r="X71" s="239">
        <v>9319.7</v>
      </c>
      <c r="Y71" s="242">
        <v>0</v>
      </c>
      <c r="Z71" s="242">
        <v>0</v>
      </c>
      <c r="AA71" s="242">
        <v>0</v>
      </c>
      <c r="AB71" s="242">
        <v>0</v>
      </c>
      <c r="AC71" s="239">
        <v>0</v>
      </c>
      <c r="AD71" s="239">
        <v>0</v>
      </c>
      <c r="AE71" s="242">
        <v>-9500</v>
      </c>
      <c r="AF71" s="242">
        <v>-8642.2</v>
      </c>
      <c r="AG71" s="236">
        <v>0</v>
      </c>
      <c r="AH71" s="236">
        <v>0</v>
      </c>
      <c r="AI71" s="236">
        <v>0</v>
      </c>
      <c r="AJ71" s="236">
        <v>4006.4</v>
      </c>
      <c r="AK71" s="236">
        <f t="shared" si="10"/>
        <v>1992.2999999999993</v>
      </c>
      <c r="AL71" s="236">
        <f t="shared" si="10"/>
        <v>677.5</v>
      </c>
    </row>
    <row r="72" spans="1:38" s="111" customFormat="1" ht="17.25" customHeight="1">
      <c r="A72" s="222">
        <v>62</v>
      </c>
      <c r="B72" s="245" t="s">
        <v>1016</v>
      </c>
      <c r="C72" s="236">
        <f>U72+AK72</f>
        <v>161007.40000000002</v>
      </c>
      <c r="D72" s="236">
        <f>V72+AL72-AJ72</f>
        <v>118415.30000000002</v>
      </c>
      <c r="E72" s="239">
        <v>39872</v>
      </c>
      <c r="F72" s="239">
        <v>38812.8</v>
      </c>
      <c r="G72" s="239">
        <v>8849.3</v>
      </c>
      <c r="H72" s="239">
        <v>8493.5</v>
      </c>
      <c r="I72" s="239">
        <v>45470</v>
      </c>
      <c r="J72" s="239">
        <v>36564.3</v>
      </c>
      <c r="K72" s="238">
        <v>0</v>
      </c>
      <c r="L72" s="238">
        <v>0</v>
      </c>
      <c r="M72" s="238">
        <v>0</v>
      </c>
      <c r="N72" s="238">
        <v>0</v>
      </c>
      <c r="O72" s="239">
        <v>57204.4</v>
      </c>
      <c r="P72" s="239">
        <v>56058.6</v>
      </c>
      <c r="Q72" s="239">
        <v>5300</v>
      </c>
      <c r="R72" s="239">
        <v>5210</v>
      </c>
      <c r="S72" s="239">
        <v>13045.7</v>
      </c>
      <c r="T72" s="242">
        <v>71</v>
      </c>
      <c r="U72" s="236">
        <f t="shared" si="6"/>
        <v>169741.40000000002</v>
      </c>
      <c r="V72" s="236">
        <f t="shared" si="6"/>
        <v>145210.2</v>
      </c>
      <c r="W72" s="239">
        <v>69500</v>
      </c>
      <c r="X72" s="239">
        <v>63013.9</v>
      </c>
      <c r="Y72" s="242">
        <v>0</v>
      </c>
      <c r="Z72" s="242">
        <v>0</v>
      </c>
      <c r="AA72" s="242">
        <v>0</v>
      </c>
      <c r="AB72" s="242">
        <v>0</v>
      </c>
      <c r="AC72" s="242">
        <v>-3000</v>
      </c>
      <c r="AD72" s="239">
        <v>-270</v>
      </c>
      <c r="AE72" s="242">
        <v>-75234</v>
      </c>
      <c r="AF72" s="239">
        <v>-89538.8</v>
      </c>
      <c r="AG72" s="236">
        <v>0</v>
      </c>
      <c r="AH72" s="236">
        <v>0</v>
      </c>
      <c r="AI72" s="236">
        <v>0</v>
      </c>
      <c r="AJ72" s="236">
        <v>0</v>
      </c>
      <c r="AK72" s="236">
        <f aca="true" t="shared" si="11" ref="AK72:AL74">AI72+AG72+AE72+AC72+AA72+Y72+W72</f>
        <v>-8734</v>
      </c>
      <c r="AL72" s="236">
        <f t="shared" si="11"/>
        <v>-26794.9</v>
      </c>
    </row>
    <row r="73" spans="1:38" s="111" customFormat="1" ht="17.25" customHeight="1">
      <c r="A73" s="222">
        <v>63</v>
      </c>
      <c r="B73" s="245" t="s">
        <v>1017</v>
      </c>
      <c r="C73" s="236">
        <f>U73+AK73-AI73</f>
        <v>101075.70000000001</v>
      </c>
      <c r="D73" s="236">
        <f>V73+AL73-AJ73</f>
        <v>77229.1</v>
      </c>
      <c r="E73" s="239">
        <v>28092</v>
      </c>
      <c r="F73" s="239">
        <v>28057</v>
      </c>
      <c r="G73" s="239">
        <v>5510</v>
      </c>
      <c r="H73" s="239">
        <v>4977.2</v>
      </c>
      <c r="I73" s="239">
        <v>10622</v>
      </c>
      <c r="J73" s="239">
        <v>6164.6</v>
      </c>
      <c r="K73" s="238">
        <v>0</v>
      </c>
      <c r="L73" s="238">
        <v>0</v>
      </c>
      <c r="M73" s="238">
        <v>0</v>
      </c>
      <c r="N73" s="238">
        <v>0</v>
      </c>
      <c r="O73" s="239">
        <v>23178.8</v>
      </c>
      <c r="P73" s="239">
        <v>10272.8</v>
      </c>
      <c r="Q73" s="239">
        <v>8718.3</v>
      </c>
      <c r="R73" s="239">
        <v>8707</v>
      </c>
      <c r="S73" s="239">
        <v>0</v>
      </c>
      <c r="T73" s="242">
        <v>0</v>
      </c>
      <c r="U73" s="236">
        <f t="shared" si="6"/>
        <v>76121.1</v>
      </c>
      <c r="V73" s="236">
        <f t="shared" si="6"/>
        <v>58178.600000000006</v>
      </c>
      <c r="W73" s="239">
        <v>78654.6</v>
      </c>
      <c r="X73" s="239">
        <v>28493.6</v>
      </c>
      <c r="Y73" s="242">
        <v>0</v>
      </c>
      <c r="Z73" s="242">
        <v>0</v>
      </c>
      <c r="AA73" s="242">
        <v>0</v>
      </c>
      <c r="AB73" s="242">
        <v>0</v>
      </c>
      <c r="AC73" s="239">
        <v>0</v>
      </c>
      <c r="AD73" s="239">
        <v>0</v>
      </c>
      <c r="AE73" s="239">
        <v>-53700</v>
      </c>
      <c r="AF73" s="239">
        <v>-9443.1</v>
      </c>
      <c r="AG73" s="236">
        <v>0</v>
      </c>
      <c r="AH73" s="236">
        <v>0</v>
      </c>
      <c r="AI73" s="236">
        <v>0</v>
      </c>
      <c r="AJ73" s="236">
        <v>0</v>
      </c>
      <c r="AK73" s="236">
        <f t="shared" si="11"/>
        <v>24954.600000000006</v>
      </c>
      <c r="AL73" s="236">
        <f t="shared" si="11"/>
        <v>19050.5</v>
      </c>
    </row>
    <row r="74" spans="1:38" s="111" customFormat="1" ht="17.25" customHeight="1">
      <c r="A74" s="222">
        <v>64</v>
      </c>
      <c r="B74" s="245" t="s">
        <v>1018</v>
      </c>
      <c r="C74" s="236">
        <f>U74+AK74-AI74</f>
        <v>6987.2</v>
      </c>
      <c r="D74" s="236">
        <f>V74+AL74-AJ74</f>
        <v>6282.1</v>
      </c>
      <c r="E74" s="242">
        <v>4120</v>
      </c>
      <c r="F74" s="242">
        <v>4040.5</v>
      </c>
      <c r="G74" s="242">
        <v>940.8</v>
      </c>
      <c r="H74" s="242">
        <v>890</v>
      </c>
      <c r="I74" s="242">
        <v>1118.4</v>
      </c>
      <c r="J74" s="242">
        <v>544.6</v>
      </c>
      <c r="K74" s="238">
        <v>0</v>
      </c>
      <c r="L74" s="238">
        <v>0</v>
      </c>
      <c r="M74" s="238">
        <v>0</v>
      </c>
      <c r="N74" s="238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36">
        <f t="shared" si="6"/>
        <v>6179.2</v>
      </c>
      <c r="V74" s="236">
        <f t="shared" si="6"/>
        <v>5475.1</v>
      </c>
      <c r="W74" s="242">
        <v>810</v>
      </c>
      <c r="X74" s="242">
        <v>807</v>
      </c>
      <c r="Y74" s="242">
        <v>0</v>
      </c>
      <c r="Z74" s="242">
        <v>0</v>
      </c>
      <c r="AA74" s="242">
        <v>0</v>
      </c>
      <c r="AB74" s="242">
        <v>0</v>
      </c>
      <c r="AC74" s="239">
        <v>0</v>
      </c>
      <c r="AD74" s="239">
        <v>0</v>
      </c>
      <c r="AE74" s="242">
        <v>-2</v>
      </c>
      <c r="AF74" s="242">
        <v>0</v>
      </c>
      <c r="AG74" s="236">
        <v>0</v>
      </c>
      <c r="AH74" s="236">
        <v>0</v>
      </c>
      <c r="AI74" s="236">
        <v>0</v>
      </c>
      <c r="AJ74" s="236">
        <v>0</v>
      </c>
      <c r="AK74" s="236">
        <f t="shared" si="11"/>
        <v>808</v>
      </c>
      <c r="AL74" s="236">
        <f t="shared" si="11"/>
        <v>807</v>
      </c>
    </row>
    <row r="75" spans="1:38" s="111" customFormat="1" ht="17.25" customHeight="1">
      <c r="A75" s="222">
        <v>65</v>
      </c>
      <c r="B75" s="245" t="s">
        <v>1019</v>
      </c>
      <c r="C75" s="236">
        <f>U75+AK75</f>
        <v>54070.9</v>
      </c>
      <c r="D75" s="236">
        <f>V75+AL75</f>
        <v>49499.200000000004</v>
      </c>
      <c r="E75" s="242">
        <v>14055</v>
      </c>
      <c r="F75" s="242">
        <v>14054.5</v>
      </c>
      <c r="G75" s="242">
        <v>2886.4</v>
      </c>
      <c r="H75" s="242">
        <v>2658.2</v>
      </c>
      <c r="I75" s="242">
        <v>5950</v>
      </c>
      <c r="J75" s="242">
        <v>4586.1</v>
      </c>
      <c r="K75" s="238">
        <v>0</v>
      </c>
      <c r="L75" s="238">
        <v>0</v>
      </c>
      <c r="M75" s="238">
        <v>320</v>
      </c>
      <c r="N75" s="238">
        <v>320</v>
      </c>
      <c r="O75" s="242">
        <v>15883.7</v>
      </c>
      <c r="P75" s="242">
        <v>12645.3</v>
      </c>
      <c r="Q75" s="242">
        <v>5200</v>
      </c>
      <c r="R75" s="242">
        <v>5188</v>
      </c>
      <c r="S75" s="242">
        <v>23.8</v>
      </c>
      <c r="T75" s="242">
        <v>0</v>
      </c>
      <c r="U75" s="236">
        <f t="shared" si="6"/>
        <v>44318.9</v>
      </c>
      <c r="V75" s="236">
        <f t="shared" si="6"/>
        <v>39452.100000000006</v>
      </c>
      <c r="W75" s="242">
        <v>16552</v>
      </c>
      <c r="X75" s="242">
        <v>15878.1</v>
      </c>
      <c r="Y75" s="242">
        <v>0</v>
      </c>
      <c r="Z75" s="242">
        <v>0</v>
      </c>
      <c r="AA75" s="242">
        <v>0</v>
      </c>
      <c r="AB75" s="242">
        <v>0</v>
      </c>
      <c r="AC75" s="239">
        <v>0</v>
      </c>
      <c r="AD75" s="239">
        <v>0</v>
      </c>
      <c r="AE75" s="242">
        <v>-6800</v>
      </c>
      <c r="AF75" s="242">
        <v>-5831</v>
      </c>
      <c r="AG75" s="236">
        <v>0</v>
      </c>
      <c r="AH75" s="236">
        <v>0</v>
      </c>
      <c r="AI75" s="236">
        <v>8000</v>
      </c>
      <c r="AJ75" s="236">
        <v>8500</v>
      </c>
      <c r="AK75" s="236">
        <f>AG75+AE75+AC75+AA75+Y75+W75</f>
        <v>9752</v>
      </c>
      <c r="AL75" s="236">
        <f>AH75+AF75+AD75+AB75+Z75+X75</f>
        <v>10047.1</v>
      </c>
    </row>
    <row r="76" spans="1:38" s="111" customFormat="1" ht="17.25" customHeight="1">
      <c r="A76" s="222">
        <v>66</v>
      </c>
      <c r="B76" s="245" t="s">
        <v>1020</v>
      </c>
      <c r="C76" s="236">
        <f>U76+AK76</f>
        <v>85937.9</v>
      </c>
      <c r="D76" s="236">
        <f>V76+AL76</f>
        <v>87550.2</v>
      </c>
      <c r="E76" s="239">
        <v>21225</v>
      </c>
      <c r="F76" s="239">
        <v>19067.3</v>
      </c>
      <c r="G76" s="239">
        <v>4375</v>
      </c>
      <c r="H76" s="239">
        <v>3848.5</v>
      </c>
      <c r="I76" s="239">
        <v>19953</v>
      </c>
      <c r="J76" s="239">
        <v>19173.9</v>
      </c>
      <c r="K76" s="238">
        <v>0</v>
      </c>
      <c r="L76" s="238">
        <v>0</v>
      </c>
      <c r="M76" s="238">
        <v>320</v>
      </c>
      <c r="N76" s="238">
        <v>320</v>
      </c>
      <c r="O76" s="239">
        <v>24300</v>
      </c>
      <c r="P76" s="239">
        <v>22763</v>
      </c>
      <c r="Q76" s="239">
        <v>2900</v>
      </c>
      <c r="R76" s="239">
        <v>3795</v>
      </c>
      <c r="S76" s="242">
        <v>3680</v>
      </c>
      <c r="T76" s="242">
        <v>61</v>
      </c>
      <c r="U76" s="236">
        <f t="shared" si="6"/>
        <v>76753</v>
      </c>
      <c r="V76" s="236">
        <f t="shared" si="6"/>
        <v>69028.7</v>
      </c>
      <c r="W76" s="239">
        <v>77500</v>
      </c>
      <c r="X76" s="239">
        <v>44961.5</v>
      </c>
      <c r="Y76" s="242">
        <v>0</v>
      </c>
      <c r="Z76" s="242">
        <v>0</v>
      </c>
      <c r="AA76" s="242">
        <v>0</v>
      </c>
      <c r="AB76" s="242">
        <v>0</v>
      </c>
      <c r="AC76" s="239">
        <v>0</v>
      </c>
      <c r="AD76" s="239">
        <v>0</v>
      </c>
      <c r="AE76" s="239">
        <v>-68315.1</v>
      </c>
      <c r="AF76" s="239">
        <v>-26440</v>
      </c>
      <c r="AG76" s="236">
        <v>0</v>
      </c>
      <c r="AH76" s="236">
        <v>0</v>
      </c>
      <c r="AI76" s="236">
        <v>0</v>
      </c>
      <c r="AJ76" s="236">
        <v>9400</v>
      </c>
      <c r="AK76" s="236">
        <f>AG76+AE76+AC76+AA76+Y76+W76</f>
        <v>9184.899999999994</v>
      </c>
      <c r="AL76" s="236">
        <f>AH76+AF76+AD76+AB76+Z76+X76</f>
        <v>18521.5</v>
      </c>
    </row>
    <row r="77" spans="1:38" s="111" customFormat="1" ht="23.25" customHeight="1">
      <c r="A77" s="222">
        <v>67</v>
      </c>
      <c r="B77" s="245" t="s">
        <v>1021</v>
      </c>
      <c r="C77" s="236">
        <f>U77+AK77-AI77</f>
        <v>12753</v>
      </c>
      <c r="D77" s="236">
        <f>V77+AL77-AJ77</f>
        <v>12178</v>
      </c>
      <c r="E77" s="242">
        <v>4890</v>
      </c>
      <c r="F77" s="242">
        <v>4831.5</v>
      </c>
      <c r="G77" s="242">
        <v>932</v>
      </c>
      <c r="H77" s="242">
        <v>812</v>
      </c>
      <c r="I77" s="242">
        <v>3571</v>
      </c>
      <c r="J77" s="242">
        <v>3174.5</v>
      </c>
      <c r="K77" s="238">
        <v>0</v>
      </c>
      <c r="L77" s="238">
        <v>0</v>
      </c>
      <c r="M77" s="238">
        <v>0</v>
      </c>
      <c r="N77" s="238">
        <v>0</v>
      </c>
      <c r="O77" s="242">
        <v>0</v>
      </c>
      <c r="P77" s="242">
        <v>0</v>
      </c>
      <c r="Q77" s="242">
        <v>2900</v>
      </c>
      <c r="R77" s="242">
        <v>2900</v>
      </c>
      <c r="S77" s="242">
        <v>0</v>
      </c>
      <c r="T77" s="242">
        <v>0</v>
      </c>
      <c r="U77" s="236">
        <f t="shared" si="6"/>
        <v>12293</v>
      </c>
      <c r="V77" s="236">
        <f t="shared" si="6"/>
        <v>11718</v>
      </c>
      <c r="W77" s="242">
        <v>460</v>
      </c>
      <c r="X77" s="242">
        <v>460</v>
      </c>
      <c r="Y77" s="242">
        <v>0</v>
      </c>
      <c r="Z77" s="242">
        <v>0</v>
      </c>
      <c r="AA77" s="242">
        <v>0</v>
      </c>
      <c r="AB77" s="242">
        <v>0</v>
      </c>
      <c r="AC77" s="239">
        <v>0</v>
      </c>
      <c r="AD77" s="239">
        <v>0</v>
      </c>
      <c r="AE77" s="239">
        <v>0</v>
      </c>
      <c r="AF77" s="239">
        <v>0</v>
      </c>
      <c r="AG77" s="236">
        <v>0</v>
      </c>
      <c r="AH77" s="236">
        <v>0</v>
      </c>
      <c r="AI77" s="236">
        <v>0</v>
      </c>
      <c r="AJ77" s="236">
        <v>0</v>
      </c>
      <c r="AK77" s="236">
        <f>AI77+AG77+AE77+AC77+AA77+Y77+W77</f>
        <v>460</v>
      </c>
      <c r="AL77" s="236">
        <f>AJ77+AH77+AF77+AD77+AB77+Z77+X77</f>
        <v>460</v>
      </c>
    </row>
    <row r="78" spans="1:38" s="111" customFormat="1" ht="26.25" customHeight="1">
      <c r="A78" s="580" t="s">
        <v>1022</v>
      </c>
      <c r="B78" s="581"/>
      <c r="C78" s="247">
        <f aca="true" t="shared" si="12" ref="C78:AL78">SUM(C11:C77)</f>
        <v>5396592.600000002</v>
      </c>
      <c r="D78" s="247">
        <f t="shared" si="12"/>
        <v>4587184.800000001</v>
      </c>
      <c r="E78" s="247">
        <f t="shared" si="12"/>
        <v>1344701.6</v>
      </c>
      <c r="F78" s="247">
        <f t="shared" si="12"/>
        <v>1293984.1000000003</v>
      </c>
      <c r="G78" s="247">
        <f t="shared" si="12"/>
        <v>273512.49999999994</v>
      </c>
      <c r="H78" s="247">
        <f t="shared" si="12"/>
        <v>255895.80000000005</v>
      </c>
      <c r="I78" s="247">
        <f t="shared" si="12"/>
        <v>905894.3</v>
      </c>
      <c r="J78" s="247">
        <f t="shared" si="12"/>
        <v>753078.1999999997</v>
      </c>
      <c r="K78" s="247">
        <f t="shared" si="12"/>
        <v>0</v>
      </c>
      <c r="L78" s="247">
        <f t="shared" si="12"/>
        <v>0</v>
      </c>
      <c r="M78" s="247">
        <f t="shared" si="12"/>
        <v>1325916.9</v>
      </c>
      <c r="N78" s="247">
        <f t="shared" si="12"/>
        <v>1304095.4000000001</v>
      </c>
      <c r="O78" s="247">
        <f t="shared" si="12"/>
        <v>245673.2</v>
      </c>
      <c r="P78" s="247">
        <f t="shared" si="12"/>
        <v>235627.4</v>
      </c>
      <c r="Q78" s="247">
        <f t="shared" si="12"/>
        <v>262263.6</v>
      </c>
      <c r="R78" s="247">
        <f t="shared" si="12"/>
        <v>249294.9</v>
      </c>
      <c r="S78" s="247">
        <f t="shared" si="12"/>
        <v>172503</v>
      </c>
      <c r="T78" s="247">
        <f t="shared" si="12"/>
        <v>62618.19999999999</v>
      </c>
      <c r="U78" s="247">
        <f t="shared" si="12"/>
        <v>4530465.1</v>
      </c>
      <c r="V78" s="247">
        <f t="shared" si="12"/>
        <v>4154593.9999999986</v>
      </c>
      <c r="W78" s="247">
        <f t="shared" si="12"/>
        <v>2705235.2</v>
      </c>
      <c r="X78" s="247">
        <f t="shared" si="12"/>
        <v>2249372</v>
      </c>
      <c r="Y78" s="247">
        <f t="shared" si="12"/>
        <v>1380</v>
      </c>
      <c r="Z78" s="247">
        <f t="shared" si="12"/>
        <v>1280</v>
      </c>
      <c r="AA78" s="247">
        <f t="shared" si="12"/>
        <v>0</v>
      </c>
      <c r="AB78" s="247">
        <f t="shared" si="12"/>
        <v>0</v>
      </c>
      <c r="AC78" s="247">
        <f t="shared" si="12"/>
        <v>-166783.80000000002</v>
      </c>
      <c r="AD78" s="247">
        <f t="shared" si="12"/>
        <v>-210180.80000000002</v>
      </c>
      <c r="AE78" s="247">
        <f t="shared" si="12"/>
        <v>-1690194.6000000003</v>
      </c>
      <c r="AF78" s="247">
        <f t="shared" si="12"/>
        <v>-1607880.4</v>
      </c>
      <c r="AG78" s="247">
        <f t="shared" si="12"/>
        <v>1165.6</v>
      </c>
      <c r="AH78" s="247">
        <f t="shared" si="12"/>
        <v>0</v>
      </c>
      <c r="AI78" s="247">
        <f t="shared" si="12"/>
        <v>110498</v>
      </c>
      <c r="AJ78" s="247">
        <f t="shared" si="12"/>
        <v>130107.1</v>
      </c>
      <c r="AK78" s="247">
        <f t="shared" si="12"/>
        <v>852419.4000000004</v>
      </c>
      <c r="AL78" s="247">
        <f t="shared" si="12"/>
        <v>433990.79999999993</v>
      </c>
    </row>
    <row r="79" spans="6:38" ht="16.5" customHeight="1">
      <c r="F79" s="248"/>
      <c r="H79" s="248"/>
      <c r="AK79" s="229">
        <v>852419.3000000004</v>
      </c>
      <c r="AL79" s="226">
        <v>433990.8000000001</v>
      </c>
    </row>
    <row r="80" ht="16.5" customHeight="1">
      <c r="AK80" s="229"/>
    </row>
    <row r="81" spans="9:37" ht="16.5" customHeight="1">
      <c r="I81" s="226" t="s">
        <v>1023</v>
      </c>
      <c r="AK81" s="229"/>
    </row>
    <row r="82" spans="37:38" ht="16.5" customHeight="1">
      <c r="AK82" s="229"/>
      <c r="AL82" s="229"/>
    </row>
    <row r="83" ht="16.5" customHeight="1">
      <c r="AK83" s="229"/>
    </row>
    <row r="84" ht="16.5" customHeight="1">
      <c r="AK84" s="229"/>
    </row>
    <row r="85" ht="16.5" customHeight="1">
      <c r="AK85" s="229"/>
    </row>
    <row r="86" ht="16.5" customHeight="1">
      <c r="AK86" s="229"/>
    </row>
    <row r="87" ht="16.5" customHeight="1">
      <c r="AK87" s="229"/>
    </row>
    <row r="88" ht="16.5" customHeight="1">
      <c r="AK88" s="229"/>
    </row>
    <row r="89" ht="16.5" customHeight="1">
      <c r="AK89" s="229"/>
    </row>
    <row r="90" ht="16.5" customHeight="1">
      <c r="AK90" s="229"/>
    </row>
    <row r="91" ht="16.5" customHeight="1">
      <c r="AK91" s="229"/>
    </row>
    <row r="92" ht="16.5" customHeight="1">
      <c r="AK92" s="229"/>
    </row>
    <row r="93" ht="16.5" customHeight="1">
      <c r="AK93" s="229"/>
    </row>
    <row r="94" ht="16.5" customHeight="1">
      <c r="AK94" s="229"/>
    </row>
    <row r="95" ht="16.5" customHeight="1">
      <c r="AK95" s="229"/>
    </row>
    <row r="96" ht="16.5" customHeight="1">
      <c r="AK96" s="229"/>
    </row>
    <row r="97" ht="16.5" customHeight="1">
      <c r="AK97" s="229"/>
    </row>
    <row r="98" ht="16.5" customHeight="1">
      <c r="AK98" s="229"/>
    </row>
    <row r="99" ht="16.5" customHeight="1">
      <c r="AK99" s="229"/>
    </row>
    <row r="100" ht="16.5" customHeight="1">
      <c r="AK100" s="229"/>
    </row>
    <row r="101" ht="16.5" customHeight="1">
      <c r="AK101" s="229"/>
    </row>
    <row r="102" ht="16.5" customHeight="1">
      <c r="AK102" s="229"/>
    </row>
    <row r="103" ht="16.5" customHeight="1">
      <c r="AK103" s="229"/>
    </row>
    <row r="104" ht="16.5" customHeight="1">
      <c r="AK104" s="229"/>
    </row>
    <row r="105" ht="16.5" customHeight="1">
      <c r="AK105" s="229"/>
    </row>
    <row r="106" ht="16.5" customHeight="1">
      <c r="AK106" s="229"/>
    </row>
    <row r="107" ht="16.5" customHeight="1">
      <c r="AK107" s="229"/>
    </row>
    <row r="108" ht="16.5" customHeight="1">
      <c r="AK108" s="229"/>
    </row>
    <row r="109" ht="16.5" customHeight="1">
      <c r="AK109" s="229"/>
    </row>
    <row r="110" ht="16.5" customHeight="1">
      <c r="AK110" s="229"/>
    </row>
    <row r="111" ht="16.5" customHeight="1">
      <c r="AK111" s="229"/>
    </row>
    <row r="112" ht="16.5" customHeight="1">
      <c r="AK112" s="229"/>
    </row>
    <row r="113" ht="16.5" customHeight="1">
      <c r="AK113" s="229"/>
    </row>
    <row r="114" ht="16.5" customHeight="1">
      <c r="AK114" s="229"/>
    </row>
    <row r="115" ht="16.5" customHeight="1">
      <c r="AK115" s="229"/>
    </row>
    <row r="116" ht="16.5" customHeight="1">
      <c r="AK116" s="229"/>
    </row>
    <row r="117" ht="16.5" customHeight="1">
      <c r="AK117" s="229"/>
    </row>
    <row r="118" ht="16.5" customHeight="1">
      <c r="AK118" s="229"/>
    </row>
    <row r="119" ht="16.5" customHeight="1">
      <c r="AK119" s="229"/>
    </row>
    <row r="120" ht="16.5" customHeight="1">
      <c r="AK120" s="229"/>
    </row>
    <row r="121" ht="16.5" customHeight="1">
      <c r="AK121" s="229"/>
    </row>
    <row r="122" ht="16.5" customHeight="1">
      <c r="AK122" s="229"/>
    </row>
    <row r="123" ht="16.5" customHeight="1">
      <c r="AK123" s="229"/>
    </row>
    <row r="124" ht="16.5" customHeight="1">
      <c r="AK124" s="229"/>
    </row>
    <row r="125" ht="16.5" customHeight="1">
      <c r="AK125" s="229"/>
    </row>
    <row r="126" ht="16.5" customHeight="1">
      <c r="AK126" s="229"/>
    </row>
    <row r="127" ht="16.5" customHeight="1">
      <c r="AK127" s="229"/>
    </row>
    <row r="128" ht="16.5" customHeight="1">
      <c r="AK128" s="229"/>
    </row>
    <row r="129" ht="16.5" customHeight="1">
      <c r="AK129" s="229"/>
    </row>
    <row r="130" ht="16.5" customHeight="1">
      <c r="AK130" s="229"/>
    </row>
    <row r="131" ht="16.5" customHeight="1">
      <c r="AK131" s="229"/>
    </row>
    <row r="132" ht="16.5" customHeight="1">
      <c r="AK132" s="229"/>
    </row>
    <row r="133" ht="16.5" customHeight="1">
      <c r="AK133" s="229"/>
    </row>
    <row r="134" ht="16.5" customHeight="1">
      <c r="AK134" s="229"/>
    </row>
    <row r="135" ht="16.5" customHeight="1">
      <c r="AK135" s="229"/>
    </row>
    <row r="136" ht="16.5" customHeight="1">
      <c r="AK136" s="229"/>
    </row>
    <row r="137" ht="16.5" customHeight="1">
      <c r="AK137" s="229"/>
    </row>
    <row r="138" ht="16.5" customHeight="1">
      <c r="AK138" s="229"/>
    </row>
    <row r="139" ht="16.5" customHeight="1">
      <c r="AK139" s="229"/>
    </row>
    <row r="140" ht="16.5" customHeight="1">
      <c r="AK140" s="229"/>
    </row>
    <row r="141" ht="16.5" customHeight="1">
      <c r="AK141" s="229"/>
    </row>
    <row r="142" ht="16.5" customHeight="1">
      <c r="AK142" s="229"/>
    </row>
    <row r="143" ht="16.5" customHeight="1">
      <c r="AK143" s="229"/>
    </row>
    <row r="144" ht="16.5" customHeight="1">
      <c r="AK144" s="229"/>
    </row>
    <row r="145" ht="16.5" customHeight="1">
      <c r="AK145" s="229"/>
    </row>
    <row r="146" ht="16.5" customHeight="1">
      <c r="AK146" s="229"/>
    </row>
    <row r="147" ht="16.5" customHeight="1">
      <c r="AK147" s="229"/>
    </row>
    <row r="148" ht="16.5" customHeight="1">
      <c r="AK148" s="229"/>
    </row>
    <row r="149" ht="16.5" customHeight="1">
      <c r="AK149" s="229"/>
    </row>
    <row r="150" ht="16.5" customHeight="1">
      <c r="AK150" s="229"/>
    </row>
    <row r="151" ht="16.5" customHeight="1">
      <c r="AK151" s="229"/>
    </row>
    <row r="152" ht="16.5" customHeight="1">
      <c r="AK152" s="229"/>
    </row>
    <row r="153" ht="16.5" customHeight="1">
      <c r="AK153" s="229"/>
    </row>
    <row r="154" ht="16.5" customHeight="1">
      <c r="AK154" s="229"/>
    </row>
    <row r="155" ht="16.5" customHeight="1">
      <c r="AK155" s="229"/>
    </row>
    <row r="156" ht="16.5" customHeight="1">
      <c r="AK156" s="229"/>
    </row>
    <row r="157" ht="16.5" customHeight="1">
      <c r="AK157" s="229"/>
    </row>
    <row r="158" ht="16.5" customHeight="1">
      <c r="AK158" s="229"/>
    </row>
    <row r="159" ht="16.5" customHeight="1">
      <c r="AK159" s="229"/>
    </row>
    <row r="160" ht="16.5" customHeight="1">
      <c r="AK160" s="229"/>
    </row>
    <row r="161" ht="16.5" customHeight="1">
      <c r="AK161" s="229"/>
    </row>
    <row r="162" ht="16.5" customHeight="1">
      <c r="AK162" s="229"/>
    </row>
    <row r="163" ht="16.5" customHeight="1">
      <c r="AK163" s="229"/>
    </row>
    <row r="164" ht="16.5" customHeight="1">
      <c r="AK164" s="229"/>
    </row>
    <row r="165" ht="16.5" customHeight="1">
      <c r="AK165" s="229"/>
    </row>
    <row r="166" ht="16.5" customHeight="1">
      <c r="AK166" s="229"/>
    </row>
    <row r="167" ht="16.5" customHeight="1">
      <c r="AK167" s="229"/>
    </row>
    <row r="168" ht="16.5" customHeight="1">
      <c r="AK168" s="229"/>
    </row>
    <row r="169" ht="16.5" customHeight="1">
      <c r="AK169" s="229"/>
    </row>
    <row r="170" ht="16.5" customHeight="1">
      <c r="AK170" s="229"/>
    </row>
    <row r="171" ht="16.5" customHeight="1">
      <c r="AK171" s="229"/>
    </row>
    <row r="172" ht="16.5" customHeight="1">
      <c r="AK172" s="229"/>
    </row>
    <row r="173" ht="16.5" customHeight="1">
      <c r="AK173" s="229"/>
    </row>
    <row r="174" ht="16.5" customHeight="1">
      <c r="AK174" s="229"/>
    </row>
    <row r="175" ht="16.5" customHeight="1">
      <c r="AK175" s="229"/>
    </row>
    <row r="176" ht="16.5" customHeight="1">
      <c r="AK176" s="229"/>
    </row>
    <row r="177" ht="16.5" customHeight="1">
      <c r="AK177" s="229"/>
    </row>
    <row r="178" ht="16.5" customHeight="1">
      <c r="AK178" s="229"/>
    </row>
    <row r="179" ht="16.5" customHeight="1">
      <c r="AK179" s="229"/>
    </row>
    <row r="180" ht="16.5" customHeight="1">
      <c r="AK180" s="229"/>
    </row>
    <row r="181" ht="16.5" customHeight="1">
      <c r="AK181" s="229"/>
    </row>
    <row r="182" spans="1:37" s="249" customFormat="1" ht="22.5" customHeight="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9"/>
    </row>
    <row r="183" spans="1:36" s="249" customFormat="1" ht="24" customHeight="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</row>
    <row r="184" spans="1:36" s="249" customFormat="1" ht="1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</row>
    <row r="185" spans="1:36" s="249" customFormat="1" ht="1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</row>
    <row r="187" ht="45" customHeight="1"/>
  </sheetData>
  <sheetProtection/>
  <protectedRanges>
    <protectedRange sqref="E60" name="Range1"/>
    <protectedRange sqref="F60" name="Range1_1"/>
    <protectedRange sqref="G60" name="Range3"/>
    <protectedRange sqref="H60" name="Range3_1"/>
    <protectedRange sqref="I60" name="Range3_3"/>
    <protectedRange sqref="J60" name="Range3_4"/>
    <protectedRange sqref="O60" name="Range7"/>
    <protectedRange sqref="P60" name="Range7_1"/>
    <protectedRange sqref="Q60" name="Range10"/>
    <protectedRange sqref="R60" name="Range10_1"/>
    <protectedRange sqref="T60" name="Range11_1"/>
    <protectedRange sqref="W60" name="Range13"/>
    <protectedRange sqref="X60" name="Range13_1"/>
    <protectedRange sqref="AE60" name="Range16"/>
    <protectedRange sqref="AF60" name="Range16_1"/>
    <protectedRange sqref="E63" name="Range1_2"/>
    <protectedRange sqref="G63" name="Range3_2"/>
    <protectedRange sqref="H63" name="Range3_5"/>
    <protectedRange sqref="I63" name="Range3_6"/>
    <protectedRange sqref="J63" name="Range3_7"/>
    <protectedRange sqref="Q63" name="Range10_2"/>
    <protectedRange sqref="W63" name="Range13_2"/>
    <protectedRange sqref="X63" name="Range13_3"/>
    <protectedRange sqref="E68" name="Range1_3"/>
    <protectedRange sqref="F68" name="Range1_4"/>
    <protectedRange sqref="G68" name="Range3_8"/>
    <protectedRange sqref="H68" name="Range3_9"/>
    <protectedRange sqref="I68" name="Range3_10"/>
    <protectedRange sqref="J68" name="Range3_11"/>
    <protectedRange sqref="O68:P68" name="Range7_2"/>
    <protectedRange sqref="Q68" name="Range10_3"/>
    <protectedRange sqref="R68" name="Range10_4"/>
    <protectedRange sqref="X68" name="Range13_4"/>
    <protectedRange sqref="AF68" name="Range16_2"/>
    <protectedRange sqref="E69" name="Range1_5"/>
    <protectedRange sqref="F69" name="Range1_6"/>
    <protectedRange sqref="G69" name="Range3_12"/>
    <protectedRange sqref="H69" name="Range3_13"/>
    <protectedRange sqref="I69" name="Range3_14"/>
    <protectedRange sqref="J69" name="Range3_15"/>
    <protectedRange sqref="Q69" name="Range10_5"/>
    <protectedRange sqref="R69" name="Range10_6"/>
    <protectedRange sqref="W69" name="Range13_5"/>
    <protectedRange sqref="X69" name="Range13_6"/>
    <protectedRange sqref="AE69" name="Range16_3"/>
    <protectedRange sqref="AF69" name="Range16_4"/>
    <protectedRange sqref="E70" name="Range1_7"/>
    <protectedRange sqref="F70" name="Range1_8"/>
    <protectedRange sqref="G70" name="Range3_16"/>
    <protectedRange sqref="H70" name="Range3_17"/>
    <protectedRange sqref="I70" name="Range3_18"/>
    <protectedRange sqref="J70" name="Range3_19"/>
    <protectedRange sqref="M70" name="Range6"/>
    <protectedRange sqref="N70" name="Range6_1"/>
    <protectedRange sqref="Q70" name="Range10_7"/>
    <protectedRange sqref="R70" name="Range10_8"/>
    <protectedRange sqref="W70" name="Range13_7"/>
    <protectedRange sqref="X70" name="Range13_8"/>
    <protectedRange sqref="AD70" name="Range15_1"/>
    <protectedRange sqref="AE70" name="Range16_5"/>
    <protectedRange sqref="E71" name="Range1_9"/>
    <protectedRange sqref="F71" name="Range1_10"/>
    <protectedRange sqref="G71" name="Range3_20"/>
    <protectedRange sqref="H71" name="Range3_21"/>
    <protectedRange sqref="O71" name="Range7_3"/>
    <protectedRange sqref="P71" name="Range7_4"/>
    <protectedRange sqref="Q71" name="Range10_9"/>
    <protectedRange sqref="R71" name="Range10_10"/>
    <protectedRange sqref="W71" name="Range13_9"/>
    <protectedRange sqref="X71" name="Range13_10"/>
    <protectedRange sqref="I71" name="Range3_24"/>
    <protectedRange sqref="J71" name="Range3_25"/>
    <protectedRange sqref="Q72" name="Range10_11"/>
    <protectedRange sqref="R72" name="Range10_12"/>
    <protectedRange sqref="S72" name="Range11_3"/>
    <protectedRange sqref="W72" name="Range13_11"/>
    <protectedRange sqref="X72" name="Range13_12"/>
    <protectedRange sqref="AD72 AC16:AD16 AC18:AD21 AE20:AF20 AC23:AD27 AE25:AF25 AE27:AF27 AC29:AD30 AE30:AF30 AC32:AD32 AE37:AF37 AC35:AD38 AC40:AD40 AC41:AF43 AE46:AF48 AE55:AF55 AC51 AE58:AF59 AE63:AF63 AF61 AC66:AD69 AC71:AD71 AC73:AD77 AE77:AF77 AC52:AD64 AC45:AD50" name="Range15_2"/>
    <protectedRange sqref="AF72" name="Range16_8"/>
    <protectedRange sqref="E72" name="Range1_13"/>
    <protectedRange sqref="F72" name="Range1_14"/>
    <protectedRange sqref="I72" name="Range3_28"/>
    <protectedRange sqref="J72" name="Range3_29"/>
    <protectedRange sqref="O72" name="Range7_5"/>
    <protectedRange sqref="P72" name="Range7_6"/>
    <protectedRange sqref="E73:F73" name="Range1_12"/>
    <protectedRange sqref="G73" name="Range3_22"/>
    <protectedRange sqref="H73" name="Range3_23"/>
    <protectedRange sqref="I73" name="Range3_26"/>
    <protectedRange sqref="J73" name="Range3_30"/>
    <protectedRange sqref="O73" name="Range7_7"/>
    <protectedRange sqref="P73" name="Range7_8"/>
    <protectedRange sqref="S73 Q73 W73" name="Range10_14"/>
    <protectedRange sqref="R73" name="Range10_15"/>
    <protectedRange sqref="X73" name="Range13_14"/>
    <protectedRange sqref="AE73" name="Range16_9"/>
    <protectedRange sqref="AF73" name="Range16_10"/>
    <protectedRange sqref="E76" name="Range1_15"/>
    <protectedRange sqref="F76" name="Range1_16"/>
    <protectedRange sqref="G76" name="Range3_27"/>
    <protectedRange sqref="H76" name="Range3_31"/>
    <protectedRange sqref="I76" name="Range3_32"/>
    <protectedRange sqref="J76" name="Range3_33"/>
    <protectedRange sqref="O76" name="Range7_9"/>
    <protectedRange sqref="P76" name="Range7_10"/>
    <protectedRange sqref="Q76" name="Range10_16"/>
    <protectedRange sqref="R76" name="Range10_17"/>
    <protectedRange sqref="W76" name="Range13_15"/>
    <protectedRange sqref="X76" name="Range13_16"/>
    <protectedRange sqref="AE76" name="Range16_11"/>
    <protectedRange sqref="AF76" name="Range16_12"/>
  </protectedRanges>
  <mergeCells count="34">
    <mergeCell ref="A78:B78"/>
    <mergeCell ref="AE6:AH7"/>
    <mergeCell ref="E7:H7"/>
    <mergeCell ref="I7:J8"/>
    <mergeCell ref="K7:L8"/>
    <mergeCell ref="Q7:R8"/>
    <mergeCell ref="S7:T8"/>
    <mergeCell ref="W7:X8"/>
    <mergeCell ref="AK4:AL4"/>
    <mergeCell ref="E5:T5"/>
    <mergeCell ref="U5:V8"/>
    <mergeCell ref="W5:AB5"/>
    <mergeCell ref="AC5:AH5"/>
    <mergeCell ref="AI5:AJ8"/>
    <mergeCell ref="AE8:AF8"/>
    <mergeCell ref="AG8:AH8"/>
    <mergeCell ref="A1:N1"/>
    <mergeCell ref="A2:N2"/>
    <mergeCell ref="M3:N3"/>
    <mergeCell ref="U3:V3"/>
    <mergeCell ref="A4:A9"/>
    <mergeCell ref="B4:B9"/>
    <mergeCell ref="E8:F8"/>
    <mergeCell ref="G8:H8"/>
    <mergeCell ref="C4:D8"/>
    <mergeCell ref="E4:V4"/>
    <mergeCell ref="M7:N8"/>
    <mergeCell ref="O7:P8"/>
    <mergeCell ref="AK5:AL8"/>
    <mergeCell ref="E6:T6"/>
    <mergeCell ref="W6:AB6"/>
    <mergeCell ref="AC6:AD8"/>
    <mergeCell ref="Y7:Z8"/>
    <mergeCell ref="AA7:A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37"/>
  <sheetViews>
    <sheetView zoomScalePageLayoutView="0" workbookViewId="0" topLeftCell="A2">
      <selection activeCell="C11" sqref="C11"/>
    </sheetView>
  </sheetViews>
  <sheetFormatPr defaultColWidth="8.796875" defaultRowHeight="15"/>
  <cols>
    <col min="1" max="1" width="4" style="1" customWidth="1"/>
    <col min="2" max="2" width="19" style="1" customWidth="1"/>
    <col min="3" max="3" width="11.09765625" style="1" customWidth="1"/>
    <col min="4" max="4" width="11.59765625" style="1" customWidth="1"/>
    <col min="5" max="5" width="10.3984375" style="1" customWidth="1"/>
    <col min="6" max="6" width="10.8984375" style="1" customWidth="1"/>
    <col min="7" max="7" width="9.19921875" style="1" customWidth="1"/>
    <col min="8" max="8" width="10" style="1" customWidth="1"/>
    <col min="9" max="9" width="10.3984375" style="1" customWidth="1"/>
    <col min="10" max="10" width="11.59765625" style="1" customWidth="1"/>
    <col min="11" max="11" width="8.69921875" style="1" customWidth="1"/>
    <col min="12" max="12" width="10.59765625" style="1" customWidth="1"/>
    <col min="13" max="13" width="10.19921875" style="1" customWidth="1"/>
    <col min="14" max="14" width="10.3984375" style="1" customWidth="1"/>
    <col min="15" max="15" width="8" style="1" customWidth="1"/>
    <col min="16" max="16" width="12.09765625" style="1" customWidth="1"/>
    <col min="17" max="17" width="9.09765625" style="1" customWidth="1"/>
    <col min="18" max="18" width="9.69921875" style="1" customWidth="1"/>
    <col min="19" max="19" width="8.8984375" style="1" customWidth="1"/>
    <col min="20" max="20" width="9.69921875" style="1" customWidth="1"/>
    <col min="21" max="22" width="11.59765625" style="1" customWidth="1"/>
    <col min="23" max="23" width="10.69921875" style="1" customWidth="1"/>
    <col min="24" max="24" width="12.19921875" style="1" customWidth="1"/>
    <col min="25" max="25" width="11.09765625" style="1" customWidth="1"/>
    <col min="26" max="26" width="9.59765625" style="1" customWidth="1"/>
    <col min="27" max="27" width="9.09765625" style="1" customWidth="1"/>
    <col min="28" max="28" width="10.19921875" style="1" customWidth="1"/>
    <col min="29" max="29" width="9.59765625" style="1" customWidth="1"/>
    <col min="30" max="30" width="11.3984375" style="1" customWidth="1"/>
    <col min="31" max="31" width="9.8984375" style="1" customWidth="1"/>
    <col min="32" max="32" width="11.09765625" style="1" customWidth="1"/>
    <col min="33" max="33" width="8.09765625" style="1" customWidth="1"/>
    <col min="34" max="34" width="11" style="1" customWidth="1"/>
    <col min="35" max="35" width="8.09765625" style="1" customWidth="1"/>
    <col min="36" max="36" width="10.3984375" style="1" customWidth="1"/>
    <col min="37" max="37" width="9.3984375" style="1" customWidth="1"/>
    <col min="38" max="38" width="11.09765625" style="1" customWidth="1"/>
    <col min="39" max="16384" width="9" style="1" customWidth="1"/>
  </cols>
  <sheetData>
    <row r="1" spans="1:36" ht="1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10"/>
      <c r="P1" s="10"/>
      <c r="Q1" s="10"/>
      <c r="R1" s="10"/>
      <c r="S1" s="10"/>
      <c r="T1" s="10"/>
      <c r="U1" s="10"/>
      <c r="V1" s="10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39.75" customHeight="1">
      <c r="A2" s="424" t="s">
        <v>546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22" ht="12" customHeight="1">
      <c r="B3" s="4"/>
      <c r="M3" s="373" t="s">
        <v>19</v>
      </c>
      <c r="N3" s="373"/>
      <c r="U3" s="376"/>
      <c r="V3" s="376"/>
    </row>
    <row r="4" spans="1:38" ht="15" customHeight="1">
      <c r="A4" s="377" t="s">
        <v>2</v>
      </c>
      <c r="B4" s="378" t="s">
        <v>85</v>
      </c>
      <c r="C4" s="588" t="s">
        <v>547</v>
      </c>
      <c r="D4" s="589"/>
      <c r="E4" s="408" t="s">
        <v>1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583"/>
      <c r="AL4" s="583"/>
    </row>
    <row r="5" spans="1:38" ht="28.5" customHeight="1">
      <c r="A5" s="377"/>
      <c r="B5" s="378"/>
      <c r="C5" s="590"/>
      <c r="D5" s="591"/>
      <c r="E5" s="584" t="s">
        <v>22</v>
      </c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6"/>
      <c r="U5" s="587" t="s">
        <v>3</v>
      </c>
      <c r="V5" s="587"/>
      <c r="W5" s="413" t="s">
        <v>87</v>
      </c>
      <c r="X5" s="414"/>
      <c r="Y5" s="414"/>
      <c r="Z5" s="414"/>
      <c r="AA5" s="414"/>
      <c r="AB5" s="414"/>
      <c r="AC5" s="382" t="s">
        <v>13</v>
      </c>
      <c r="AD5" s="382"/>
      <c r="AE5" s="382"/>
      <c r="AF5" s="382"/>
      <c r="AG5" s="382"/>
      <c r="AH5" s="382"/>
      <c r="AI5" s="386" t="s">
        <v>20</v>
      </c>
      <c r="AJ5" s="387"/>
      <c r="AK5" s="587" t="s">
        <v>4</v>
      </c>
      <c r="AL5" s="587"/>
    </row>
    <row r="6" spans="1:38" ht="16.5" customHeight="1">
      <c r="A6" s="377"/>
      <c r="B6" s="378"/>
      <c r="C6" s="590"/>
      <c r="D6" s="591"/>
      <c r="E6" s="379" t="s">
        <v>5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587"/>
      <c r="V6" s="587"/>
      <c r="W6" s="420" t="s">
        <v>5</v>
      </c>
      <c r="X6" s="421"/>
      <c r="Y6" s="421"/>
      <c r="Z6" s="421"/>
      <c r="AA6" s="421"/>
      <c r="AB6" s="422"/>
      <c r="AC6" s="375" t="s">
        <v>14</v>
      </c>
      <c r="AD6" s="375"/>
      <c r="AE6" s="375" t="s">
        <v>15</v>
      </c>
      <c r="AF6" s="375"/>
      <c r="AG6" s="375"/>
      <c r="AH6" s="375"/>
      <c r="AI6" s="388"/>
      <c r="AJ6" s="389"/>
      <c r="AK6" s="587"/>
      <c r="AL6" s="587"/>
    </row>
    <row r="7" spans="1:38" ht="26.25" customHeight="1">
      <c r="A7" s="377"/>
      <c r="B7" s="378"/>
      <c r="C7" s="590"/>
      <c r="D7" s="591"/>
      <c r="E7" s="375" t="s">
        <v>548</v>
      </c>
      <c r="F7" s="375"/>
      <c r="G7" s="375"/>
      <c r="H7" s="375"/>
      <c r="I7" s="339" t="s">
        <v>11</v>
      </c>
      <c r="J7" s="339"/>
      <c r="K7" s="339" t="s">
        <v>89</v>
      </c>
      <c r="L7" s="339"/>
      <c r="M7" s="339" t="s">
        <v>6</v>
      </c>
      <c r="N7" s="339"/>
      <c r="O7" s="339" t="s">
        <v>549</v>
      </c>
      <c r="P7" s="339"/>
      <c r="Q7" s="339" t="s">
        <v>550</v>
      </c>
      <c r="R7" s="339"/>
      <c r="S7" s="339" t="s">
        <v>21</v>
      </c>
      <c r="T7" s="339"/>
      <c r="U7" s="587"/>
      <c r="V7" s="587"/>
      <c r="W7" s="416" t="s">
        <v>23</v>
      </c>
      <c r="X7" s="387"/>
      <c r="Y7" s="386" t="s">
        <v>24</v>
      </c>
      <c r="Z7" s="417"/>
      <c r="AA7" s="404" t="s">
        <v>12</v>
      </c>
      <c r="AB7" s="405"/>
      <c r="AC7" s="375"/>
      <c r="AD7" s="375"/>
      <c r="AE7" s="375"/>
      <c r="AF7" s="375"/>
      <c r="AG7" s="375"/>
      <c r="AH7" s="375"/>
      <c r="AI7" s="388"/>
      <c r="AJ7" s="389"/>
      <c r="AK7" s="587"/>
      <c r="AL7" s="587"/>
    </row>
    <row r="8" spans="1:38" ht="73.5" customHeight="1">
      <c r="A8" s="377"/>
      <c r="B8" s="378"/>
      <c r="C8" s="592"/>
      <c r="D8" s="593"/>
      <c r="E8" s="331" t="s">
        <v>16</v>
      </c>
      <c r="F8" s="331"/>
      <c r="G8" s="331" t="s">
        <v>10</v>
      </c>
      <c r="H8" s="331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587"/>
      <c r="V8" s="587"/>
      <c r="W8" s="390"/>
      <c r="X8" s="391"/>
      <c r="Y8" s="418"/>
      <c r="Z8" s="419"/>
      <c r="AA8" s="406"/>
      <c r="AB8" s="407"/>
      <c r="AC8" s="375"/>
      <c r="AD8" s="375"/>
      <c r="AE8" s="375" t="s">
        <v>17</v>
      </c>
      <c r="AF8" s="375"/>
      <c r="AG8" s="375" t="s">
        <v>18</v>
      </c>
      <c r="AH8" s="375"/>
      <c r="AI8" s="390"/>
      <c r="AJ8" s="391"/>
      <c r="AK8" s="587"/>
      <c r="AL8" s="587"/>
    </row>
    <row r="9" spans="1:38" ht="42" customHeight="1">
      <c r="A9" s="377"/>
      <c r="B9" s="378"/>
      <c r="C9" s="11" t="s">
        <v>90</v>
      </c>
      <c r="D9" s="11" t="s">
        <v>92</v>
      </c>
      <c r="E9" s="78" t="s">
        <v>90</v>
      </c>
      <c r="F9" s="11" t="s">
        <v>92</v>
      </c>
      <c r="G9" s="78" t="s">
        <v>90</v>
      </c>
      <c r="H9" s="11" t="s">
        <v>92</v>
      </c>
      <c r="I9" s="78" t="s">
        <v>90</v>
      </c>
      <c r="J9" s="11" t="s">
        <v>92</v>
      </c>
      <c r="K9" s="78" t="s">
        <v>90</v>
      </c>
      <c r="L9" s="11" t="s">
        <v>92</v>
      </c>
      <c r="M9" s="78" t="s">
        <v>90</v>
      </c>
      <c r="N9" s="11" t="s">
        <v>92</v>
      </c>
      <c r="O9" s="78" t="s">
        <v>90</v>
      </c>
      <c r="P9" s="11" t="s">
        <v>92</v>
      </c>
      <c r="Q9" s="78" t="s">
        <v>90</v>
      </c>
      <c r="R9" s="11" t="s">
        <v>92</v>
      </c>
      <c r="S9" s="78" t="s">
        <v>90</v>
      </c>
      <c r="T9" s="11" t="s">
        <v>92</v>
      </c>
      <c r="U9" s="78" t="s">
        <v>90</v>
      </c>
      <c r="V9" s="11" t="s">
        <v>92</v>
      </c>
      <c r="W9" s="78" t="s">
        <v>90</v>
      </c>
      <c r="X9" s="11" t="s">
        <v>92</v>
      </c>
      <c r="Y9" s="78" t="s">
        <v>90</v>
      </c>
      <c r="Z9" s="11" t="s">
        <v>92</v>
      </c>
      <c r="AA9" s="78" t="s">
        <v>90</v>
      </c>
      <c r="AB9" s="11" t="s">
        <v>92</v>
      </c>
      <c r="AC9" s="78" t="s">
        <v>90</v>
      </c>
      <c r="AD9" s="11" t="s">
        <v>92</v>
      </c>
      <c r="AE9" s="78" t="s">
        <v>90</v>
      </c>
      <c r="AF9" s="11" t="s">
        <v>92</v>
      </c>
      <c r="AG9" s="78" t="s">
        <v>90</v>
      </c>
      <c r="AH9" s="11" t="s">
        <v>92</v>
      </c>
      <c r="AI9" s="78" t="s">
        <v>90</v>
      </c>
      <c r="AJ9" s="11" t="s">
        <v>92</v>
      </c>
      <c r="AK9" s="78" t="s">
        <v>90</v>
      </c>
      <c r="AL9" s="11" t="s">
        <v>92</v>
      </c>
    </row>
    <row r="10" spans="1:38" ht="13.5" customHeight="1">
      <c r="A10" s="5"/>
      <c r="B10" s="80">
        <v>1</v>
      </c>
      <c r="C10" s="80">
        <v>2</v>
      </c>
      <c r="D10" s="80">
        <v>3</v>
      </c>
      <c r="E10" s="80">
        <v>4</v>
      </c>
      <c r="F10" s="80">
        <v>5</v>
      </c>
      <c r="G10" s="80">
        <v>6</v>
      </c>
      <c r="H10" s="80">
        <v>7</v>
      </c>
      <c r="I10" s="80">
        <v>8</v>
      </c>
      <c r="J10" s="80">
        <v>9</v>
      </c>
      <c r="K10" s="80">
        <v>10</v>
      </c>
      <c r="L10" s="80">
        <v>11</v>
      </c>
      <c r="M10" s="80">
        <v>12</v>
      </c>
      <c r="N10" s="80">
        <v>13</v>
      </c>
      <c r="O10" s="80">
        <v>14</v>
      </c>
      <c r="P10" s="80">
        <v>15</v>
      </c>
      <c r="Q10" s="80">
        <v>16</v>
      </c>
      <c r="R10" s="80">
        <v>17</v>
      </c>
      <c r="S10" s="80">
        <v>18</v>
      </c>
      <c r="T10" s="80">
        <v>19</v>
      </c>
      <c r="U10" s="80">
        <v>20</v>
      </c>
      <c r="V10" s="80">
        <v>21</v>
      </c>
      <c r="W10" s="80">
        <v>22</v>
      </c>
      <c r="X10" s="80">
        <v>23</v>
      </c>
      <c r="Y10" s="80">
        <v>24</v>
      </c>
      <c r="Z10" s="80">
        <v>25</v>
      </c>
      <c r="AA10" s="80">
        <v>26</v>
      </c>
      <c r="AB10" s="80">
        <v>27</v>
      </c>
      <c r="AC10" s="80">
        <v>28</v>
      </c>
      <c r="AD10" s="80">
        <v>29</v>
      </c>
      <c r="AE10" s="80">
        <v>30</v>
      </c>
      <c r="AF10" s="80">
        <v>31</v>
      </c>
      <c r="AG10" s="80">
        <v>32</v>
      </c>
      <c r="AH10" s="80">
        <v>33</v>
      </c>
      <c r="AI10" s="80">
        <v>34</v>
      </c>
      <c r="AJ10" s="80">
        <v>35</v>
      </c>
      <c r="AK10" s="80">
        <v>36</v>
      </c>
      <c r="AL10" s="80">
        <v>37</v>
      </c>
    </row>
    <row r="11" spans="1:38" ht="18" customHeight="1">
      <c r="A11" s="104">
        <v>1</v>
      </c>
      <c r="B11" s="168" t="s">
        <v>551</v>
      </c>
      <c r="C11" s="12">
        <f aca="true" t="shared" si="0" ref="C11:D42">U11+AK11-AI11</f>
        <v>141348.6</v>
      </c>
      <c r="D11" s="12">
        <f t="shared" si="0"/>
        <v>77390.40000000001</v>
      </c>
      <c r="E11" s="169">
        <v>32242</v>
      </c>
      <c r="F11" s="12">
        <v>30178.9</v>
      </c>
      <c r="G11" s="12">
        <v>5629.8</v>
      </c>
      <c r="H11" s="12">
        <v>5561.9</v>
      </c>
      <c r="I11" s="12">
        <v>23300</v>
      </c>
      <c r="J11" s="12">
        <v>15759.2</v>
      </c>
      <c r="K11" s="12"/>
      <c r="L11" s="12"/>
      <c r="M11" s="12">
        <v>11585</v>
      </c>
      <c r="N11" s="12">
        <v>10317.5</v>
      </c>
      <c r="O11" s="12">
        <v>500</v>
      </c>
      <c r="P11" s="12">
        <v>230</v>
      </c>
      <c r="Q11" s="12">
        <v>7900</v>
      </c>
      <c r="R11" s="12">
        <v>5700</v>
      </c>
      <c r="S11" s="12">
        <v>11317</v>
      </c>
      <c r="T11" s="12">
        <v>7092.9</v>
      </c>
      <c r="U11" s="12">
        <f aca="true" t="shared" si="1" ref="U11:V42">S11+Q11+O11+M11+K11+I11+G11+E11</f>
        <v>92473.8</v>
      </c>
      <c r="V11" s="12">
        <f t="shared" si="1"/>
        <v>74840.40000000001</v>
      </c>
      <c r="W11" s="12">
        <v>77058.3</v>
      </c>
      <c r="X11" s="12">
        <v>28373.5</v>
      </c>
      <c r="Y11" s="12"/>
      <c r="Z11" s="12"/>
      <c r="AA11" s="12"/>
      <c r="AB11" s="12"/>
      <c r="AC11" s="12">
        <f>-12900</f>
        <v>-12900</v>
      </c>
      <c r="AD11" s="12">
        <f>-9900</f>
        <v>-9900</v>
      </c>
      <c r="AE11" s="12">
        <f>-15283.5</f>
        <v>-15283.5</v>
      </c>
      <c r="AF11" s="12">
        <f>-15923.5</f>
        <v>-15923.5</v>
      </c>
      <c r="AG11" s="12"/>
      <c r="AH11" s="12"/>
      <c r="AI11" s="12"/>
      <c r="AJ11" s="12"/>
      <c r="AK11" s="12">
        <f aca="true" t="shared" si="2" ref="AK11:AL42">AI11+AG11+AE11+AC11+AA11+Y11+W11</f>
        <v>48874.8</v>
      </c>
      <c r="AL11" s="12">
        <f t="shared" si="2"/>
        <v>2550</v>
      </c>
    </row>
    <row r="12" spans="1:38" ht="18" customHeight="1">
      <c r="A12" s="104">
        <v>2</v>
      </c>
      <c r="B12" s="168" t="s">
        <v>552</v>
      </c>
      <c r="C12" s="12">
        <f t="shared" si="0"/>
        <v>20504.8</v>
      </c>
      <c r="D12" s="12">
        <f t="shared" si="0"/>
        <v>14923.7</v>
      </c>
      <c r="E12" s="169">
        <v>7553</v>
      </c>
      <c r="F12" s="12">
        <v>6621.4</v>
      </c>
      <c r="G12" s="12">
        <v>1497</v>
      </c>
      <c r="H12" s="12">
        <v>1288.2</v>
      </c>
      <c r="I12" s="12">
        <v>4070.3</v>
      </c>
      <c r="J12" s="12">
        <v>801.2</v>
      </c>
      <c r="K12" s="12"/>
      <c r="L12" s="12"/>
      <c r="M12" s="12"/>
      <c r="N12" s="12"/>
      <c r="O12" s="12">
        <v>13.5</v>
      </c>
      <c r="P12" s="12">
        <v>13.5</v>
      </c>
      <c r="Q12" s="12">
        <v>1700</v>
      </c>
      <c r="R12" s="12">
        <v>1699.6</v>
      </c>
      <c r="S12" s="12">
        <v>1504.2</v>
      </c>
      <c r="T12" s="12">
        <v>733</v>
      </c>
      <c r="U12" s="12">
        <f t="shared" si="1"/>
        <v>16338</v>
      </c>
      <c r="V12" s="12">
        <f t="shared" si="1"/>
        <v>11156.9</v>
      </c>
      <c r="W12" s="12">
        <v>6134</v>
      </c>
      <c r="X12" s="12">
        <v>5734</v>
      </c>
      <c r="Y12" s="12"/>
      <c r="Z12" s="12"/>
      <c r="AA12" s="12"/>
      <c r="AB12" s="12"/>
      <c r="AC12" s="12">
        <f>-1834</f>
        <v>-1834</v>
      </c>
      <c r="AD12" s="12">
        <f>-1834</f>
        <v>-1834</v>
      </c>
      <c r="AE12" s="12">
        <f>-133.2</f>
        <v>-133.2</v>
      </c>
      <c r="AF12" s="12">
        <f>-133.2</f>
        <v>-133.2</v>
      </c>
      <c r="AG12" s="12"/>
      <c r="AH12" s="12"/>
      <c r="AI12" s="12"/>
      <c r="AJ12" s="12"/>
      <c r="AK12" s="12">
        <f t="shared" si="2"/>
        <v>4166.8</v>
      </c>
      <c r="AL12" s="12">
        <f t="shared" si="2"/>
        <v>3766.8</v>
      </c>
    </row>
    <row r="13" spans="1:39" ht="18" customHeight="1">
      <c r="A13" s="104">
        <v>3</v>
      </c>
      <c r="B13" s="168" t="s">
        <v>553</v>
      </c>
      <c r="C13" s="12">
        <f t="shared" si="0"/>
        <v>187698.7</v>
      </c>
      <c r="D13" s="12">
        <f t="shared" si="0"/>
        <v>161783.7</v>
      </c>
      <c r="E13" s="170">
        <v>35068.8</v>
      </c>
      <c r="F13" s="12">
        <v>32487.2</v>
      </c>
      <c r="G13" s="12">
        <v>7253.1</v>
      </c>
      <c r="H13" s="12">
        <v>6251.7</v>
      </c>
      <c r="I13" s="12">
        <v>24240.4</v>
      </c>
      <c r="J13" s="12">
        <v>16013.6</v>
      </c>
      <c r="K13" s="12"/>
      <c r="L13" s="12"/>
      <c r="M13" s="12">
        <v>57843.6</v>
      </c>
      <c r="N13" s="12">
        <v>50730</v>
      </c>
      <c r="O13" s="12">
        <v>400</v>
      </c>
      <c r="P13" s="12">
        <v>100</v>
      </c>
      <c r="Q13" s="12">
        <v>10000</v>
      </c>
      <c r="R13" s="12">
        <v>8370</v>
      </c>
      <c r="S13" s="12">
        <v>9000</v>
      </c>
      <c r="T13" s="12">
        <v>7937.8</v>
      </c>
      <c r="U13" s="12">
        <f t="shared" si="1"/>
        <v>143805.90000000002</v>
      </c>
      <c r="V13" s="12">
        <f t="shared" si="1"/>
        <v>121890.3</v>
      </c>
      <c r="W13" s="12">
        <v>53892.8</v>
      </c>
      <c r="X13" s="12">
        <v>44714.9</v>
      </c>
      <c r="Y13" s="12"/>
      <c r="Z13" s="12"/>
      <c r="AA13" s="12"/>
      <c r="AB13" s="12"/>
      <c r="AC13" s="12"/>
      <c r="AD13" s="12"/>
      <c r="AE13" s="12">
        <f>-10000</f>
        <v>-10000</v>
      </c>
      <c r="AF13" s="12">
        <f>-4821.5</f>
        <v>-4821.5</v>
      </c>
      <c r="AG13" s="12"/>
      <c r="AH13" s="12"/>
      <c r="AI13" s="12"/>
      <c r="AJ13" s="12"/>
      <c r="AK13" s="12">
        <f t="shared" si="2"/>
        <v>43892.8</v>
      </c>
      <c r="AL13" s="12">
        <f t="shared" si="2"/>
        <v>39893.4</v>
      </c>
      <c r="AM13" s="4"/>
    </row>
    <row r="14" spans="1:38" ht="18" customHeight="1">
      <c r="A14" s="104">
        <v>4</v>
      </c>
      <c r="B14" s="168" t="s">
        <v>554</v>
      </c>
      <c r="C14" s="12">
        <f t="shared" si="0"/>
        <v>16478.7</v>
      </c>
      <c r="D14" s="12">
        <f t="shared" si="0"/>
        <v>9466</v>
      </c>
      <c r="E14" s="170">
        <v>8259</v>
      </c>
      <c r="F14" s="12">
        <v>7161.2</v>
      </c>
      <c r="G14" s="12">
        <v>2169.7</v>
      </c>
      <c r="H14" s="12">
        <v>1806.4</v>
      </c>
      <c r="I14" s="12">
        <v>4590</v>
      </c>
      <c r="J14" s="12">
        <v>1506.3</v>
      </c>
      <c r="K14" s="12"/>
      <c r="L14" s="12"/>
      <c r="M14" s="12"/>
      <c r="N14" s="12"/>
      <c r="O14" s="12"/>
      <c r="P14" s="12"/>
      <c r="Q14" s="12">
        <v>400</v>
      </c>
      <c r="R14" s="12">
        <v>388.7</v>
      </c>
      <c r="S14" s="12">
        <v>1060</v>
      </c>
      <c r="T14" s="12">
        <v>155</v>
      </c>
      <c r="U14" s="12">
        <f t="shared" si="1"/>
        <v>16478.7</v>
      </c>
      <c r="V14" s="12">
        <f t="shared" si="1"/>
        <v>11017.6</v>
      </c>
      <c r="W14" s="12">
        <v>653.4</v>
      </c>
      <c r="X14" s="12">
        <v>289.8</v>
      </c>
      <c r="Y14" s="12"/>
      <c r="Z14" s="12"/>
      <c r="AA14" s="12"/>
      <c r="AB14" s="12"/>
      <c r="AC14" s="12"/>
      <c r="AD14" s="12"/>
      <c r="AE14" s="12">
        <f>-653.4</f>
        <v>-653.4</v>
      </c>
      <c r="AF14" s="12">
        <f>-1841.4</f>
        <v>-1841.4</v>
      </c>
      <c r="AG14" s="12"/>
      <c r="AH14" s="12"/>
      <c r="AI14" s="12"/>
      <c r="AJ14" s="12"/>
      <c r="AK14" s="12">
        <f t="shared" si="2"/>
        <v>0</v>
      </c>
      <c r="AL14" s="12">
        <f t="shared" si="2"/>
        <v>-1551.6000000000001</v>
      </c>
    </row>
    <row r="15" spans="1:38" ht="18" customHeight="1">
      <c r="A15" s="104">
        <v>5</v>
      </c>
      <c r="B15" s="168" t="s">
        <v>555</v>
      </c>
      <c r="C15" s="12">
        <f t="shared" si="0"/>
        <v>40179.2</v>
      </c>
      <c r="D15" s="12">
        <f t="shared" si="0"/>
        <v>23840.4</v>
      </c>
      <c r="E15" s="170">
        <v>10016.8</v>
      </c>
      <c r="F15" s="170">
        <v>9805.6</v>
      </c>
      <c r="G15" s="170">
        <v>1860</v>
      </c>
      <c r="H15" s="170">
        <v>1708</v>
      </c>
      <c r="I15" s="12">
        <v>9540.8</v>
      </c>
      <c r="J15" s="12">
        <v>5729.3</v>
      </c>
      <c r="K15" s="12"/>
      <c r="L15" s="12"/>
      <c r="M15" s="12"/>
      <c r="N15" s="12"/>
      <c r="O15" s="12">
        <v>23</v>
      </c>
      <c r="P15" s="12">
        <v>21.1</v>
      </c>
      <c r="Q15" s="12">
        <v>2990</v>
      </c>
      <c r="R15" s="12">
        <v>2270</v>
      </c>
      <c r="S15" s="12">
        <v>6282</v>
      </c>
      <c r="T15" s="12">
        <v>2407</v>
      </c>
      <c r="U15" s="12">
        <f t="shared" si="1"/>
        <v>30712.6</v>
      </c>
      <c r="V15" s="12">
        <f t="shared" si="1"/>
        <v>21941</v>
      </c>
      <c r="W15" s="12">
        <v>12466.6</v>
      </c>
      <c r="X15" s="12">
        <v>1950</v>
      </c>
      <c r="Y15" s="12"/>
      <c r="Z15" s="12"/>
      <c r="AA15" s="12"/>
      <c r="AB15" s="12"/>
      <c r="AC15" s="12">
        <v>-3000</v>
      </c>
      <c r="AD15" s="12">
        <v>0</v>
      </c>
      <c r="AE15" s="12">
        <v>0</v>
      </c>
      <c r="AF15" s="12">
        <f>-50.6</f>
        <v>-50.6</v>
      </c>
      <c r="AG15" s="12"/>
      <c r="AH15" s="12"/>
      <c r="AI15" s="12"/>
      <c r="AJ15" s="12"/>
      <c r="AK15" s="12">
        <f t="shared" si="2"/>
        <v>9466.6</v>
      </c>
      <c r="AL15" s="12">
        <f t="shared" si="2"/>
        <v>1899.4</v>
      </c>
    </row>
    <row r="16" spans="1:38" ht="18" customHeight="1">
      <c r="A16" s="104">
        <v>6</v>
      </c>
      <c r="B16" s="168" t="s">
        <v>556</v>
      </c>
      <c r="C16" s="12">
        <f t="shared" si="0"/>
        <v>31277.7</v>
      </c>
      <c r="D16" s="12">
        <f t="shared" si="0"/>
        <v>23823.8</v>
      </c>
      <c r="E16" s="170">
        <v>7839</v>
      </c>
      <c r="F16" s="12">
        <v>7788.7</v>
      </c>
      <c r="G16" s="12">
        <v>1500</v>
      </c>
      <c r="H16" s="12">
        <v>1448.6</v>
      </c>
      <c r="I16" s="12">
        <v>6035</v>
      </c>
      <c r="J16" s="12">
        <v>3498.9</v>
      </c>
      <c r="K16" s="12"/>
      <c r="L16" s="12"/>
      <c r="M16" s="12">
        <v>8529.2</v>
      </c>
      <c r="N16" s="12">
        <v>7991</v>
      </c>
      <c r="O16" s="12"/>
      <c r="P16" s="12"/>
      <c r="Q16" s="12">
        <v>1000</v>
      </c>
      <c r="R16" s="12">
        <v>820</v>
      </c>
      <c r="S16" s="12">
        <v>1665</v>
      </c>
      <c r="T16" s="12">
        <v>1504.9</v>
      </c>
      <c r="U16" s="12">
        <f t="shared" si="1"/>
        <v>26568.2</v>
      </c>
      <c r="V16" s="12">
        <f t="shared" si="1"/>
        <v>23052.1</v>
      </c>
      <c r="W16" s="12">
        <v>7109.5</v>
      </c>
      <c r="X16" s="12">
        <v>1285.6</v>
      </c>
      <c r="Y16" s="12"/>
      <c r="Z16" s="12"/>
      <c r="AA16" s="12"/>
      <c r="AB16" s="12"/>
      <c r="AC16" s="12">
        <v>-2400</v>
      </c>
      <c r="AD16" s="12">
        <f>-513.9</f>
        <v>-513.9</v>
      </c>
      <c r="AE16" s="12"/>
      <c r="AF16" s="12"/>
      <c r="AG16" s="12"/>
      <c r="AH16" s="12"/>
      <c r="AI16" s="12"/>
      <c r="AJ16" s="12"/>
      <c r="AK16" s="12">
        <f t="shared" si="2"/>
        <v>4709.5</v>
      </c>
      <c r="AL16" s="12">
        <f t="shared" si="2"/>
        <v>771.6999999999999</v>
      </c>
    </row>
    <row r="17" spans="1:38" ht="18" customHeight="1">
      <c r="A17" s="104">
        <v>7</v>
      </c>
      <c r="B17" s="168" t="s">
        <v>557</v>
      </c>
      <c r="C17" s="12">
        <f t="shared" si="0"/>
        <v>36340.3</v>
      </c>
      <c r="D17" s="12">
        <f t="shared" si="0"/>
        <v>31193.6</v>
      </c>
      <c r="E17" s="171">
        <v>10091.9</v>
      </c>
      <c r="F17" s="171">
        <v>10091.7</v>
      </c>
      <c r="G17" s="171">
        <v>1780</v>
      </c>
      <c r="H17" s="171">
        <v>1521.4</v>
      </c>
      <c r="I17" s="172">
        <v>6954.3</v>
      </c>
      <c r="J17" s="172">
        <v>3998.8</v>
      </c>
      <c r="K17" s="172"/>
      <c r="L17" s="172"/>
      <c r="M17" s="172"/>
      <c r="N17" s="172"/>
      <c r="O17" s="172">
        <v>20</v>
      </c>
      <c r="P17" s="172">
        <v>0</v>
      </c>
      <c r="Q17" s="172">
        <v>2767.9</v>
      </c>
      <c r="R17" s="172">
        <v>2717.9</v>
      </c>
      <c r="S17" s="172">
        <v>1823.8</v>
      </c>
      <c r="T17" s="172">
        <v>1263.2</v>
      </c>
      <c r="U17" s="12">
        <f t="shared" si="1"/>
        <v>23437.9</v>
      </c>
      <c r="V17" s="12">
        <f t="shared" si="1"/>
        <v>19593</v>
      </c>
      <c r="W17" s="172">
        <v>14342.9</v>
      </c>
      <c r="X17" s="172">
        <v>13041.1</v>
      </c>
      <c r="Y17" s="172"/>
      <c r="Z17" s="172"/>
      <c r="AA17" s="172"/>
      <c r="AB17" s="172"/>
      <c r="AC17" s="172">
        <f>-1123</f>
        <v>-1123</v>
      </c>
      <c r="AD17" s="172">
        <f>-210+-913</f>
        <v>-1123</v>
      </c>
      <c r="AE17" s="172">
        <f>-317.5</f>
        <v>-317.5</v>
      </c>
      <c r="AF17" s="172">
        <f>-317.5</f>
        <v>-317.5</v>
      </c>
      <c r="AG17" s="172"/>
      <c r="AH17" s="172"/>
      <c r="AI17" s="172"/>
      <c r="AJ17" s="172"/>
      <c r="AK17" s="12">
        <f t="shared" si="2"/>
        <v>12902.4</v>
      </c>
      <c r="AL17" s="12">
        <f t="shared" si="2"/>
        <v>11600.6</v>
      </c>
    </row>
    <row r="18" spans="1:38" ht="18" customHeight="1">
      <c r="A18" s="104">
        <v>8</v>
      </c>
      <c r="B18" s="168" t="s">
        <v>558</v>
      </c>
      <c r="C18" s="12">
        <f t="shared" si="0"/>
        <v>22440.4</v>
      </c>
      <c r="D18" s="12">
        <f t="shared" si="0"/>
        <v>8060.700000000001</v>
      </c>
      <c r="E18" s="171">
        <v>8176</v>
      </c>
      <c r="F18" s="171">
        <v>7682.7</v>
      </c>
      <c r="G18" s="171">
        <v>1700</v>
      </c>
      <c r="H18" s="171">
        <v>1509.2</v>
      </c>
      <c r="I18" s="171">
        <v>4958</v>
      </c>
      <c r="J18" s="171">
        <v>2521.9</v>
      </c>
      <c r="K18" s="171"/>
      <c r="L18" s="171"/>
      <c r="M18" s="171">
        <v>1024.9</v>
      </c>
      <c r="N18" s="171">
        <v>824.9</v>
      </c>
      <c r="O18" s="171">
        <v>10</v>
      </c>
      <c r="P18" s="171">
        <v>0</v>
      </c>
      <c r="Q18" s="171">
        <v>2275.1</v>
      </c>
      <c r="R18" s="171">
        <v>1515.1</v>
      </c>
      <c r="S18" s="171">
        <v>1210</v>
      </c>
      <c r="T18" s="171">
        <v>300</v>
      </c>
      <c r="U18" s="12">
        <f t="shared" si="1"/>
        <v>19354</v>
      </c>
      <c r="V18" s="12">
        <f t="shared" si="1"/>
        <v>14353.8</v>
      </c>
      <c r="W18" s="171">
        <v>31509.5</v>
      </c>
      <c r="X18" s="171">
        <v>22130</v>
      </c>
      <c r="Y18" s="171"/>
      <c r="Z18" s="171"/>
      <c r="AA18" s="171"/>
      <c r="AB18" s="171"/>
      <c r="AC18" s="171"/>
      <c r="AD18" s="171"/>
      <c r="AE18" s="171">
        <f>-28423.1</f>
        <v>-28423.1</v>
      </c>
      <c r="AF18" s="171">
        <f>-28423.1</f>
        <v>-28423.1</v>
      </c>
      <c r="AG18" s="171"/>
      <c r="AH18" s="171"/>
      <c r="AI18" s="171"/>
      <c r="AJ18" s="171"/>
      <c r="AK18" s="12">
        <f t="shared" si="2"/>
        <v>3086.4000000000015</v>
      </c>
      <c r="AL18" s="12">
        <f t="shared" si="2"/>
        <v>-6293.0999999999985</v>
      </c>
    </row>
    <row r="19" spans="1:38" ht="18" customHeight="1">
      <c r="A19" s="104">
        <v>9</v>
      </c>
      <c r="B19" s="168" t="s">
        <v>559</v>
      </c>
      <c r="C19" s="12">
        <f t="shared" si="0"/>
        <v>20930.8</v>
      </c>
      <c r="D19" s="12">
        <f t="shared" si="0"/>
        <v>14961.4</v>
      </c>
      <c r="E19" s="173">
        <v>8685.1</v>
      </c>
      <c r="F19" s="171">
        <v>6122.1</v>
      </c>
      <c r="G19" s="171">
        <v>2499.3</v>
      </c>
      <c r="H19" s="171">
        <v>1334.6</v>
      </c>
      <c r="I19" s="16">
        <v>5895</v>
      </c>
      <c r="J19" s="171">
        <f>4601.8+0.2</f>
        <v>4602</v>
      </c>
      <c r="K19" s="171"/>
      <c r="L19" s="171"/>
      <c r="M19" s="171"/>
      <c r="N19" s="171"/>
      <c r="O19" s="171"/>
      <c r="P19" s="171"/>
      <c r="Q19" s="171">
        <v>577.3</v>
      </c>
      <c r="R19" s="16">
        <v>375</v>
      </c>
      <c r="S19" s="16">
        <v>1110</v>
      </c>
      <c r="T19" s="171">
        <v>888.7</v>
      </c>
      <c r="U19" s="12">
        <f t="shared" si="1"/>
        <v>18766.7</v>
      </c>
      <c r="V19" s="12">
        <f t="shared" si="1"/>
        <v>13322.4</v>
      </c>
      <c r="W19" s="171">
        <v>2164.1</v>
      </c>
      <c r="X19" s="171">
        <v>1639</v>
      </c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2">
        <f t="shared" si="2"/>
        <v>2164.1</v>
      </c>
      <c r="AL19" s="12">
        <f t="shared" si="2"/>
        <v>1639</v>
      </c>
    </row>
    <row r="20" spans="1:38" ht="18" customHeight="1">
      <c r="A20" s="104">
        <v>10</v>
      </c>
      <c r="B20" s="168" t="s">
        <v>560</v>
      </c>
      <c r="C20" s="12">
        <f t="shared" si="0"/>
        <v>24681.6</v>
      </c>
      <c r="D20" s="12">
        <f t="shared" si="0"/>
        <v>15622.1</v>
      </c>
      <c r="E20" s="16">
        <v>4810</v>
      </c>
      <c r="F20" s="16">
        <v>4809.8</v>
      </c>
      <c r="G20" s="171">
        <v>1085.5</v>
      </c>
      <c r="H20" s="171">
        <v>1058.3</v>
      </c>
      <c r="I20" s="171">
        <v>3789.2</v>
      </c>
      <c r="J20" s="171">
        <v>2498.8</v>
      </c>
      <c r="K20" s="171"/>
      <c r="L20" s="171"/>
      <c r="M20" s="171"/>
      <c r="N20" s="171"/>
      <c r="O20" s="171"/>
      <c r="P20" s="171"/>
      <c r="Q20" s="16">
        <v>700</v>
      </c>
      <c r="R20" s="16">
        <v>690</v>
      </c>
      <c r="S20" s="16">
        <v>920</v>
      </c>
      <c r="T20" s="171">
        <v>879.7</v>
      </c>
      <c r="U20" s="12">
        <f t="shared" si="1"/>
        <v>11304.7</v>
      </c>
      <c r="V20" s="12">
        <f t="shared" si="1"/>
        <v>9936.6</v>
      </c>
      <c r="W20" s="171">
        <v>14376.9</v>
      </c>
      <c r="X20" s="16">
        <v>5782</v>
      </c>
      <c r="Y20" s="171"/>
      <c r="Z20" s="171"/>
      <c r="AA20" s="171"/>
      <c r="AB20" s="171"/>
      <c r="AC20" s="16">
        <v>-500</v>
      </c>
      <c r="AD20" s="16">
        <v>0</v>
      </c>
      <c r="AE20" s="16">
        <v>-500</v>
      </c>
      <c r="AF20" s="16">
        <f>-96.5</f>
        <v>-96.5</v>
      </c>
      <c r="AG20" s="171"/>
      <c r="AH20" s="171"/>
      <c r="AI20" s="171"/>
      <c r="AJ20" s="171"/>
      <c r="AK20" s="12">
        <f t="shared" si="2"/>
        <v>13376.9</v>
      </c>
      <c r="AL20" s="12">
        <f t="shared" si="2"/>
        <v>5685.5</v>
      </c>
    </row>
    <row r="21" spans="1:38" ht="18" customHeight="1">
      <c r="A21" s="104">
        <v>11</v>
      </c>
      <c r="B21" s="168" t="s">
        <v>561</v>
      </c>
      <c r="C21" s="12">
        <f t="shared" si="0"/>
        <v>2738524.401</v>
      </c>
      <c r="D21" s="12">
        <f t="shared" si="0"/>
        <v>2516366.2119999994</v>
      </c>
      <c r="E21" s="171">
        <v>384736.9001</v>
      </c>
      <c r="F21" s="16">
        <v>382708.853</v>
      </c>
      <c r="G21" s="16">
        <v>87597.0001</v>
      </c>
      <c r="H21" s="16">
        <v>87201.285</v>
      </c>
      <c r="I21" s="171">
        <v>713412.8004000001</v>
      </c>
      <c r="J21" s="16">
        <v>693153.9389999999</v>
      </c>
      <c r="K21" s="171"/>
      <c r="L21" s="171"/>
      <c r="M21" s="171">
        <v>1075896.46</v>
      </c>
      <c r="N21" s="171">
        <v>1068210.865</v>
      </c>
      <c r="O21" s="16">
        <v>8800</v>
      </c>
      <c r="P21" s="16">
        <v>5870.3</v>
      </c>
      <c r="Q21" s="171">
        <v>95443.9</v>
      </c>
      <c r="R21" s="16">
        <v>90595.895</v>
      </c>
      <c r="S21" s="16">
        <v>7100</v>
      </c>
      <c r="T21" s="16">
        <v>3850.4</v>
      </c>
      <c r="U21" s="12">
        <f t="shared" si="1"/>
        <v>2372987.0606</v>
      </c>
      <c r="V21" s="12">
        <f t="shared" si="1"/>
        <v>2331591.5369999995</v>
      </c>
      <c r="W21" s="16">
        <v>965537.3404000001</v>
      </c>
      <c r="X21" s="16">
        <v>435677.375</v>
      </c>
      <c r="Y21" s="171"/>
      <c r="Z21" s="171"/>
      <c r="AA21" s="171"/>
      <c r="AB21" s="171"/>
      <c r="AC21" s="171">
        <v>-100000</v>
      </c>
      <c r="AD21" s="16">
        <f>-49825+-52.3</f>
        <v>-49877.3</v>
      </c>
      <c r="AE21" s="171">
        <v>-500000</v>
      </c>
      <c r="AF21" s="16">
        <f>-201025.4</f>
        <v>-201025.4</v>
      </c>
      <c r="AG21" s="171"/>
      <c r="AH21" s="171"/>
      <c r="AI21" s="171"/>
      <c r="AJ21" s="171"/>
      <c r="AK21" s="12">
        <f t="shared" si="2"/>
        <v>365537.3404000001</v>
      </c>
      <c r="AL21" s="12">
        <f t="shared" si="2"/>
        <v>184774.675</v>
      </c>
    </row>
    <row r="22" spans="1:38" ht="18" customHeight="1">
      <c r="A22" s="104">
        <v>12</v>
      </c>
      <c r="B22" s="168" t="s">
        <v>562</v>
      </c>
      <c r="C22" s="12">
        <f t="shared" si="0"/>
        <v>24608.5</v>
      </c>
      <c r="D22" s="12">
        <f t="shared" si="0"/>
        <v>22212.8</v>
      </c>
      <c r="E22" s="171">
        <v>9880</v>
      </c>
      <c r="F22" s="16">
        <v>9856.3</v>
      </c>
      <c r="G22" s="16">
        <v>1898</v>
      </c>
      <c r="H22" s="16">
        <v>1684.1</v>
      </c>
      <c r="I22" s="171">
        <f>3295.6-60</f>
        <v>3235.6</v>
      </c>
      <c r="J22" s="171">
        <v>2022.3</v>
      </c>
      <c r="K22" s="171"/>
      <c r="L22" s="171"/>
      <c r="M22" s="171"/>
      <c r="N22" s="171"/>
      <c r="O22" s="171"/>
      <c r="P22" s="171"/>
      <c r="Q22" s="171">
        <v>1800</v>
      </c>
      <c r="R22" s="171">
        <v>1538</v>
      </c>
      <c r="S22" s="171">
        <v>1117.9</v>
      </c>
      <c r="T22" s="171">
        <v>773.1</v>
      </c>
      <c r="U22" s="12">
        <f t="shared" si="1"/>
        <v>17931.5</v>
      </c>
      <c r="V22" s="12">
        <f t="shared" si="1"/>
        <v>15873.8</v>
      </c>
      <c r="W22" s="171">
        <v>6677</v>
      </c>
      <c r="X22" s="171">
        <v>6339</v>
      </c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2">
        <f t="shared" si="2"/>
        <v>6677</v>
      </c>
      <c r="AL22" s="12">
        <f t="shared" si="2"/>
        <v>6339</v>
      </c>
    </row>
    <row r="23" spans="1:38" ht="18" customHeight="1">
      <c r="A23" s="104">
        <v>13</v>
      </c>
      <c r="B23" s="168" t="s">
        <v>563</v>
      </c>
      <c r="C23" s="12">
        <f t="shared" si="0"/>
        <v>4754.5</v>
      </c>
      <c r="D23" s="12">
        <f t="shared" si="0"/>
        <v>4632.8</v>
      </c>
      <c r="E23" s="171">
        <v>3445</v>
      </c>
      <c r="F23" s="171">
        <v>3445</v>
      </c>
      <c r="G23" s="171">
        <v>725</v>
      </c>
      <c r="H23" s="171">
        <v>724.7</v>
      </c>
      <c r="I23" s="171">
        <v>305</v>
      </c>
      <c r="J23" s="171">
        <v>230.1</v>
      </c>
      <c r="K23" s="171"/>
      <c r="L23" s="171"/>
      <c r="M23" s="171"/>
      <c r="N23" s="171"/>
      <c r="O23" s="171"/>
      <c r="P23" s="171"/>
      <c r="Q23" s="171">
        <v>211.4</v>
      </c>
      <c r="R23" s="171">
        <v>168</v>
      </c>
      <c r="S23" s="171">
        <v>65</v>
      </c>
      <c r="T23" s="171">
        <v>65</v>
      </c>
      <c r="U23" s="12">
        <f t="shared" si="1"/>
        <v>4751.4</v>
      </c>
      <c r="V23" s="12">
        <f t="shared" si="1"/>
        <v>4632.8</v>
      </c>
      <c r="W23" s="171">
        <v>3.1</v>
      </c>
      <c r="X23" s="171">
        <v>0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2">
        <f t="shared" si="2"/>
        <v>3.1</v>
      </c>
      <c r="AL23" s="12">
        <f t="shared" si="2"/>
        <v>0</v>
      </c>
    </row>
    <row r="24" spans="1:38" ht="18" customHeight="1">
      <c r="A24" s="104">
        <v>14</v>
      </c>
      <c r="B24" s="168" t="s">
        <v>564</v>
      </c>
      <c r="C24" s="12">
        <f t="shared" si="0"/>
        <v>36686.3</v>
      </c>
      <c r="D24" s="12">
        <f t="shared" si="0"/>
        <v>18285.9</v>
      </c>
      <c r="E24" s="171">
        <v>9789.1</v>
      </c>
      <c r="F24" s="171">
        <v>8774.2</v>
      </c>
      <c r="G24" s="171">
        <v>2100</v>
      </c>
      <c r="H24" s="171">
        <v>1674.2</v>
      </c>
      <c r="I24" s="171">
        <v>7460.9</v>
      </c>
      <c r="J24" s="171">
        <v>3454.3</v>
      </c>
      <c r="K24" s="171"/>
      <c r="L24" s="171"/>
      <c r="M24" s="16">
        <v>600</v>
      </c>
      <c r="N24" s="16">
        <v>600</v>
      </c>
      <c r="O24" s="16">
        <v>166</v>
      </c>
      <c r="P24" s="16">
        <v>165.5</v>
      </c>
      <c r="Q24" s="16">
        <v>2000</v>
      </c>
      <c r="R24" s="16">
        <v>1820</v>
      </c>
      <c r="S24" s="16">
        <v>2496.5</v>
      </c>
      <c r="T24" s="16">
        <v>239</v>
      </c>
      <c r="U24" s="12">
        <f t="shared" si="1"/>
        <v>24612.5</v>
      </c>
      <c r="V24" s="12">
        <f t="shared" si="1"/>
        <v>16727.2</v>
      </c>
      <c r="W24" s="171">
        <v>12073.8</v>
      </c>
      <c r="X24" s="171">
        <v>1558.7</v>
      </c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2">
        <f t="shared" si="2"/>
        <v>12073.8</v>
      </c>
      <c r="AL24" s="12">
        <f t="shared" si="2"/>
        <v>1558.7</v>
      </c>
    </row>
    <row r="25" spans="1:38" ht="18" customHeight="1">
      <c r="A25" s="104">
        <v>15</v>
      </c>
      <c r="B25" s="168" t="s">
        <v>565</v>
      </c>
      <c r="C25" s="12">
        <f t="shared" si="0"/>
        <v>19413</v>
      </c>
      <c r="D25" s="12">
        <f t="shared" si="0"/>
        <v>19114.399999999998</v>
      </c>
      <c r="E25" s="16">
        <v>9404</v>
      </c>
      <c r="F25" s="171">
        <v>9373.3</v>
      </c>
      <c r="G25" s="171">
        <v>2038.1</v>
      </c>
      <c r="H25" s="171">
        <v>2012.2</v>
      </c>
      <c r="I25" s="171">
        <v>3630.5</v>
      </c>
      <c r="J25" s="171">
        <v>3625.6</v>
      </c>
      <c r="K25" s="171"/>
      <c r="L25" s="171"/>
      <c r="M25" s="16"/>
      <c r="N25" s="16"/>
      <c r="O25" s="16">
        <v>20</v>
      </c>
      <c r="P25" s="16">
        <v>20</v>
      </c>
      <c r="Q25" s="16">
        <v>2000</v>
      </c>
      <c r="R25" s="16">
        <v>2000</v>
      </c>
      <c r="S25" s="16">
        <v>870.5</v>
      </c>
      <c r="T25" s="16">
        <v>870.5</v>
      </c>
      <c r="U25" s="12">
        <f t="shared" si="1"/>
        <v>17963.1</v>
      </c>
      <c r="V25" s="12">
        <f t="shared" si="1"/>
        <v>17901.6</v>
      </c>
      <c r="W25" s="171">
        <v>1449.9</v>
      </c>
      <c r="X25" s="16">
        <v>1449</v>
      </c>
      <c r="Y25" s="171"/>
      <c r="Z25" s="171"/>
      <c r="AA25" s="171"/>
      <c r="AB25" s="171"/>
      <c r="AC25" s="171"/>
      <c r="AD25" s="171"/>
      <c r="AE25" s="16">
        <v>0</v>
      </c>
      <c r="AF25" s="171">
        <f>-236.2</f>
        <v>-236.2</v>
      </c>
      <c r="AG25" s="171"/>
      <c r="AH25" s="171"/>
      <c r="AI25" s="171"/>
      <c r="AJ25" s="171"/>
      <c r="AK25" s="12">
        <f t="shared" si="2"/>
        <v>1449.9</v>
      </c>
      <c r="AL25" s="12">
        <f t="shared" si="2"/>
        <v>1212.8</v>
      </c>
    </row>
    <row r="26" spans="1:38" ht="18" customHeight="1">
      <c r="A26" s="104">
        <v>16</v>
      </c>
      <c r="B26" s="168" t="s">
        <v>566</v>
      </c>
      <c r="C26" s="12">
        <f t="shared" si="0"/>
        <v>20226.300000000003</v>
      </c>
      <c r="D26" s="12">
        <f t="shared" si="0"/>
        <v>17745.300000000003</v>
      </c>
      <c r="E26" s="171">
        <v>6330</v>
      </c>
      <c r="F26" s="171">
        <v>6325.1</v>
      </c>
      <c r="G26" s="171">
        <v>1383.7</v>
      </c>
      <c r="H26" s="171">
        <v>1376.2</v>
      </c>
      <c r="I26" s="171">
        <v>6117</v>
      </c>
      <c r="J26" s="171">
        <v>5796.5</v>
      </c>
      <c r="K26" s="171"/>
      <c r="L26" s="171"/>
      <c r="M26" s="16">
        <v>600</v>
      </c>
      <c r="N26" s="16">
        <v>600</v>
      </c>
      <c r="O26" s="16">
        <v>15</v>
      </c>
      <c r="P26" s="16">
        <v>10.7</v>
      </c>
      <c r="Q26" s="16">
        <v>2500</v>
      </c>
      <c r="R26" s="16">
        <v>2498.8</v>
      </c>
      <c r="S26" s="16">
        <v>965</v>
      </c>
      <c r="T26" s="16">
        <v>840</v>
      </c>
      <c r="U26" s="12">
        <f t="shared" si="1"/>
        <v>17910.7</v>
      </c>
      <c r="V26" s="12">
        <f t="shared" si="1"/>
        <v>17447.300000000003</v>
      </c>
      <c r="W26" s="171">
        <v>5315.6</v>
      </c>
      <c r="X26" s="171">
        <v>298</v>
      </c>
      <c r="Y26" s="171"/>
      <c r="Z26" s="171"/>
      <c r="AA26" s="171"/>
      <c r="AB26" s="171"/>
      <c r="AC26" s="16">
        <v>-2200</v>
      </c>
      <c r="AD26" s="16">
        <v>0</v>
      </c>
      <c r="AE26" s="16">
        <v>-800</v>
      </c>
      <c r="AF26" s="16">
        <v>0</v>
      </c>
      <c r="AG26" s="171"/>
      <c r="AH26" s="171"/>
      <c r="AI26" s="171"/>
      <c r="AJ26" s="171"/>
      <c r="AK26" s="12">
        <f t="shared" si="2"/>
        <v>2315.6000000000004</v>
      </c>
      <c r="AL26" s="12">
        <f t="shared" si="2"/>
        <v>298</v>
      </c>
    </row>
    <row r="27" spans="1:38" ht="18" customHeight="1">
      <c r="A27" s="104">
        <v>17</v>
      </c>
      <c r="B27" s="168" t="s">
        <v>567</v>
      </c>
      <c r="C27" s="12">
        <f t="shared" si="0"/>
        <v>9374.1</v>
      </c>
      <c r="D27" s="12">
        <f t="shared" si="0"/>
        <v>6191.6</v>
      </c>
      <c r="E27" s="171">
        <v>2705.3</v>
      </c>
      <c r="F27" s="171">
        <v>2496.7</v>
      </c>
      <c r="G27" s="171">
        <v>579.6</v>
      </c>
      <c r="H27" s="171">
        <v>423.4</v>
      </c>
      <c r="I27" s="171">
        <v>1714</v>
      </c>
      <c r="J27" s="171">
        <v>599</v>
      </c>
      <c r="K27" s="171"/>
      <c r="L27" s="171"/>
      <c r="M27" s="171"/>
      <c r="N27" s="171"/>
      <c r="O27" s="16"/>
      <c r="P27" s="16"/>
      <c r="Q27" s="16">
        <v>400</v>
      </c>
      <c r="R27" s="16">
        <v>400</v>
      </c>
      <c r="S27" s="16">
        <v>669.8</v>
      </c>
      <c r="T27" s="16">
        <v>222.5</v>
      </c>
      <c r="U27" s="12">
        <f t="shared" si="1"/>
        <v>6068.700000000001</v>
      </c>
      <c r="V27" s="12">
        <f t="shared" si="1"/>
        <v>4141.6</v>
      </c>
      <c r="W27" s="171">
        <v>3305.4</v>
      </c>
      <c r="X27" s="171">
        <v>2050</v>
      </c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2">
        <f t="shared" si="2"/>
        <v>3305.4</v>
      </c>
      <c r="AL27" s="12">
        <f t="shared" si="2"/>
        <v>2050</v>
      </c>
    </row>
    <row r="28" spans="1:38" ht="18" customHeight="1">
      <c r="A28" s="104">
        <v>18</v>
      </c>
      <c r="B28" s="168" t="s">
        <v>568</v>
      </c>
      <c r="C28" s="12">
        <f t="shared" si="0"/>
        <v>8970.5</v>
      </c>
      <c r="D28" s="12">
        <f t="shared" si="0"/>
        <v>4950.6</v>
      </c>
      <c r="E28" s="171">
        <v>7190</v>
      </c>
      <c r="F28" s="171">
        <v>3773.7</v>
      </c>
      <c r="G28" s="171">
        <v>1360</v>
      </c>
      <c r="H28" s="171">
        <v>757.9</v>
      </c>
      <c r="I28" s="171">
        <v>59</v>
      </c>
      <c r="J28" s="171">
        <v>59</v>
      </c>
      <c r="K28" s="171"/>
      <c r="L28" s="171"/>
      <c r="M28" s="171"/>
      <c r="N28" s="171"/>
      <c r="O28" s="16"/>
      <c r="P28" s="16"/>
      <c r="Q28" s="16">
        <v>361.5</v>
      </c>
      <c r="R28" s="16">
        <v>360</v>
      </c>
      <c r="S28" s="16"/>
      <c r="T28" s="16">
        <v>0</v>
      </c>
      <c r="U28" s="12">
        <f t="shared" si="1"/>
        <v>8970.5</v>
      </c>
      <c r="V28" s="12">
        <f t="shared" si="1"/>
        <v>4950.6</v>
      </c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2">
        <f t="shared" si="2"/>
        <v>0</v>
      </c>
      <c r="AL28" s="12">
        <f t="shared" si="2"/>
        <v>0</v>
      </c>
    </row>
    <row r="29" spans="1:38" ht="18" customHeight="1">
      <c r="A29" s="104">
        <v>19</v>
      </c>
      <c r="B29" s="168" t="s">
        <v>569</v>
      </c>
      <c r="C29" s="12">
        <f t="shared" si="0"/>
        <v>26027.5</v>
      </c>
      <c r="D29" s="12">
        <f t="shared" si="0"/>
        <v>19279.5</v>
      </c>
      <c r="E29" s="16">
        <v>9824</v>
      </c>
      <c r="F29" s="171">
        <v>9042</v>
      </c>
      <c r="G29" s="16">
        <v>2303</v>
      </c>
      <c r="H29" s="171">
        <v>2298.9</v>
      </c>
      <c r="I29" s="171">
        <v>7236.4</v>
      </c>
      <c r="J29" s="171">
        <v>4731.6</v>
      </c>
      <c r="K29" s="171"/>
      <c r="L29" s="171"/>
      <c r="M29" s="171"/>
      <c r="N29" s="171"/>
      <c r="O29" s="16"/>
      <c r="P29" s="16"/>
      <c r="Q29" s="16">
        <v>1500</v>
      </c>
      <c r="R29" s="16">
        <v>1090</v>
      </c>
      <c r="S29" s="16">
        <v>4161.2</v>
      </c>
      <c r="T29" s="16">
        <v>1672</v>
      </c>
      <c r="U29" s="12">
        <f t="shared" si="1"/>
        <v>25024.6</v>
      </c>
      <c r="V29" s="12">
        <f t="shared" si="1"/>
        <v>18834.5</v>
      </c>
      <c r="W29" s="171">
        <v>1002.9</v>
      </c>
      <c r="X29" s="16">
        <v>445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2">
        <f t="shared" si="2"/>
        <v>1002.9</v>
      </c>
      <c r="AL29" s="12">
        <f t="shared" si="2"/>
        <v>445</v>
      </c>
    </row>
    <row r="30" spans="1:38" ht="18" customHeight="1">
      <c r="A30" s="104">
        <v>20</v>
      </c>
      <c r="B30" s="168" t="s">
        <v>570</v>
      </c>
      <c r="C30" s="12">
        <f t="shared" si="0"/>
        <v>24958.399999999998</v>
      </c>
      <c r="D30" s="12">
        <f t="shared" si="0"/>
        <v>22079.1</v>
      </c>
      <c r="E30" s="171">
        <v>9536</v>
      </c>
      <c r="F30" s="171">
        <v>9149.8</v>
      </c>
      <c r="G30" s="171">
        <v>1830.4</v>
      </c>
      <c r="H30" s="171">
        <v>1693.4</v>
      </c>
      <c r="I30" s="171">
        <v>6284.9</v>
      </c>
      <c r="J30" s="171">
        <v>4265</v>
      </c>
      <c r="K30" s="171"/>
      <c r="L30" s="171"/>
      <c r="M30" s="171"/>
      <c r="N30" s="171"/>
      <c r="O30" s="16">
        <v>20</v>
      </c>
      <c r="P30" s="16">
        <v>0</v>
      </c>
      <c r="Q30" s="16">
        <v>2120</v>
      </c>
      <c r="R30" s="16">
        <v>2120</v>
      </c>
      <c r="S30" s="16">
        <v>1166.5</v>
      </c>
      <c r="T30" s="16">
        <v>946</v>
      </c>
      <c r="U30" s="12">
        <f t="shared" si="1"/>
        <v>20957.8</v>
      </c>
      <c r="V30" s="12">
        <f t="shared" si="1"/>
        <v>18174.199999999997</v>
      </c>
      <c r="W30" s="171">
        <v>5157.5</v>
      </c>
      <c r="X30" s="171">
        <v>4662.9</v>
      </c>
      <c r="Y30" s="171"/>
      <c r="Z30" s="171"/>
      <c r="AA30" s="171"/>
      <c r="AB30" s="171"/>
      <c r="AC30" s="171">
        <v>-1156.9</v>
      </c>
      <c r="AD30" s="171">
        <f>-758</f>
        <v>-758</v>
      </c>
      <c r="AE30" s="171"/>
      <c r="AF30" s="171"/>
      <c r="AG30" s="171"/>
      <c r="AH30" s="171"/>
      <c r="AI30" s="171"/>
      <c r="AJ30" s="171"/>
      <c r="AK30" s="12">
        <f t="shared" si="2"/>
        <v>4000.6</v>
      </c>
      <c r="AL30" s="12">
        <f t="shared" si="2"/>
        <v>3904.8999999999996</v>
      </c>
    </row>
    <row r="31" spans="1:38" ht="18" customHeight="1">
      <c r="A31" s="104">
        <v>21</v>
      </c>
      <c r="B31" s="168" t="s">
        <v>571</v>
      </c>
      <c r="C31" s="12">
        <f t="shared" si="0"/>
        <v>9159.4</v>
      </c>
      <c r="D31" s="12">
        <f t="shared" si="0"/>
        <v>8332.5</v>
      </c>
      <c r="E31" s="171">
        <v>4740.1</v>
      </c>
      <c r="F31" s="171">
        <v>4740.1</v>
      </c>
      <c r="G31" s="171">
        <v>1046.9</v>
      </c>
      <c r="H31" s="171">
        <v>1038</v>
      </c>
      <c r="I31" s="171">
        <v>2057.1</v>
      </c>
      <c r="J31" s="171">
        <f>1479-0.1</f>
        <v>1478.9</v>
      </c>
      <c r="K31" s="171"/>
      <c r="L31" s="171"/>
      <c r="M31" s="171"/>
      <c r="N31" s="171"/>
      <c r="O31" s="16"/>
      <c r="P31" s="16"/>
      <c r="Q31" s="16">
        <v>500</v>
      </c>
      <c r="R31" s="16">
        <v>500</v>
      </c>
      <c r="S31" s="16">
        <v>815.3</v>
      </c>
      <c r="T31" s="16">
        <v>575.5</v>
      </c>
      <c r="U31" s="12">
        <f t="shared" si="1"/>
        <v>9159.4</v>
      </c>
      <c r="V31" s="12">
        <f t="shared" si="1"/>
        <v>8332.5</v>
      </c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2">
        <f t="shared" si="2"/>
        <v>0</v>
      </c>
      <c r="AL31" s="12">
        <f t="shared" si="2"/>
        <v>0</v>
      </c>
    </row>
    <row r="32" spans="1:38" ht="18" customHeight="1">
      <c r="A32" s="104">
        <v>22</v>
      </c>
      <c r="B32" s="168" t="s">
        <v>572</v>
      </c>
      <c r="C32" s="12">
        <f t="shared" si="0"/>
        <v>12095.5</v>
      </c>
      <c r="D32" s="12">
        <f t="shared" si="0"/>
        <v>9812.4</v>
      </c>
      <c r="E32" s="171">
        <v>5000</v>
      </c>
      <c r="F32" s="171">
        <v>4672.7</v>
      </c>
      <c r="G32" s="171">
        <v>2555</v>
      </c>
      <c r="H32" s="171">
        <v>2067.2</v>
      </c>
      <c r="I32" s="171">
        <v>2860</v>
      </c>
      <c r="J32" s="171">
        <v>1890.5</v>
      </c>
      <c r="K32" s="171"/>
      <c r="L32" s="171"/>
      <c r="M32" s="171"/>
      <c r="N32" s="171"/>
      <c r="O32" s="16"/>
      <c r="P32" s="16"/>
      <c r="Q32" s="16">
        <v>1010</v>
      </c>
      <c r="R32" s="16">
        <v>841</v>
      </c>
      <c r="S32" s="16">
        <v>670.5</v>
      </c>
      <c r="T32" s="16">
        <v>341</v>
      </c>
      <c r="U32" s="12">
        <f t="shared" si="1"/>
        <v>12095.5</v>
      </c>
      <c r="V32" s="12">
        <f t="shared" si="1"/>
        <v>9812.4</v>
      </c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2">
        <f t="shared" si="2"/>
        <v>0</v>
      </c>
      <c r="AL32" s="12">
        <f t="shared" si="2"/>
        <v>0</v>
      </c>
    </row>
    <row r="33" spans="1:38" ht="18" customHeight="1">
      <c r="A33" s="104">
        <v>23</v>
      </c>
      <c r="B33" s="168" t="s">
        <v>573</v>
      </c>
      <c r="C33" s="12">
        <f t="shared" si="0"/>
        <v>19873.600000000002</v>
      </c>
      <c r="D33" s="12">
        <f t="shared" si="0"/>
        <v>18525.8</v>
      </c>
      <c r="E33" s="171">
        <v>7910</v>
      </c>
      <c r="F33" s="171">
        <v>7639.2</v>
      </c>
      <c r="G33" s="171">
        <v>1524</v>
      </c>
      <c r="H33" s="171">
        <v>1448.4</v>
      </c>
      <c r="I33" s="171">
        <v>2486.2</v>
      </c>
      <c r="J33" s="171">
        <v>1805.6</v>
      </c>
      <c r="K33" s="171"/>
      <c r="L33" s="171"/>
      <c r="M33" s="171"/>
      <c r="N33" s="171"/>
      <c r="O33" s="16">
        <v>550</v>
      </c>
      <c r="P33" s="16">
        <v>550</v>
      </c>
      <c r="Q33" s="16">
        <v>1500</v>
      </c>
      <c r="R33" s="16">
        <v>1370</v>
      </c>
      <c r="S33" s="16">
        <v>300</v>
      </c>
      <c r="T33" s="16">
        <v>200.3</v>
      </c>
      <c r="U33" s="12">
        <f t="shared" si="1"/>
        <v>14270.2</v>
      </c>
      <c r="V33" s="12">
        <f t="shared" si="1"/>
        <v>13013.5</v>
      </c>
      <c r="W33" s="171">
        <v>12767.1</v>
      </c>
      <c r="X33" s="171">
        <v>12676</v>
      </c>
      <c r="Y33" s="171"/>
      <c r="Z33" s="171"/>
      <c r="AA33" s="171"/>
      <c r="AB33" s="171"/>
      <c r="AC33" s="171">
        <f>-153</f>
        <v>-153</v>
      </c>
      <c r="AD33" s="171">
        <f>-153</f>
        <v>-153</v>
      </c>
      <c r="AE33" s="171">
        <f>-7010.7</f>
        <v>-7010.7</v>
      </c>
      <c r="AF33" s="171">
        <f>-7010.7</f>
        <v>-7010.7</v>
      </c>
      <c r="AG33" s="171"/>
      <c r="AH33" s="171"/>
      <c r="AI33" s="171"/>
      <c r="AJ33" s="171"/>
      <c r="AK33" s="12">
        <f t="shared" si="2"/>
        <v>5603.400000000001</v>
      </c>
      <c r="AL33" s="12">
        <f t="shared" si="2"/>
        <v>5512.3</v>
      </c>
    </row>
    <row r="34" spans="1:38" ht="18" customHeight="1">
      <c r="A34" s="104">
        <v>24</v>
      </c>
      <c r="B34" s="168" t="s">
        <v>574</v>
      </c>
      <c r="C34" s="12">
        <f t="shared" si="0"/>
        <v>41844.700000000004</v>
      </c>
      <c r="D34" s="12">
        <f t="shared" si="0"/>
        <v>28041.2</v>
      </c>
      <c r="E34" s="171">
        <v>14041</v>
      </c>
      <c r="F34" s="171">
        <v>12199.6</v>
      </c>
      <c r="G34" s="171">
        <v>3150</v>
      </c>
      <c r="H34" s="171">
        <v>2965</v>
      </c>
      <c r="I34" s="171">
        <v>7728.8</v>
      </c>
      <c r="J34" s="171">
        <v>3875.6</v>
      </c>
      <c r="K34" s="171"/>
      <c r="L34" s="171"/>
      <c r="M34" s="171"/>
      <c r="N34" s="171"/>
      <c r="O34" s="16">
        <v>150</v>
      </c>
      <c r="P34" s="16">
        <v>150</v>
      </c>
      <c r="Q34" s="16">
        <v>1500</v>
      </c>
      <c r="R34" s="16">
        <v>1460</v>
      </c>
      <c r="S34" s="16">
        <v>6500</v>
      </c>
      <c r="T34" s="16">
        <v>3328</v>
      </c>
      <c r="U34" s="12">
        <f t="shared" si="1"/>
        <v>33069.8</v>
      </c>
      <c r="V34" s="12">
        <f t="shared" si="1"/>
        <v>23978.2</v>
      </c>
      <c r="W34" s="171">
        <v>8774.9</v>
      </c>
      <c r="X34" s="171">
        <v>6228</v>
      </c>
      <c r="Y34" s="171"/>
      <c r="Z34" s="171"/>
      <c r="AA34" s="171"/>
      <c r="AB34" s="171"/>
      <c r="AC34" s="171"/>
      <c r="AD34" s="171"/>
      <c r="AE34" s="171"/>
      <c r="AF34" s="16">
        <f>-2165</f>
        <v>-2165</v>
      </c>
      <c r="AG34" s="171"/>
      <c r="AH34" s="171"/>
      <c r="AI34" s="171"/>
      <c r="AJ34" s="171"/>
      <c r="AK34" s="12">
        <f t="shared" si="2"/>
        <v>8774.9</v>
      </c>
      <c r="AL34" s="12">
        <f t="shared" si="2"/>
        <v>4063</v>
      </c>
    </row>
    <row r="35" spans="1:38" ht="18" customHeight="1">
      <c r="A35" s="104">
        <v>25</v>
      </c>
      <c r="B35" s="168" t="s">
        <v>575</v>
      </c>
      <c r="C35" s="12">
        <f t="shared" si="0"/>
        <v>35222.299999999996</v>
      </c>
      <c r="D35" s="12">
        <f t="shared" si="0"/>
        <v>34196.299999999996</v>
      </c>
      <c r="E35" s="171">
        <v>11957.1</v>
      </c>
      <c r="F35" s="171">
        <v>11957.1</v>
      </c>
      <c r="G35" s="171">
        <v>2102.5</v>
      </c>
      <c r="H35" s="171">
        <v>2101.9</v>
      </c>
      <c r="I35" s="171">
        <v>8354</v>
      </c>
      <c r="J35" s="171">
        <v>7418.4</v>
      </c>
      <c r="K35" s="171"/>
      <c r="L35" s="171"/>
      <c r="M35" s="171">
        <v>3200</v>
      </c>
      <c r="N35" s="171">
        <v>3200</v>
      </c>
      <c r="O35" s="16"/>
      <c r="P35" s="16"/>
      <c r="Q35" s="16">
        <v>3000</v>
      </c>
      <c r="R35" s="16">
        <v>3000</v>
      </c>
      <c r="S35" s="16">
        <v>4025</v>
      </c>
      <c r="T35" s="16">
        <v>3935.2</v>
      </c>
      <c r="U35" s="12">
        <f t="shared" si="1"/>
        <v>32638.6</v>
      </c>
      <c r="V35" s="12">
        <f t="shared" si="1"/>
        <v>31612.6</v>
      </c>
      <c r="W35" s="171">
        <v>2583.7</v>
      </c>
      <c r="X35" s="171">
        <v>2583.7</v>
      </c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2">
        <f t="shared" si="2"/>
        <v>2583.7</v>
      </c>
      <c r="AL35" s="12">
        <f t="shared" si="2"/>
        <v>2583.7</v>
      </c>
    </row>
    <row r="36" spans="1:38" ht="18" customHeight="1">
      <c r="A36" s="104">
        <v>26</v>
      </c>
      <c r="B36" s="168" t="s">
        <v>576</v>
      </c>
      <c r="C36" s="12">
        <f t="shared" si="0"/>
        <v>7766.4</v>
      </c>
      <c r="D36" s="12">
        <f t="shared" si="0"/>
        <v>6469.200000000001</v>
      </c>
      <c r="E36" s="171">
        <v>3732</v>
      </c>
      <c r="F36" s="171">
        <v>3706.9</v>
      </c>
      <c r="G36" s="171">
        <v>1300</v>
      </c>
      <c r="H36" s="171">
        <v>757.4</v>
      </c>
      <c r="I36" s="171">
        <v>1080</v>
      </c>
      <c r="J36" s="171">
        <v>933.5</v>
      </c>
      <c r="K36" s="171"/>
      <c r="L36" s="171"/>
      <c r="M36" s="171"/>
      <c r="N36" s="171"/>
      <c r="O36" s="16"/>
      <c r="P36" s="16"/>
      <c r="Q36" s="16">
        <v>581.4</v>
      </c>
      <c r="R36" s="16">
        <v>581.4</v>
      </c>
      <c r="S36" s="16">
        <v>540</v>
      </c>
      <c r="T36" s="16">
        <v>340</v>
      </c>
      <c r="U36" s="12">
        <f t="shared" si="1"/>
        <v>7233.4</v>
      </c>
      <c r="V36" s="12">
        <f t="shared" si="1"/>
        <v>6319.200000000001</v>
      </c>
      <c r="W36" s="171">
        <v>533</v>
      </c>
      <c r="X36" s="171">
        <v>150</v>
      </c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2">
        <f t="shared" si="2"/>
        <v>533</v>
      </c>
      <c r="AL36" s="12">
        <f t="shared" si="2"/>
        <v>150</v>
      </c>
    </row>
    <row r="37" spans="1:38" ht="18" customHeight="1">
      <c r="A37" s="104">
        <v>27</v>
      </c>
      <c r="B37" s="168" t="s">
        <v>577</v>
      </c>
      <c r="C37" s="12">
        <f t="shared" si="0"/>
        <v>26047.299999999996</v>
      </c>
      <c r="D37" s="12">
        <f t="shared" si="0"/>
        <v>17678.7</v>
      </c>
      <c r="E37" s="171">
        <v>7423</v>
      </c>
      <c r="F37" s="171">
        <v>6365</v>
      </c>
      <c r="G37" s="171">
        <v>1411.8</v>
      </c>
      <c r="H37" s="171">
        <v>1315.7</v>
      </c>
      <c r="I37" s="171">
        <v>6917.7</v>
      </c>
      <c r="J37" s="171">
        <v>1469</v>
      </c>
      <c r="K37" s="171"/>
      <c r="L37" s="171"/>
      <c r="M37" s="171"/>
      <c r="N37" s="171"/>
      <c r="O37" s="16"/>
      <c r="P37" s="16"/>
      <c r="Q37" s="16">
        <v>2500</v>
      </c>
      <c r="R37" s="16">
        <v>2300</v>
      </c>
      <c r="S37" s="16">
        <v>1381.7</v>
      </c>
      <c r="T37" s="16">
        <v>377.8</v>
      </c>
      <c r="U37" s="12">
        <f t="shared" si="1"/>
        <v>19634.199999999997</v>
      </c>
      <c r="V37" s="12">
        <f t="shared" si="1"/>
        <v>11827.5</v>
      </c>
      <c r="W37" s="171">
        <v>6413.1</v>
      </c>
      <c r="X37" s="171">
        <v>5931.2</v>
      </c>
      <c r="Y37" s="171"/>
      <c r="Z37" s="171"/>
      <c r="AA37" s="171"/>
      <c r="AB37" s="171"/>
      <c r="AC37" s="171">
        <v>0</v>
      </c>
      <c r="AD37" s="171">
        <f>-80</f>
        <v>-80</v>
      </c>
      <c r="AE37" s="171"/>
      <c r="AF37" s="171"/>
      <c r="AG37" s="171"/>
      <c r="AH37" s="171"/>
      <c r="AI37" s="171"/>
      <c r="AJ37" s="171"/>
      <c r="AK37" s="12">
        <f t="shared" si="2"/>
        <v>6413.1</v>
      </c>
      <c r="AL37" s="12">
        <f t="shared" si="2"/>
        <v>5851.2</v>
      </c>
    </row>
    <row r="38" spans="1:38" ht="18" customHeight="1">
      <c r="A38" s="104">
        <v>28</v>
      </c>
      <c r="B38" s="168" t="s">
        <v>578</v>
      </c>
      <c r="C38" s="12">
        <f t="shared" si="0"/>
        <v>55018.399999999994</v>
      </c>
      <c r="D38" s="12">
        <f t="shared" si="0"/>
        <v>25821.600000000002</v>
      </c>
      <c r="E38" s="171">
        <v>9945</v>
      </c>
      <c r="F38" s="171">
        <v>9442.9</v>
      </c>
      <c r="G38" s="171">
        <v>1908</v>
      </c>
      <c r="H38" s="171">
        <v>1719</v>
      </c>
      <c r="I38" s="171">
        <v>13212.6</v>
      </c>
      <c r="J38" s="171">
        <v>6817.7</v>
      </c>
      <c r="K38" s="171"/>
      <c r="L38" s="171"/>
      <c r="M38" s="171"/>
      <c r="N38" s="171"/>
      <c r="O38" s="16">
        <v>30</v>
      </c>
      <c r="P38" s="16">
        <v>25.2</v>
      </c>
      <c r="Q38" s="16">
        <v>4917</v>
      </c>
      <c r="R38" s="16">
        <v>4917</v>
      </c>
      <c r="S38" s="16">
        <v>6829</v>
      </c>
      <c r="T38" s="16">
        <v>906.6</v>
      </c>
      <c r="U38" s="12">
        <f t="shared" si="1"/>
        <v>36841.6</v>
      </c>
      <c r="V38" s="12">
        <f t="shared" si="1"/>
        <v>23828.4</v>
      </c>
      <c r="W38" s="171">
        <v>18176.8</v>
      </c>
      <c r="X38" s="171">
        <v>2486</v>
      </c>
      <c r="Y38" s="171"/>
      <c r="Z38" s="171"/>
      <c r="AA38" s="171"/>
      <c r="AB38" s="171"/>
      <c r="AC38" s="171"/>
      <c r="AD38" s="171"/>
      <c r="AE38" s="171">
        <v>0</v>
      </c>
      <c r="AF38" s="171">
        <f>-492.8</f>
        <v>-492.8</v>
      </c>
      <c r="AG38" s="171"/>
      <c r="AH38" s="171"/>
      <c r="AI38" s="171"/>
      <c r="AJ38" s="171"/>
      <c r="AK38" s="12">
        <f t="shared" si="2"/>
        <v>18176.8</v>
      </c>
      <c r="AL38" s="12">
        <f t="shared" si="2"/>
        <v>1993.2</v>
      </c>
    </row>
    <row r="39" spans="1:38" ht="18" customHeight="1">
      <c r="A39" s="104">
        <v>29</v>
      </c>
      <c r="B39" s="168" t="s">
        <v>579</v>
      </c>
      <c r="C39" s="12">
        <f t="shared" si="0"/>
        <v>23727.2</v>
      </c>
      <c r="D39" s="12">
        <f t="shared" si="0"/>
        <v>11892.6</v>
      </c>
      <c r="E39" s="171">
        <v>8466</v>
      </c>
      <c r="F39" s="171">
        <v>8291.7</v>
      </c>
      <c r="G39" s="171">
        <v>1576.7</v>
      </c>
      <c r="H39" s="171">
        <v>1503.3</v>
      </c>
      <c r="I39" s="171">
        <v>3920</v>
      </c>
      <c r="J39" s="171">
        <v>1074.7</v>
      </c>
      <c r="K39" s="171"/>
      <c r="L39" s="171"/>
      <c r="M39" s="171">
        <v>600</v>
      </c>
      <c r="N39" s="171">
        <v>600</v>
      </c>
      <c r="O39" s="16">
        <v>15</v>
      </c>
      <c r="P39" s="16">
        <v>0</v>
      </c>
      <c r="Q39" s="16">
        <v>2010</v>
      </c>
      <c r="R39" s="16">
        <v>1250</v>
      </c>
      <c r="S39" s="16">
        <v>1093</v>
      </c>
      <c r="T39" s="16">
        <v>165</v>
      </c>
      <c r="U39" s="12">
        <f t="shared" si="1"/>
        <v>17680.7</v>
      </c>
      <c r="V39" s="12">
        <f t="shared" si="1"/>
        <v>12884.7</v>
      </c>
      <c r="W39" s="171">
        <v>6046.5</v>
      </c>
      <c r="X39" s="171">
        <v>120</v>
      </c>
      <c r="Y39" s="171"/>
      <c r="Z39" s="171"/>
      <c r="AA39" s="171"/>
      <c r="AB39" s="171"/>
      <c r="AC39" s="171"/>
      <c r="AD39" s="171"/>
      <c r="AE39" s="171">
        <v>0</v>
      </c>
      <c r="AF39" s="171">
        <f>-1112.1</f>
        <v>-1112.1</v>
      </c>
      <c r="AG39" s="171"/>
      <c r="AH39" s="171"/>
      <c r="AI39" s="171"/>
      <c r="AJ39" s="171"/>
      <c r="AK39" s="12">
        <f t="shared" si="2"/>
        <v>6046.5</v>
      </c>
      <c r="AL39" s="12">
        <f t="shared" si="2"/>
        <v>-992.0999999999999</v>
      </c>
    </row>
    <row r="40" spans="1:38" ht="18" customHeight="1">
      <c r="A40" s="104">
        <v>30</v>
      </c>
      <c r="B40" s="168" t="s">
        <v>580</v>
      </c>
      <c r="C40" s="12">
        <f t="shared" si="0"/>
        <v>3619.6</v>
      </c>
      <c r="D40" s="12">
        <f t="shared" si="0"/>
        <v>3612.6</v>
      </c>
      <c r="E40" s="171">
        <v>2200</v>
      </c>
      <c r="F40" s="171">
        <v>2197.2</v>
      </c>
      <c r="G40" s="171">
        <v>530</v>
      </c>
      <c r="H40" s="171">
        <v>529</v>
      </c>
      <c r="I40" s="171">
        <v>506.5</v>
      </c>
      <c r="J40" s="171">
        <v>506.4</v>
      </c>
      <c r="K40" s="171"/>
      <c r="L40" s="171"/>
      <c r="M40" s="171"/>
      <c r="N40" s="171"/>
      <c r="O40" s="16"/>
      <c r="P40" s="16"/>
      <c r="Q40" s="16">
        <v>100</v>
      </c>
      <c r="R40" s="16">
        <v>100</v>
      </c>
      <c r="S40" s="16">
        <v>280</v>
      </c>
      <c r="T40" s="16">
        <v>280</v>
      </c>
      <c r="U40" s="12">
        <f t="shared" si="1"/>
        <v>3616.5</v>
      </c>
      <c r="V40" s="12">
        <f t="shared" si="1"/>
        <v>3612.6</v>
      </c>
      <c r="W40" s="171">
        <v>3.1</v>
      </c>
      <c r="X40" s="171">
        <v>0</v>
      </c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2">
        <f t="shared" si="2"/>
        <v>3.1</v>
      </c>
      <c r="AL40" s="12">
        <f t="shared" si="2"/>
        <v>0</v>
      </c>
    </row>
    <row r="41" spans="1:38" ht="18" customHeight="1">
      <c r="A41" s="104">
        <v>31</v>
      </c>
      <c r="B41" s="168" t="s">
        <v>581</v>
      </c>
      <c r="C41" s="12">
        <f t="shared" si="0"/>
        <v>20767.100000000002</v>
      </c>
      <c r="D41" s="12">
        <f t="shared" si="0"/>
        <v>20001.4</v>
      </c>
      <c r="E41" s="171">
        <v>9800</v>
      </c>
      <c r="F41" s="171">
        <v>9800</v>
      </c>
      <c r="G41" s="171">
        <v>1850</v>
      </c>
      <c r="H41" s="171">
        <v>1850</v>
      </c>
      <c r="I41" s="171">
        <v>5749.2</v>
      </c>
      <c r="J41" s="171">
        <v>5626.9</v>
      </c>
      <c r="K41" s="171"/>
      <c r="L41" s="171"/>
      <c r="M41" s="171">
        <v>120</v>
      </c>
      <c r="N41" s="171">
        <v>120</v>
      </c>
      <c r="O41" s="16">
        <v>235</v>
      </c>
      <c r="P41" s="16">
        <v>210</v>
      </c>
      <c r="Q41" s="16">
        <v>730</v>
      </c>
      <c r="R41" s="16">
        <v>730</v>
      </c>
      <c r="S41" s="16">
        <v>651.7</v>
      </c>
      <c r="T41" s="16">
        <v>563.6</v>
      </c>
      <c r="U41" s="12">
        <f t="shared" si="1"/>
        <v>19135.9</v>
      </c>
      <c r="V41" s="12">
        <f t="shared" si="1"/>
        <v>18900.5</v>
      </c>
      <c r="W41" s="171">
        <v>1631.2</v>
      </c>
      <c r="X41" s="171">
        <v>1220</v>
      </c>
      <c r="Y41" s="171"/>
      <c r="Z41" s="171"/>
      <c r="AA41" s="171"/>
      <c r="AB41" s="171"/>
      <c r="AC41" s="171">
        <v>0</v>
      </c>
      <c r="AD41" s="171">
        <f>-119.1</f>
        <v>-119.1</v>
      </c>
      <c r="AE41" s="171"/>
      <c r="AF41" s="171"/>
      <c r="AG41" s="171"/>
      <c r="AH41" s="171"/>
      <c r="AI41" s="171"/>
      <c r="AJ41" s="171"/>
      <c r="AK41" s="12">
        <f t="shared" si="2"/>
        <v>1631.2</v>
      </c>
      <c r="AL41" s="12">
        <f t="shared" si="2"/>
        <v>1100.9</v>
      </c>
    </row>
    <row r="42" spans="1:38" ht="18" customHeight="1">
      <c r="A42" s="104">
        <v>32</v>
      </c>
      <c r="B42" s="168" t="s">
        <v>582</v>
      </c>
      <c r="C42" s="12">
        <f t="shared" si="0"/>
        <v>33277.6</v>
      </c>
      <c r="D42" s="12">
        <f t="shared" si="0"/>
        <v>26716.3</v>
      </c>
      <c r="E42" s="171">
        <v>12710</v>
      </c>
      <c r="F42" s="171">
        <v>12664</v>
      </c>
      <c r="G42" s="171">
        <v>2390</v>
      </c>
      <c r="H42" s="171">
        <v>2372.8</v>
      </c>
      <c r="I42" s="171">
        <v>6905</v>
      </c>
      <c r="J42" s="171">
        <v>5442.2</v>
      </c>
      <c r="K42" s="171"/>
      <c r="L42" s="171"/>
      <c r="M42" s="171">
        <v>2800</v>
      </c>
      <c r="N42" s="171">
        <v>2783.6</v>
      </c>
      <c r="O42" s="16">
        <v>1830</v>
      </c>
      <c r="P42" s="16">
        <v>1820</v>
      </c>
      <c r="Q42" s="16">
        <v>2000</v>
      </c>
      <c r="R42" s="16">
        <v>2000</v>
      </c>
      <c r="S42" s="16">
        <v>1470.4</v>
      </c>
      <c r="T42" s="16">
        <v>1114</v>
      </c>
      <c r="U42" s="12">
        <f t="shared" si="1"/>
        <v>30105.4</v>
      </c>
      <c r="V42" s="12">
        <f t="shared" si="1"/>
        <v>28196.6</v>
      </c>
      <c r="W42" s="171">
        <v>5222.2</v>
      </c>
      <c r="X42" s="171">
        <v>637</v>
      </c>
      <c r="Y42" s="171"/>
      <c r="Z42" s="171"/>
      <c r="AA42" s="171"/>
      <c r="AB42" s="171"/>
      <c r="AC42" s="171"/>
      <c r="AD42" s="171"/>
      <c r="AE42" s="171">
        <f>-2050</f>
        <v>-2050</v>
      </c>
      <c r="AF42" s="171">
        <f>-2117.3</f>
        <v>-2117.3</v>
      </c>
      <c r="AG42" s="171"/>
      <c r="AH42" s="171"/>
      <c r="AI42" s="171"/>
      <c r="AJ42" s="171"/>
      <c r="AK42" s="12">
        <f t="shared" si="2"/>
        <v>3172.2</v>
      </c>
      <c r="AL42" s="12">
        <f t="shared" si="2"/>
        <v>-1480.3000000000002</v>
      </c>
    </row>
    <row r="43" spans="1:38" ht="18" customHeight="1">
      <c r="A43" s="104">
        <v>33</v>
      </c>
      <c r="B43" s="168" t="s">
        <v>583</v>
      </c>
      <c r="C43" s="12">
        <f aca="true" t="shared" si="3" ref="C43:D74">U43+AK43-AI43</f>
        <v>5482</v>
      </c>
      <c r="D43" s="12">
        <f t="shared" si="3"/>
        <v>5063</v>
      </c>
      <c r="E43" s="171">
        <v>3410</v>
      </c>
      <c r="F43" s="171">
        <v>3409.5</v>
      </c>
      <c r="G43" s="171">
        <v>964.8</v>
      </c>
      <c r="H43" s="171">
        <v>963.5</v>
      </c>
      <c r="I43" s="171">
        <v>600</v>
      </c>
      <c r="J43" s="171">
        <v>600</v>
      </c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2">
        <f aca="true" t="shared" si="4" ref="U43:V74">S43+Q43+O43+M43+K43+I43+G43+E43</f>
        <v>4974.8</v>
      </c>
      <c r="V43" s="12">
        <f t="shared" si="4"/>
        <v>4973</v>
      </c>
      <c r="W43" s="171">
        <v>507.2</v>
      </c>
      <c r="X43" s="171">
        <v>90</v>
      </c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2">
        <f aca="true" t="shared" si="5" ref="AK43:AL74">AI43+AG43+AE43+AC43+AA43+Y43+W43</f>
        <v>507.2</v>
      </c>
      <c r="AL43" s="12">
        <f t="shared" si="5"/>
        <v>90</v>
      </c>
    </row>
    <row r="44" spans="1:38" ht="18" customHeight="1">
      <c r="A44" s="104">
        <v>34</v>
      </c>
      <c r="B44" s="168" t="s">
        <v>584</v>
      </c>
      <c r="C44" s="12">
        <f t="shared" si="3"/>
        <v>21369</v>
      </c>
      <c r="D44" s="12">
        <f t="shared" si="3"/>
        <v>20720.4</v>
      </c>
      <c r="E44" s="171">
        <v>9150</v>
      </c>
      <c r="F44" s="171">
        <v>9063.3</v>
      </c>
      <c r="G44" s="171">
        <v>1909</v>
      </c>
      <c r="H44" s="171">
        <v>1889</v>
      </c>
      <c r="I44" s="171">
        <v>2152</v>
      </c>
      <c r="J44" s="171">
        <v>1745.5</v>
      </c>
      <c r="K44" s="171"/>
      <c r="L44" s="171"/>
      <c r="M44" s="171">
        <v>1042.5</v>
      </c>
      <c r="N44" s="171">
        <v>1035.6</v>
      </c>
      <c r="O44" s="171">
        <v>80</v>
      </c>
      <c r="P44" s="171">
        <v>80</v>
      </c>
      <c r="Q44" s="171">
        <v>395</v>
      </c>
      <c r="R44" s="171">
        <v>395</v>
      </c>
      <c r="S44" s="171">
        <v>1423.7</v>
      </c>
      <c r="T44" s="171">
        <v>1324</v>
      </c>
      <c r="U44" s="12">
        <f t="shared" si="4"/>
        <v>16152.2</v>
      </c>
      <c r="V44" s="12">
        <f t="shared" si="4"/>
        <v>15532.4</v>
      </c>
      <c r="W44" s="171">
        <v>10416.8</v>
      </c>
      <c r="X44" s="171">
        <v>5260</v>
      </c>
      <c r="Y44" s="171"/>
      <c r="Z44" s="171"/>
      <c r="AA44" s="171"/>
      <c r="AB44" s="171"/>
      <c r="AC44" s="171"/>
      <c r="AD44" s="171"/>
      <c r="AE44" s="171">
        <v>-5200</v>
      </c>
      <c r="AF44" s="16">
        <f>-72</f>
        <v>-72</v>
      </c>
      <c r="AG44" s="171"/>
      <c r="AH44" s="171"/>
      <c r="AI44" s="171"/>
      <c r="AJ44" s="171"/>
      <c r="AK44" s="12">
        <f t="shared" si="5"/>
        <v>5216.799999999999</v>
      </c>
      <c r="AL44" s="12">
        <f t="shared" si="5"/>
        <v>5188</v>
      </c>
    </row>
    <row r="45" spans="1:38" ht="18" customHeight="1">
      <c r="A45" s="104">
        <v>35</v>
      </c>
      <c r="B45" s="174" t="s">
        <v>585</v>
      </c>
      <c r="C45" s="12">
        <f t="shared" si="3"/>
        <v>38495.3</v>
      </c>
      <c r="D45" s="12">
        <f t="shared" si="3"/>
        <v>29417.399999999998</v>
      </c>
      <c r="E45" s="171">
        <v>13352</v>
      </c>
      <c r="F45" s="171">
        <v>13352</v>
      </c>
      <c r="G45" s="171">
        <v>3000</v>
      </c>
      <c r="H45" s="171">
        <v>3000</v>
      </c>
      <c r="I45" s="171">
        <v>14421.8</v>
      </c>
      <c r="J45" s="171">
        <v>12644.3</v>
      </c>
      <c r="K45" s="171"/>
      <c r="L45" s="171"/>
      <c r="M45" s="171"/>
      <c r="N45" s="171"/>
      <c r="O45" s="171">
        <v>300</v>
      </c>
      <c r="P45" s="171">
        <v>300</v>
      </c>
      <c r="Q45" s="171">
        <v>2500</v>
      </c>
      <c r="R45" s="171">
        <v>2403.8</v>
      </c>
      <c r="S45" s="171"/>
      <c r="T45" s="171"/>
      <c r="U45" s="12">
        <f t="shared" si="4"/>
        <v>33573.8</v>
      </c>
      <c r="V45" s="12">
        <f t="shared" si="4"/>
        <v>31700.1</v>
      </c>
      <c r="W45" s="171">
        <v>4921.5</v>
      </c>
      <c r="X45" s="171">
        <v>300</v>
      </c>
      <c r="Y45" s="171"/>
      <c r="Z45" s="171"/>
      <c r="AA45" s="171"/>
      <c r="AB45" s="171"/>
      <c r="AC45" s="171">
        <v>0</v>
      </c>
      <c r="AD45" s="171">
        <f>-2582.7</f>
        <v>-2582.7</v>
      </c>
      <c r="AE45" s="171"/>
      <c r="AF45" s="171"/>
      <c r="AG45" s="171"/>
      <c r="AH45" s="171"/>
      <c r="AI45" s="171"/>
      <c r="AJ45" s="171"/>
      <c r="AK45" s="12">
        <f t="shared" si="5"/>
        <v>4921.5</v>
      </c>
      <c r="AL45" s="12">
        <f t="shared" si="5"/>
        <v>-2282.7</v>
      </c>
    </row>
    <row r="46" spans="1:38" ht="18" customHeight="1">
      <c r="A46" s="104">
        <v>36</v>
      </c>
      <c r="B46" s="174" t="s">
        <v>586</v>
      </c>
      <c r="C46" s="12">
        <f t="shared" si="3"/>
        <v>31581.899999999998</v>
      </c>
      <c r="D46" s="12">
        <f t="shared" si="3"/>
        <v>28983</v>
      </c>
      <c r="E46" s="171">
        <v>11420</v>
      </c>
      <c r="F46" s="171">
        <v>10645.4</v>
      </c>
      <c r="G46" s="171">
        <v>2420</v>
      </c>
      <c r="H46" s="171">
        <v>2303.5</v>
      </c>
      <c r="I46" s="171">
        <v>13450.5</v>
      </c>
      <c r="J46" s="171">
        <v>13185.1</v>
      </c>
      <c r="K46" s="171"/>
      <c r="L46" s="171"/>
      <c r="M46" s="171"/>
      <c r="N46" s="171"/>
      <c r="O46" s="171">
        <v>1720</v>
      </c>
      <c r="P46" s="171">
        <v>1245</v>
      </c>
      <c r="Q46" s="171">
        <v>1050</v>
      </c>
      <c r="R46" s="171">
        <v>1050</v>
      </c>
      <c r="S46" s="171">
        <v>55.8</v>
      </c>
      <c r="T46" s="171">
        <v>54</v>
      </c>
      <c r="U46" s="12">
        <f t="shared" si="4"/>
        <v>30116.3</v>
      </c>
      <c r="V46" s="12">
        <f t="shared" si="4"/>
        <v>28483</v>
      </c>
      <c r="W46" s="171">
        <v>1465.6</v>
      </c>
      <c r="X46" s="171">
        <v>500</v>
      </c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2">
        <f t="shared" si="5"/>
        <v>1465.6</v>
      </c>
      <c r="AL46" s="12">
        <f t="shared" si="5"/>
        <v>500</v>
      </c>
    </row>
    <row r="47" spans="1:38" ht="18" customHeight="1">
      <c r="A47" s="104">
        <v>37</v>
      </c>
      <c r="B47" s="174" t="s">
        <v>587</v>
      </c>
      <c r="C47" s="12">
        <f t="shared" si="3"/>
        <v>309778.30000000005</v>
      </c>
      <c r="D47" s="12">
        <f t="shared" si="3"/>
        <v>295323.727</v>
      </c>
      <c r="E47" s="16">
        <v>138284.073</v>
      </c>
      <c r="F47" s="16">
        <v>136593.681</v>
      </c>
      <c r="G47" s="171">
        <v>35684</v>
      </c>
      <c r="H47" s="171">
        <v>34759.9</v>
      </c>
      <c r="I47" s="16">
        <v>95680.72700000001</v>
      </c>
      <c r="J47" s="16">
        <v>85482.946</v>
      </c>
      <c r="K47" s="171"/>
      <c r="L47" s="171"/>
      <c r="M47" s="171"/>
      <c r="N47" s="171"/>
      <c r="O47" s="171">
        <v>700</v>
      </c>
      <c r="P47" s="171">
        <v>700</v>
      </c>
      <c r="Q47" s="171">
        <v>3094</v>
      </c>
      <c r="R47" s="171">
        <v>3068</v>
      </c>
      <c r="S47" s="171">
        <v>2850</v>
      </c>
      <c r="T47" s="171">
        <v>2362.5</v>
      </c>
      <c r="U47" s="12">
        <f t="shared" si="4"/>
        <v>276292.80000000005</v>
      </c>
      <c r="V47" s="12">
        <f t="shared" si="4"/>
        <v>262967.027</v>
      </c>
      <c r="W47" s="171">
        <v>41485.5</v>
      </c>
      <c r="X47" s="171">
        <v>40381.2</v>
      </c>
      <c r="Y47" s="171"/>
      <c r="Z47" s="171"/>
      <c r="AA47" s="171"/>
      <c r="AB47" s="171"/>
      <c r="AC47" s="171"/>
      <c r="AD47" s="171">
        <f>-102.2</f>
        <v>-102.2</v>
      </c>
      <c r="AE47" s="171">
        <f>-8000</f>
        <v>-8000</v>
      </c>
      <c r="AF47" s="171">
        <f>-7922.3</f>
        <v>-7922.3</v>
      </c>
      <c r="AG47" s="171"/>
      <c r="AH47" s="171"/>
      <c r="AI47" s="171"/>
      <c r="AJ47" s="171"/>
      <c r="AK47" s="12">
        <f t="shared" si="5"/>
        <v>33485.5</v>
      </c>
      <c r="AL47" s="12">
        <f t="shared" si="5"/>
        <v>32356.699999999997</v>
      </c>
    </row>
    <row r="48" spans="1:38" ht="18" customHeight="1">
      <c r="A48" s="104">
        <v>38</v>
      </c>
      <c r="B48" s="174" t="s">
        <v>588</v>
      </c>
      <c r="C48" s="12">
        <f t="shared" si="3"/>
        <v>21205.399999999998</v>
      </c>
      <c r="D48" s="12">
        <f t="shared" si="3"/>
        <v>16993.9</v>
      </c>
      <c r="E48" s="171">
        <v>8200</v>
      </c>
      <c r="F48" s="171">
        <v>7784.4</v>
      </c>
      <c r="G48" s="171">
        <v>1800</v>
      </c>
      <c r="H48" s="171">
        <v>1618</v>
      </c>
      <c r="I48" s="171">
        <v>6768.3</v>
      </c>
      <c r="J48" s="171">
        <v>4841.5</v>
      </c>
      <c r="K48" s="171"/>
      <c r="L48" s="171"/>
      <c r="M48" s="171"/>
      <c r="N48" s="171"/>
      <c r="O48" s="171"/>
      <c r="P48" s="171"/>
      <c r="Q48" s="171">
        <v>1000</v>
      </c>
      <c r="R48" s="171">
        <v>1000</v>
      </c>
      <c r="S48" s="171">
        <v>665.3</v>
      </c>
      <c r="T48" s="171">
        <v>0</v>
      </c>
      <c r="U48" s="12">
        <f t="shared" si="4"/>
        <v>18433.6</v>
      </c>
      <c r="V48" s="12">
        <f t="shared" si="4"/>
        <v>15243.9</v>
      </c>
      <c r="W48" s="171">
        <v>2771.8</v>
      </c>
      <c r="X48" s="171">
        <v>1750</v>
      </c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2">
        <f t="shared" si="5"/>
        <v>2771.8</v>
      </c>
      <c r="AL48" s="12">
        <f t="shared" si="5"/>
        <v>1750</v>
      </c>
    </row>
    <row r="49" spans="1:38" ht="18" customHeight="1">
      <c r="A49" s="104">
        <v>39</v>
      </c>
      <c r="B49" s="174" t="s">
        <v>175</v>
      </c>
      <c r="C49" s="12">
        <f t="shared" si="3"/>
        <v>14807</v>
      </c>
      <c r="D49" s="12">
        <f t="shared" si="3"/>
        <v>11911.800000000001</v>
      </c>
      <c r="E49" s="171">
        <v>6204</v>
      </c>
      <c r="F49" s="171">
        <v>6204</v>
      </c>
      <c r="G49" s="171">
        <v>1362.6</v>
      </c>
      <c r="H49" s="171">
        <v>1362.6</v>
      </c>
      <c r="I49" s="171">
        <v>3270</v>
      </c>
      <c r="J49" s="171">
        <v>2581.6</v>
      </c>
      <c r="K49" s="171"/>
      <c r="L49" s="171"/>
      <c r="M49" s="171"/>
      <c r="N49" s="171"/>
      <c r="O49" s="171">
        <v>110</v>
      </c>
      <c r="P49" s="171">
        <v>110</v>
      </c>
      <c r="Q49" s="171">
        <v>600</v>
      </c>
      <c r="R49" s="171">
        <v>600</v>
      </c>
      <c r="S49" s="171">
        <v>1334.1</v>
      </c>
      <c r="T49" s="171">
        <v>8.5</v>
      </c>
      <c r="U49" s="12">
        <f t="shared" si="4"/>
        <v>12880.7</v>
      </c>
      <c r="V49" s="12">
        <f t="shared" si="4"/>
        <v>10866.7</v>
      </c>
      <c r="W49" s="171">
        <v>2841.3</v>
      </c>
      <c r="X49" s="171">
        <v>1705.1</v>
      </c>
      <c r="Y49" s="171"/>
      <c r="Z49" s="171"/>
      <c r="AA49" s="171"/>
      <c r="AB49" s="171"/>
      <c r="AC49" s="171">
        <f>-615</f>
        <v>-615</v>
      </c>
      <c r="AD49" s="171">
        <f>-660</f>
        <v>-660</v>
      </c>
      <c r="AE49" s="171">
        <f>-300</f>
        <v>-300</v>
      </c>
      <c r="AF49" s="171">
        <v>0</v>
      </c>
      <c r="AG49" s="171"/>
      <c r="AH49" s="171"/>
      <c r="AI49" s="171"/>
      <c r="AJ49" s="171"/>
      <c r="AK49" s="12">
        <f t="shared" si="5"/>
        <v>1926.3000000000002</v>
      </c>
      <c r="AL49" s="12">
        <f t="shared" si="5"/>
        <v>1045.1</v>
      </c>
    </row>
    <row r="50" spans="1:38" ht="18" customHeight="1">
      <c r="A50" s="104">
        <v>40</v>
      </c>
      <c r="B50" s="174" t="s">
        <v>589</v>
      </c>
      <c r="C50" s="12">
        <f t="shared" si="3"/>
        <v>23590.6</v>
      </c>
      <c r="D50" s="12">
        <f t="shared" si="3"/>
        <v>23407.5</v>
      </c>
      <c r="E50" s="171">
        <v>11529.5</v>
      </c>
      <c r="F50" s="171">
        <v>11518</v>
      </c>
      <c r="G50" s="171">
        <v>2765.6</v>
      </c>
      <c r="H50" s="171">
        <v>2765.1</v>
      </c>
      <c r="I50" s="171">
        <v>6885</v>
      </c>
      <c r="J50" s="171">
        <v>6724</v>
      </c>
      <c r="K50" s="171"/>
      <c r="L50" s="171"/>
      <c r="M50" s="171"/>
      <c r="N50" s="171"/>
      <c r="O50" s="171">
        <v>100</v>
      </c>
      <c r="P50" s="171">
        <v>100</v>
      </c>
      <c r="Q50" s="171">
        <v>380</v>
      </c>
      <c r="R50" s="171">
        <v>370</v>
      </c>
      <c r="S50" s="171">
        <v>210</v>
      </c>
      <c r="T50" s="171">
        <v>210</v>
      </c>
      <c r="U50" s="12">
        <f t="shared" si="4"/>
        <v>21870.1</v>
      </c>
      <c r="V50" s="12">
        <f t="shared" si="4"/>
        <v>21687.1</v>
      </c>
      <c r="W50" s="171">
        <v>1720.5</v>
      </c>
      <c r="X50" s="171">
        <v>1720.4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2">
        <f t="shared" si="5"/>
        <v>1720.5</v>
      </c>
      <c r="AL50" s="12">
        <f t="shared" si="5"/>
        <v>1720.4</v>
      </c>
    </row>
    <row r="51" spans="1:38" ht="18" customHeight="1">
      <c r="A51" s="104">
        <v>41</v>
      </c>
      <c r="B51" s="174" t="s">
        <v>590</v>
      </c>
      <c r="C51" s="12">
        <f t="shared" si="3"/>
        <v>18666.9</v>
      </c>
      <c r="D51" s="12">
        <f t="shared" si="3"/>
        <v>13391.2</v>
      </c>
      <c r="E51" s="171">
        <v>6994</v>
      </c>
      <c r="F51" s="171">
        <v>6431.5</v>
      </c>
      <c r="G51" s="171">
        <v>1600</v>
      </c>
      <c r="H51" s="171">
        <v>1255</v>
      </c>
      <c r="I51" s="171">
        <v>4063.3</v>
      </c>
      <c r="J51" s="171">
        <v>2587.1</v>
      </c>
      <c r="K51" s="171"/>
      <c r="L51" s="171"/>
      <c r="M51" s="171"/>
      <c r="N51" s="171"/>
      <c r="O51" s="171">
        <v>200</v>
      </c>
      <c r="P51" s="171">
        <v>200</v>
      </c>
      <c r="Q51" s="171">
        <v>500</v>
      </c>
      <c r="R51" s="171">
        <v>500</v>
      </c>
      <c r="S51" s="171">
        <v>702.5</v>
      </c>
      <c r="T51" s="171">
        <v>0</v>
      </c>
      <c r="U51" s="12">
        <f t="shared" si="4"/>
        <v>14059.8</v>
      </c>
      <c r="V51" s="12">
        <f t="shared" si="4"/>
        <v>10973.6</v>
      </c>
      <c r="W51" s="171">
        <v>4607.1</v>
      </c>
      <c r="X51" s="171">
        <v>2417.6</v>
      </c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2">
        <f t="shared" si="5"/>
        <v>4607.1</v>
      </c>
      <c r="AL51" s="12">
        <f t="shared" si="5"/>
        <v>2417.6</v>
      </c>
    </row>
    <row r="52" spans="1:38" ht="18" customHeight="1">
      <c r="A52" s="104">
        <v>42</v>
      </c>
      <c r="B52" s="174" t="s">
        <v>591</v>
      </c>
      <c r="C52" s="12">
        <f t="shared" si="3"/>
        <v>7686.7</v>
      </c>
      <c r="D52" s="12">
        <f t="shared" si="3"/>
        <v>6831.8</v>
      </c>
      <c r="E52" s="171">
        <v>3600</v>
      </c>
      <c r="F52" s="171">
        <v>3599.9</v>
      </c>
      <c r="G52" s="171">
        <v>940</v>
      </c>
      <c r="H52" s="171">
        <v>937.9</v>
      </c>
      <c r="I52" s="171">
        <v>2551.7</v>
      </c>
      <c r="J52" s="171">
        <v>2024</v>
      </c>
      <c r="K52" s="171"/>
      <c r="L52" s="171"/>
      <c r="M52" s="171"/>
      <c r="N52" s="171"/>
      <c r="O52" s="171">
        <v>50</v>
      </c>
      <c r="P52" s="171">
        <v>50</v>
      </c>
      <c r="Q52" s="171">
        <v>220</v>
      </c>
      <c r="R52" s="171">
        <v>220</v>
      </c>
      <c r="S52" s="171">
        <v>325</v>
      </c>
      <c r="T52" s="171">
        <v>0</v>
      </c>
      <c r="U52" s="12">
        <f t="shared" si="4"/>
        <v>7686.7</v>
      </c>
      <c r="V52" s="12">
        <f t="shared" si="4"/>
        <v>6831.8</v>
      </c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2">
        <f t="shared" si="5"/>
        <v>0</v>
      </c>
      <c r="AL52" s="12">
        <f t="shared" si="5"/>
        <v>0</v>
      </c>
    </row>
    <row r="53" spans="1:38" ht="18" customHeight="1">
      <c r="A53" s="104">
        <v>43</v>
      </c>
      <c r="B53" s="174" t="s">
        <v>592</v>
      </c>
      <c r="C53" s="12">
        <f t="shared" si="3"/>
        <v>18950.8</v>
      </c>
      <c r="D53" s="12">
        <f t="shared" si="3"/>
        <v>13458.3</v>
      </c>
      <c r="E53" s="171">
        <v>6120</v>
      </c>
      <c r="F53" s="171">
        <v>6104.8</v>
      </c>
      <c r="G53" s="171">
        <v>1278</v>
      </c>
      <c r="H53" s="171">
        <v>1276.9</v>
      </c>
      <c r="I53" s="171">
        <v>4950.6</v>
      </c>
      <c r="J53" s="171">
        <v>3968.1</v>
      </c>
      <c r="K53" s="171"/>
      <c r="L53" s="171"/>
      <c r="M53" s="171"/>
      <c r="N53" s="171"/>
      <c r="O53" s="171">
        <v>315</v>
      </c>
      <c r="P53" s="171">
        <v>315</v>
      </c>
      <c r="Q53" s="171">
        <v>600</v>
      </c>
      <c r="R53" s="171">
        <v>280</v>
      </c>
      <c r="S53" s="171">
        <v>187.5</v>
      </c>
      <c r="T53" s="171">
        <v>8.5</v>
      </c>
      <c r="U53" s="12">
        <f t="shared" si="4"/>
        <v>13451.1</v>
      </c>
      <c r="V53" s="12">
        <f t="shared" si="4"/>
        <v>11953.3</v>
      </c>
      <c r="W53" s="171">
        <v>5499.7</v>
      </c>
      <c r="X53" s="171">
        <v>1505</v>
      </c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2">
        <f t="shared" si="5"/>
        <v>5499.7</v>
      </c>
      <c r="AL53" s="12">
        <f t="shared" si="5"/>
        <v>1505</v>
      </c>
    </row>
    <row r="54" spans="1:38" ht="18" customHeight="1">
      <c r="A54" s="104">
        <v>44</v>
      </c>
      <c r="B54" s="174" t="s">
        <v>593</v>
      </c>
      <c r="C54" s="12">
        <f t="shared" si="3"/>
        <v>27078.4</v>
      </c>
      <c r="D54" s="12">
        <f t="shared" si="3"/>
        <v>26465.9</v>
      </c>
      <c r="E54" s="171">
        <v>12399</v>
      </c>
      <c r="F54" s="171">
        <v>12194.2</v>
      </c>
      <c r="G54" s="171">
        <v>3062.5</v>
      </c>
      <c r="H54" s="171">
        <v>3051.8</v>
      </c>
      <c r="I54" s="171">
        <v>7833</v>
      </c>
      <c r="J54" s="171">
        <v>7545.6</v>
      </c>
      <c r="K54" s="171"/>
      <c r="L54" s="171"/>
      <c r="M54" s="171"/>
      <c r="N54" s="171"/>
      <c r="O54" s="171">
        <v>240</v>
      </c>
      <c r="P54" s="171">
        <v>200</v>
      </c>
      <c r="Q54" s="171">
        <v>1130</v>
      </c>
      <c r="R54" s="171">
        <v>1130</v>
      </c>
      <c r="S54" s="171"/>
      <c r="T54" s="171"/>
      <c r="U54" s="12">
        <f t="shared" si="4"/>
        <v>24664.5</v>
      </c>
      <c r="V54" s="12">
        <f t="shared" si="4"/>
        <v>24121.600000000002</v>
      </c>
      <c r="W54" s="171">
        <v>2413.9</v>
      </c>
      <c r="X54" s="171">
        <v>2413</v>
      </c>
      <c r="Y54" s="171"/>
      <c r="Z54" s="171"/>
      <c r="AA54" s="171"/>
      <c r="AB54" s="171"/>
      <c r="AC54" s="171"/>
      <c r="AD54" s="171"/>
      <c r="AE54" s="171">
        <v>0</v>
      </c>
      <c r="AF54" s="171">
        <f>-68.7</f>
        <v>-68.7</v>
      </c>
      <c r="AG54" s="171"/>
      <c r="AH54" s="171"/>
      <c r="AI54" s="171"/>
      <c r="AJ54" s="171"/>
      <c r="AK54" s="12">
        <f t="shared" si="5"/>
        <v>2413.9</v>
      </c>
      <c r="AL54" s="12">
        <f t="shared" si="5"/>
        <v>2344.3</v>
      </c>
    </row>
    <row r="55" spans="1:38" ht="18" customHeight="1">
      <c r="A55" s="104">
        <v>45</v>
      </c>
      <c r="B55" s="174" t="s">
        <v>594</v>
      </c>
      <c r="C55" s="12">
        <f t="shared" si="3"/>
        <v>37422.7</v>
      </c>
      <c r="D55" s="12">
        <f t="shared" si="3"/>
        <v>37294.8</v>
      </c>
      <c r="E55" s="171">
        <v>9100</v>
      </c>
      <c r="F55" s="171">
        <v>8980.8</v>
      </c>
      <c r="G55" s="171">
        <v>2200</v>
      </c>
      <c r="H55" s="171">
        <v>2200</v>
      </c>
      <c r="I55" s="171">
        <v>20504.6</v>
      </c>
      <c r="J55" s="171">
        <v>20497</v>
      </c>
      <c r="K55" s="171"/>
      <c r="L55" s="171"/>
      <c r="M55" s="171">
        <v>4716</v>
      </c>
      <c r="N55" s="171">
        <v>4716</v>
      </c>
      <c r="O55" s="171">
        <v>104</v>
      </c>
      <c r="P55" s="171">
        <v>104</v>
      </c>
      <c r="Q55" s="171">
        <v>351</v>
      </c>
      <c r="R55" s="171">
        <v>351</v>
      </c>
      <c r="S55" s="171"/>
      <c r="T55" s="171"/>
      <c r="U55" s="12">
        <f t="shared" si="4"/>
        <v>36975.6</v>
      </c>
      <c r="V55" s="12">
        <f t="shared" si="4"/>
        <v>36848.8</v>
      </c>
      <c r="W55" s="171">
        <v>447.1</v>
      </c>
      <c r="X55" s="171">
        <v>446</v>
      </c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2">
        <f t="shared" si="5"/>
        <v>447.1</v>
      </c>
      <c r="AL55" s="12">
        <f t="shared" si="5"/>
        <v>446</v>
      </c>
    </row>
    <row r="56" spans="1:38" ht="18" customHeight="1">
      <c r="A56" s="104">
        <v>46</v>
      </c>
      <c r="B56" s="174" t="s">
        <v>595</v>
      </c>
      <c r="C56" s="12">
        <f t="shared" si="3"/>
        <v>5948.3</v>
      </c>
      <c r="D56" s="12">
        <f t="shared" si="3"/>
        <v>5339.8</v>
      </c>
      <c r="E56" s="171">
        <v>3059.8</v>
      </c>
      <c r="F56" s="171">
        <v>3044.8</v>
      </c>
      <c r="G56" s="171">
        <v>750</v>
      </c>
      <c r="H56" s="171">
        <v>750</v>
      </c>
      <c r="I56" s="171">
        <v>1588.5</v>
      </c>
      <c r="J56" s="171">
        <v>1295</v>
      </c>
      <c r="K56" s="171"/>
      <c r="L56" s="171"/>
      <c r="M56" s="171"/>
      <c r="N56" s="171"/>
      <c r="O56" s="171"/>
      <c r="P56" s="171"/>
      <c r="Q56" s="171">
        <v>250</v>
      </c>
      <c r="R56" s="171">
        <v>250</v>
      </c>
      <c r="S56" s="171">
        <v>300</v>
      </c>
      <c r="T56" s="171">
        <v>0</v>
      </c>
      <c r="U56" s="12">
        <f t="shared" si="4"/>
        <v>5948.3</v>
      </c>
      <c r="V56" s="12">
        <f t="shared" si="4"/>
        <v>5339.8</v>
      </c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2">
        <f t="shared" si="5"/>
        <v>0</v>
      </c>
      <c r="AL56" s="12">
        <f t="shared" si="5"/>
        <v>0</v>
      </c>
    </row>
    <row r="57" spans="1:38" ht="18" customHeight="1">
      <c r="A57" s="104">
        <v>47</v>
      </c>
      <c r="B57" s="174" t="s">
        <v>596</v>
      </c>
      <c r="C57" s="12">
        <f t="shared" si="3"/>
        <v>39801</v>
      </c>
      <c r="D57" s="12">
        <f t="shared" si="3"/>
        <v>37146.899999999994</v>
      </c>
      <c r="E57" s="171">
        <v>12660</v>
      </c>
      <c r="F57" s="171">
        <v>12511.3</v>
      </c>
      <c r="G57" s="171">
        <v>2500</v>
      </c>
      <c r="H57" s="171">
        <v>2294.3</v>
      </c>
      <c r="I57" s="171">
        <v>7132.6</v>
      </c>
      <c r="J57" s="171">
        <v>6559.7</v>
      </c>
      <c r="K57" s="171"/>
      <c r="L57" s="171"/>
      <c r="M57" s="171">
        <v>11240</v>
      </c>
      <c r="N57" s="171">
        <v>10355.6</v>
      </c>
      <c r="O57" s="171">
        <v>1300</v>
      </c>
      <c r="P57" s="171">
        <v>1300</v>
      </c>
      <c r="Q57" s="171">
        <v>1600</v>
      </c>
      <c r="R57" s="171">
        <v>1600</v>
      </c>
      <c r="S57" s="171">
        <v>595.5</v>
      </c>
      <c r="T57" s="171">
        <v>0</v>
      </c>
      <c r="U57" s="12">
        <f t="shared" si="4"/>
        <v>37028.1</v>
      </c>
      <c r="V57" s="12">
        <f t="shared" si="4"/>
        <v>34620.899999999994</v>
      </c>
      <c r="W57" s="171">
        <v>5772.9</v>
      </c>
      <c r="X57" s="171">
        <v>2526</v>
      </c>
      <c r="Y57" s="171"/>
      <c r="Z57" s="171"/>
      <c r="AA57" s="171"/>
      <c r="AB57" s="171"/>
      <c r="AC57" s="171">
        <f>-2000</f>
        <v>-2000</v>
      </c>
      <c r="AD57" s="171">
        <v>0</v>
      </c>
      <c r="AE57" s="171">
        <f>-1000</f>
        <v>-1000</v>
      </c>
      <c r="AF57" s="171">
        <v>0</v>
      </c>
      <c r="AG57" s="171"/>
      <c r="AH57" s="171"/>
      <c r="AI57" s="171"/>
      <c r="AJ57" s="171"/>
      <c r="AK57" s="12">
        <f t="shared" si="5"/>
        <v>2772.8999999999996</v>
      </c>
      <c r="AL57" s="12">
        <f t="shared" si="5"/>
        <v>2526</v>
      </c>
    </row>
    <row r="58" spans="1:38" ht="18" customHeight="1">
      <c r="A58" s="104">
        <v>48</v>
      </c>
      <c r="B58" s="174" t="s">
        <v>597</v>
      </c>
      <c r="C58" s="12">
        <f t="shared" si="3"/>
        <v>29020.9</v>
      </c>
      <c r="D58" s="12">
        <f t="shared" si="3"/>
        <v>27828.199999999997</v>
      </c>
      <c r="E58" s="171">
        <v>13505</v>
      </c>
      <c r="F58" s="171">
        <v>13136.9</v>
      </c>
      <c r="G58" s="171">
        <v>3295</v>
      </c>
      <c r="H58" s="171">
        <v>3170.6</v>
      </c>
      <c r="I58" s="171">
        <v>6675</v>
      </c>
      <c r="J58" s="171">
        <v>6010.7</v>
      </c>
      <c r="K58" s="171"/>
      <c r="L58" s="171"/>
      <c r="M58" s="171"/>
      <c r="N58" s="171"/>
      <c r="O58" s="171">
        <v>500</v>
      </c>
      <c r="P58" s="171">
        <v>500</v>
      </c>
      <c r="Q58" s="171">
        <v>1000</v>
      </c>
      <c r="R58" s="171">
        <v>1000</v>
      </c>
      <c r="S58" s="171">
        <v>30</v>
      </c>
      <c r="T58" s="171">
        <v>15</v>
      </c>
      <c r="U58" s="12">
        <f t="shared" si="4"/>
        <v>25005</v>
      </c>
      <c r="V58" s="12">
        <f t="shared" si="4"/>
        <v>23833.199999999997</v>
      </c>
      <c r="W58" s="171">
        <v>4015.9</v>
      </c>
      <c r="X58" s="171">
        <v>3995</v>
      </c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2">
        <f t="shared" si="5"/>
        <v>4015.9</v>
      </c>
      <c r="AL58" s="12">
        <f t="shared" si="5"/>
        <v>3995</v>
      </c>
    </row>
    <row r="59" spans="1:38" ht="18" customHeight="1">
      <c r="A59" s="104">
        <v>49</v>
      </c>
      <c r="B59" s="174" t="s">
        <v>598</v>
      </c>
      <c r="C59" s="12">
        <f t="shared" si="3"/>
        <v>14851.199999999999</v>
      </c>
      <c r="D59" s="12">
        <f t="shared" si="3"/>
        <v>12673.5</v>
      </c>
      <c r="E59" s="171">
        <v>8543.3</v>
      </c>
      <c r="F59" s="171">
        <v>8543.3</v>
      </c>
      <c r="G59" s="171">
        <v>1637.8</v>
      </c>
      <c r="H59" s="171">
        <v>1637.8</v>
      </c>
      <c r="I59" s="171">
        <v>2288.5</v>
      </c>
      <c r="J59" s="171">
        <v>2232.4</v>
      </c>
      <c r="K59" s="171"/>
      <c r="L59" s="171"/>
      <c r="M59" s="171"/>
      <c r="N59" s="171"/>
      <c r="O59" s="171">
        <v>120</v>
      </c>
      <c r="P59" s="171">
        <v>120</v>
      </c>
      <c r="Q59" s="171">
        <v>200</v>
      </c>
      <c r="R59" s="171">
        <v>140</v>
      </c>
      <c r="S59" s="171"/>
      <c r="T59" s="171"/>
      <c r="U59" s="12">
        <f t="shared" si="4"/>
        <v>12789.599999999999</v>
      </c>
      <c r="V59" s="12">
        <f t="shared" si="4"/>
        <v>12673.5</v>
      </c>
      <c r="W59" s="171">
        <v>2061.6</v>
      </c>
      <c r="X59" s="171">
        <v>0</v>
      </c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2">
        <f t="shared" si="5"/>
        <v>2061.6</v>
      </c>
      <c r="AL59" s="12">
        <f t="shared" si="5"/>
        <v>0</v>
      </c>
    </row>
    <row r="60" spans="1:38" ht="18" customHeight="1">
      <c r="A60" s="104">
        <v>50</v>
      </c>
      <c r="B60" s="174" t="s">
        <v>599</v>
      </c>
      <c r="C60" s="12">
        <f t="shared" si="3"/>
        <v>31054.5</v>
      </c>
      <c r="D60" s="12">
        <f t="shared" si="3"/>
        <v>29481.5</v>
      </c>
      <c r="E60" s="171">
        <v>14196.5</v>
      </c>
      <c r="F60" s="171">
        <v>14181.2</v>
      </c>
      <c r="G60" s="171">
        <v>3925</v>
      </c>
      <c r="H60" s="171">
        <v>3880.9</v>
      </c>
      <c r="I60" s="171">
        <v>9142</v>
      </c>
      <c r="J60" s="171">
        <v>7655.9</v>
      </c>
      <c r="K60" s="171"/>
      <c r="L60" s="171"/>
      <c r="M60" s="171"/>
      <c r="N60" s="171"/>
      <c r="O60" s="171">
        <v>100</v>
      </c>
      <c r="P60" s="171">
        <v>100</v>
      </c>
      <c r="Q60" s="171">
        <v>150</v>
      </c>
      <c r="R60" s="171">
        <v>150</v>
      </c>
      <c r="S60" s="171">
        <v>30</v>
      </c>
      <c r="T60" s="171">
        <v>23</v>
      </c>
      <c r="U60" s="12">
        <f t="shared" si="4"/>
        <v>27543.5</v>
      </c>
      <c r="V60" s="12">
        <f t="shared" si="4"/>
        <v>25991</v>
      </c>
      <c r="W60" s="171">
        <v>3781</v>
      </c>
      <c r="X60" s="171">
        <v>3760.5</v>
      </c>
      <c r="Y60" s="171"/>
      <c r="Z60" s="171"/>
      <c r="AA60" s="171"/>
      <c r="AB60" s="171"/>
      <c r="AC60" s="171">
        <f>-270</f>
        <v>-270</v>
      </c>
      <c r="AD60" s="171">
        <f>-270</f>
        <v>-270</v>
      </c>
      <c r="AE60" s="171"/>
      <c r="AF60" s="171"/>
      <c r="AG60" s="171"/>
      <c r="AH60" s="171"/>
      <c r="AI60" s="171"/>
      <c r="AJ60" s="171"/>
      <c r="AK60" s="12">
        <f t="shared" si="5"/>
        <v>3511</v>
      </c>
      <c r="AL60" s="12">
        <f t="shared" si="5"/>
        <v>3490.5</v>
      </c>
    </row>
    <row r="61" spans="1:38" ht="18" customHeight="1">
      <c r="A61" s="104">
        <v>51</v>
      </c>
      <c r="B61" s="174" t="s">
        <v>600</v>
      </c>
      <c r="C61" s="12">
        <f t="shared" si="3"/>
        <v>43175.4</v>
      </c>
      <c r="D61" s="12">
        <f t="shared" si="3"/>
        <v>42840</v>
      </c>
      <c r="E61" s="171">
        <v>22015</v>
      </c>
      <c r="F61" s="171">
        <v>21938.4</v>
      </c>
      <c r="G61" s="171">
        <v>4795</v>
      </c>
      <c r="H61" s="171">
        <v>4717.9</v>
      </c>
      <c r="I61" s="171">
        <v>11632.7</v>
      </c>
      <c r="J61" s="171">
        <v>11477.6</v>
      </c>
      <c r="K61" s="171"/>
      <c r="L61" s="171"/>
      <c r="M61" s="171"/>
      <c r="N61" s="171"/>
      <c r="O61" s="171">
        <v>40</v>
      </c>
      <c r="P61" s="171">
        <v>40</v>
      </c>
      <c r="Q61" s="171">
        <v>841.8</v>
      </c>
      <c r="R61" s="171">
        <v>841.8</v>
      </c>
      <c r="S61" s="171">
        <v>120</v>
      </c>
      <c r="T61" s="171">
        <v>120</v>
      </c>
      <c r="U61" s="12">
        <f t="shared" si="4"/>
        <v>39444.5</v>
      </c>
      <c r="V61" s="12">
        <f t="shared" si="4"/>
        <v>39135.7</v>
      </c>
      <c r="W61" s="171">
        <v>3954</v>
      </c>
      <c r="X61" s="171">
        <v>3909</v>
      </c>
      <c r="Y61" s="171"/>
      <c r="Z61" s="171"/>
      <c r="AA61" s="171"/>
      <c r="AB61" s="171"/>
      <c r="AC61" s="171">
        <f>-223.1</f>
        <v>-223.1</v>
      </c>
      <c r="AD61" s="171">
        <f>-204.7</f>
        <v>-204.7</v>
      </c>
      <c r="AE61" s="171"/>
      <c r="AF61" s="171"/>
      <c r="AG61" s="171"/>
      <c r="AH61" s="171"/>
      <c r="AI61" s="171"/>
      <c r="AJ61" s="171"/>
      <c r="AK61" s="12">
        <f t="shared" si="5"/>
        <v>3730.9</v>
      </c>
      <c r="AL61" s="12">
        <f t="shared" si="5"/>
        <v>3704.3</v>
      </c>
    </row>
    <row r="62" spans="1:38" ht="18" customHeight="1">
      <c r="A62" s="104">
        <v>52</v>
      </c>
      <c r="B62" s="174" t="s">
        <v>135</v>
      </c>
      <c r="C62" s="12">
        <f t="shared" si="3"/>
        <v>19008</v>
      </c>
      <c r="D62" s="12">
        <f t="shared" si="3"/>
        <v>16016.4</v>
      </c>
      <c r="E62" s="171">
        <v>9928.6</v>
      </c>
      <c r="F62" s="171">
        <v>9928.5</v>
      </c>
      <c r="G62" s="171">
        <v>2082</v>
      </c>
      <c r="H62" s="171">
        <v>2080.7</v>
      </c>
      <c r="I62" s="171">
        <v>4628</v>
      </c>
      <c r="J62" s="171">
        <v>3337.2</v>
      </c>
      <c r="K62" s="171"/>
      <c r="L62" s="171"/>
      <c r="M62" s="171"/>
      <c r="N62" s="171"/>
      <c r="O62" s="171">
        <v>170</v>
      </c>
      <c r="P62" s="171">
        <v>170</v>
      </c>
      <c r="Q62" s="171">
        <v>500</v>
      </c>
      <c r="R62" s="171">
        <v>500</v>
      </c>
      <c r="S62" s="171">
        <v>70</v>
      </c>
      <c r="T62" s="171">
        <v>0</v>
      </c>
      <c r="U62" s="12">
        <f t="shared" si="4"/>
        <v>17378.6</v>
      </c>
      <c r="V62" s="12">
        <f t="shared" si="4"/>
        <v>16016.4</v>
      </c>
      <c r="W62" s="171">
        <v>1629.4</v>
      </c>
      <c r="X62" s="171">
        <v>0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2">
        <f t="shared" si="5"/>
        <v>1629.4</v>
      </c>
      <c r="AL62" s="12">
        <f t="shared" si="5"/>
        <v>0</v>
      </c>
    </row>
    <row r="63" spans="1:38" ht="18" customHeight="1">
      <c r="A63" s="104">
        <v>53</v>
      </c>
      <c r="B63" s="174" t="s">
        <v>601</v>
      </c>
      <c r="C63" s="12">
        <f t="shared" si="3"/>
        <v>25196.7</v>
      </c>
      <c r="D63" s="12">
        <f t="shared" si="3"/>
        <v>25191.5</v>
      </c>
      <c r="E63" s="171">
        <v>9616.7</v>
      </c>
      <c r="F63" s="171">
        <v>9616.5</v>
      </c>
      <c r="G63" s="171">
        <v>2224</v>
      </c>
      <c r="H63" s="171">
        <v>2224</v>
      </c>
      <c r="I63" s="171">
        <v>10156</v>
      </c>
      <c r="J63" s="171">
        <v>10151</v>
      </c>
      <c r="K63" s="171"/>
      <c r="L63" s="171"/>
      <c r="M63" s="171"/>
      <c r="N63" s="171"/>
      <c r="O63" s="171"/>
      <c r="P63" s="171"/>
      <c r="Q63" s="171">
        <v>1200</v>
      </c>
      <c r="R63" s="171">
        <v>1200</v>
      </c>
      <c r="S63" s="171"/>
      <c r="T63" s="171"/>
      <c r="U63" s="12">
        <f t="shared" si="4"/>
        <v>23196.7</v>
      </c>
      <c r="V63" s="12">
        <f t="shared" si="4"/>
        <v>23191.5</v>
      </c>
      <c r="W63" s="171">
        <v>3750</v>
      </c>
      <c r="X63" s="171">
        <v>3750</v>
      </c>
      <c r="Y63" s="171"/>
      <c r="Z63" s="171"/>
      <c r="AA63" s="171"/>
      <c r="AB63" s="171"/>
      <c r="AC63" s="171">
        <f>-1750</f>
        <v>-1750</v>
      </c>
      <c r="AD63" s="171">
        <f>-1750</f>
        <v>-1750</v>
      </c>
      <c r="AE63" s="171"/>
      <c r="AF63" s="171"/>
      <c r="AG63" s="171"/>
      <c r="AH63" s="171"/>
      <c r="AI63" s="171"/>
      <c r="AJ63" s="171"/>
      <c r="AK63" s="12">
        <f t="shared" si="5"/>
        <v>2000</v>
      </c>
      <c r="AL63" s="12">
        <f t="shared" si="5"/>
        <v>2000</v>
      </c>
    </row>
    <row r="64" spans="1:38" ht="18" customHeight="1">
      <c r="A64" s="104">
        <v>54</v>
      </c>
      <c r="B64" s="174" t="s">
        <v>602</v>
      </c>
      <c r="C64" s="12">
        <f t="shared" si="3"/>
        <v>29927</v>
      </c>
      <c r="D64" s="12">
        <f t="shared" si="3"/>
        <v>26984</v>
      </c>
      <c r="E64" s="171">
        <v>11547</v>
      </c>
      <c r="F64" s="171">
        <v>11543.3</v>
      </c>
      <c r="G64" s="171">
        <v>2415</v>
      </c>
      <c r="H64" s="171">
        <v>2380</v>
      </c>
      <c r="I64" s="171">
        <v>7131</v>
      </c>
      <c r="J64" s="171">
        <v>6529.7</v>
      </c>
      <c r="K64" s="171"/>
      <c r="L64" s="171"/>
      <c r="M64" s="171"/>
      <c r="N64" s="171"/>
      <c r="O64" s="171">
        <v>4532</v>
      </c>
      <c r="P64" s="171">
        <v>2900</v>
      </c>
      <c r="Q64" s="171">
        <v>1100</v>
      </c>
      <c r="R64" s="171">
        <v>870</v>
      </c>
      <c r="S64" s="171">
        <v>64</v>
      </c>
      <c r="T64" s="171">
        <v>0</v>
      </c>
      <c r="U64" s="12">
        <f t="shared" si="4"/>
        <v>26789</v>
      </c>
      <c r="V64" s="12">
        <f t="shared" si="4"/>
        <v>24223</v>
      </c>
      <c r="W64" s="171">
        <v>6954</v>
      </c>
      <c r="X64" s="171">
        <v>2761</v>
      </c>
      <c r="Y64" s="171"/>
      <c r="Z64" s="171"/>
      <c r="AA64" s="171"/>
      <c r="AB64" s="171"/>
      <c r="AC64" s="171">
        <v>-3816</v>
      </c>
      <c r="AD64" s="171">
        <v>0</v>
      </c>
      <c r="AE64" s="171"/>
      <c r="AF64" s="171"/>
      <c r="AG64" s="171"/>
      <c r="AH64" s="171"/>
      <c r="AI64" s="171"/>
      <c r="AJ64" s="171"/>
      <c r="AK64" s="12">
        <f t="shared" si="5"/>
        <v>3138</v>
      </c>
      <c r="AL64" s="12">
        <f t="shared" si="5"/>
        <v>2761</v>
      </c>
    </row>
    <row r="65" spans="1:38" ht="18" customHeight="1">
      <c r="A65" s="104">
        <v>55</v>
      </c>
      <c r="B65" s="174" t="s">
        <v>603</v>
      </c>
      <c r="C65" s="12">
        <f t="shared" si="3"/>
        <v>12137.9</v>
      </c>
      <c r="D65" s="12">
        <f t="shared" si="3"/>
        <v>12057.900000000001</v>
      </c>
      <c r="E65" s="171">
        <v>6180</v>
      </c>
      <c r="F65" s="171">
        <v>6138.1</v>
      </c>
      <c r="G65" s="171">
        <v>1420</v>
      </c>
      <c r="H65" s="171">
        <v>1420</v>
      </c>
      <c r="I65" s="171">
        <v>3836</v>
      </c>
      <c r="J65" s="171">
        <v>3799.8</v>
      </c>
      <c r="K65" s="171"/>
      <c r="L65" s="171"/>
      <c r="M65" s="171"/>
      <c r="N65" s="171"/>
      <c r="O65" s="171">
        <v>100</v>
      </c>
      <c r="P65" s="171">
        <v>100</v>
      </c>
      <c r="Q65" s="171">
        <v>600</v>
      </c>
      <c r="R65" s="171">
        <v>600</v>
      </c>
      <c r="S65" s="171">
        <v>1.9</v>
      </c>
      <c r="T65" s="171">
        <v>0</v>
      </c>
      <c r="U65" s="12">
        <f t="shared" si="4"/>
        <v>12137.9</v>
      </c>
      <c r="V65" s="12">
        <f t="shared" si="4"/>
        <v>12057.900000000001</v>
      </c>
      <c r="W65" s="171">
        <v>747</v>
      </c>
      <c r="X65" s="171">
        <v>747</v>
      </c>
      <c r="Y65" s="171"/>
      <c r="Z65" s="171"/>
      <c r="AA65" s="171"/>
      <c r="AB65" s="171"/>
      <c r="AC65" s="171">
        <f>-747</f>
        <v>-747</v>
      </c>
      <c r="AD65" s="171">
        <f>-747</f>
        <v>-747</v>
      </c>
      <c r="AE65" s="171"/>
      <c r="AF65" s="171"/>
      <c r="AG65" s="171"/>
      <c r="AH65" s="171"/>
      <c r="AI65" s="171"/>
      <c r="AJ65" s="171"/>
      <c r="AK65" s="12">
        <f t="shared" si="5"/>
        <v>0</v>
      </c>
      <c r="AL65" s="12">
        <f t="shared" si="5"/>
        <v>0</v>
      </c>
    </row>
    <row r="66" spans="1:38" ht="18" customHeight="1">
      <c r="A66" s="104">
        <v>56</v>
      </c>
      <c r="B66" s="174" t="s">
        <v>604</v>
      </c>
      <c r="C66" s="12">
        <f t="shared" si="3"/>
        <v>11128.5</v>
      </c>
      <c r="D66" s="12">
        <f t="shared" si="3"/>
        <v>7691.7</v>
      </c>
      <c r="E66" s="171">
        <v>3990</v>
      </c>
      <c r="F66" s="171">
        <v>3939.5</v>
      </c>
      <c r="G66" s="171">
        <v>1000</v>
      </c>
      <c r="H66" s="171">
        <v>978.2</v>
      </c>
      <c r="I66" s="171">
        <v>4866</v>
      </c>
      <c r="J66" s="171">
        <v>2324</v>
      </c>
      <c r="K66" s="171"/>
      <c r="L66" s="171"/>
      <c r="M66" s="171"/>
      <c r="N66" s="171"/>
      <c r="O66" s="171"/>
      <c r="P66" s="171"/>
      <c r="Q66" s="171">
        <v>600</v>
      </c>
      <c r="R66" s="171">
        <v>450</v>
      </c>
      <c r="S66" s="171">
        <v>672.5</v>
      </c>
      <c r="T66" s="171">
        <v>0</v>
      </c>
      <c r="U66" s="12">
        <f t="shared" si="4"/>
        <v>11128.5</v>
      </c>
      <c r="V66" s="12">
        <f t="shared" si="4"/>
        <v>7691.7</v>
      </c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2">
        <f t="shared" si="5"/>
        <v>0</v>
      </c>
      <c r="AL66" s="12">
        <f t="shared" si="5"/>
        <v>0</v>
      </c>
    </row>
    <row r="67" spans="1:38" ht="18" customHeight="1">
      <c r="A67" s="104">
        <v>57</v>
      </c>
      <c r="B67" s="175" t="s">
        <v>605</v>
      </c>
      <c r="C67" s="12">
        <f t="shared" si="3"/>
        <v>49794.9</v>
      </c>
      <c r="D67" s="12">
        <f t="shared" si="3"/>
        <v>48433.99999999999</v>
      </c>
      <c r="E67" s="171">
        <v>23992.3</v>
      </c>
      <c r="F67" s="171">
        <v>23967.1</v>
      </c>
      <c r="G67" s="171">
        <v>5862</v>
      </c>
      <c r="H67" s="171">
        <v>5290.3</v>
      </c>
      <c r="I67" s="171">
        <v>13695</v>
      </c>
      <c r="J67" s="171">
        <v>13201.5</v>
      </c>
      <c r="K67" s="171"/>
      <c r="L67" s="171"/>
      <c r="M67" s="171"/>
      <c r="N67" s="171"/>
      <c r="O67" s="171">
        <v>400</v>
      </c>
      <c r="P67" s="171">
        <v>320</v>
      </c>
      <c r="Q67" s="171">
        <v>2050</v>
      </c>
      <c r="R67" s="171">
        <v>1862</v>
      </c>
      <c r="S67" s="171">
        <v>5</v>
      </c>
      <c r="T67" s="171">
        <v>2.5</v>
      </c>
      <c r="U67" s="12">
        <f t="shared" si="4"/>
        <v>46004.3</v>
      </c>
      <c r="V67" s="12">
        <f t="shared" si="4"/>
        <v>44643.399999999994</v>
      </c>
      <c r="W67" s="171">
        <v>3790.6</v>
      </c>
      <c r="X67" s="171">
        <v>3790.6</v>
      </c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2">
        <f t="shared" si="5"/>
        <v>3790.6</v>
      </c>
      <c r="AL67" s="12">
        <f t="shared" si="5"/>
        <v>3790.6</v>
      </c>
    </row>
    <row r="68" spans="1:38" ht="18" customHeight="1">
      <c r="A68" s="104">
        <v>58</v>
      </c>
      <c r="B68" s="176" t="s">
        <v>606</v>
      </c>
      <c r="C68" s="12">
        <f t="shared" si="3"/>
        <v>39665.9</v>
      </c>
      <c r="D68" s="12">
        <f t="shared" si="3"/>
        <v>38441.3</v>
      </c>
      <c r="E68" s="171">
        <v>21545.3</v>
      </c>
      <c r="F68" s="171">
        <v>21275.2</v>
      </c>
      <c r="G68" s="171">
        <v>4848</v>
      </c>
      <c r="H68" s="171">
        <v>4833.3</v>
      </c>
      <c r="I68" s="171">
        <v>9379.8</v>
      </c>
      <c r="J68" s="171">
        <v>8440</v>
      </c>
      <c r="K68" s="171"/>
      <c r="L68" s="171"/>
      <c r="M68" s="171"/>
      <c r="N68" s="171"/>
      <c r="O68" s="171"/>
      <c r="P68" s="171"/>
      <c r="Q68" s="171">
        <v>1600</v>
      </c>
      <c r="R68" s="171">
        <v>1600</v>
      </c>
      <c r="S68" s="171"/>
      <c r="T68" s="171"/>
      <c r="U68" s="12">
        <f t="shared" si="4"/>
        <v>37373.1</v>
      </c>
      <c r="V68" s="12">
        <f t="shared" si="4"/>
        <v>36148.5</v>
      </c>
      <c r="W68" s="171">
        <v>2760.8</v>
      </c>
      <c r="X68" s="171">
        <v>2760.8</v>
      </c>
      <c r="Y68" s="171"/>
      <c r="Z68" s="171"/>
      <c r="AA68" s="171"/>
      <c r="AB68" s="171"/>
      <c r="AC68" s="171">
        <f>-468</f>
        <v>-468</v>
      </c>
      <c r="AD68" s="171">
        <f>-468</f>
        <v>-468</v>
      </c>
      <c r="AE68" s="171"/>
      <c r="AF68" s="171"/>
      <c r="AG68" s="171"/>
      <c r="AH68" s="171"/>
      <c r="AI68" s="171"/>
      <c r="AJ68" s="171"/>
      <c r="AK68" s="12">
        <f t="shared" si="5"/>
        <v>2292.8</v>
      </c>
      <c r="AL68" s="12">
        <f t="shared" si="5"/>
        <v>2292.8</v>
      </c>
    </row>
    <row r="69" spans="1:38" ht="18" customHeight="1">
      <c r="A69" s="104">
        <v>59</v>
      </c>
      <c r="B69" s="168" t="s">
        <v>607</v>
      </c>
      <c r="C69" s="12">
        <f t="shared" si="3"/>
        <v>12900.6</v>
      </c>
      <c r="D69" s="12">
        <f t="shared" si="3"/>
        <v>12297.699999999999</v>
      </c>
      <c r="E69" s="171">
        <v>8149.6</v>
      </c>
      <c r="F69" s="171">
        <v>7925.9</v>
      </c>
      <c r="G69" s="171">
        <v>1466.5</v>
      </c>
      <c r="H69" s="171">
        <v>1436.4</v>
      </c>
      <c r="I69" s="171">
        <v>2527</v>
      </c>
      <c r="J69" s="171">
        <v>2177.9</v>
      </c>
      <c r="K69" s="171"/>
      <c r="L69" s="171"/>
      <c r="M69" s="171"/>
      <c r="N69" s="171"/>
      <c r="O69" s="171"/>
      <c r="P69" s="171"/>
      <c r="Q69" s="171">
        <v>700</v>
      </c>
      <c r="R69" s="171">
        <v>700</v>
      </c>
      <c r="S69" s="171">
        <v>45.6</v>
      </c>
      <c r="T69" s="171">
        <v>45.6</v>
      </c>
      <c r="U69" s="12">
        <f t="shared" si="4"/>
        <v>12888.7</v>
      </c>
      <c r="V69" s="12">
        <f t="shared" si="4"/>
        <v>12285.8</v>
      </c>
      <c r="W69" s="171">
        <v>1216.9</v>
      </c>
      <c r="X69" s="171">
        <v>1216.9</v>
      </c>
      <c r="Y69" s="171"/>
      <c r="Z69" s="171"/>
      <c r="AA69" s="171"/>
      <c r="AB69" s="171"/>
      <c r="AC69" s="171">
        <f>-1205</f>
        <v>-1205</v>
      </c>
      <c r="AD69" s="171">
        <f>-1205</f>
        <v>-1205</v>
      </c>
      <c r="AE69" s="171"/>
      <c r="AF69" s="171"/>
      <c r="AG69" s="171"/>
      <c r="AH69" s="171"/>
      <c r="AI69" s="171"/>
      <c r="AJ69" s="171"/>
      <c r="AK69" s="12">
        <f t="shared" si="5"/>
        <v>11.900000000000091</v>
      </c>
      <c r="AL69" s="12">
        <f t="shared" si="5"/>
        <v>11.900000000000091</v>
      </c>
    </row>
    <row r="70" spans="1:38" ht="18" customHeight="1">
      <c r="A70" s="104">
        <v>60</v>
      </c>
      <c r="B70" s="168" t="s">
        <v>608</v>
      </c>
      <c r="C70" s="12">
        <f t="shared" si="3"/>
        <v>7805</v>
      </c>
      <c r="D70" s="12">
        <f t="shared" si="3"/>
        <v>7326.2</v>
      </c>
      <c r="E70" s="171">
        <v>4900</v>
      </c>
      <c r="F70" s="171">
        <v>4590.4</v>
      </c>
      <c r="G70" s="171">
        <v>986</v>
      </c>
      <c r="H70" s="171">
        <v>875.5</v>
      </c>
      <c r="I70" s="171">
        <v>1130.3</v>
      </c>
      <c r="J70" s="171">
        <v>1130.3</v>
      </c>
      <c r="K70" s="171"/>
      <c r="L70" s="171"/>
      <c r="M70" s="171"/>
      <c r="N70" s="171"/>
      <c r="O70" s="171"/>
      <c r="P70" s="171"/>
      <c r="Q70" s="171">
        <v>662</v>
      </c>
      <c r="R70" s="171">
        <v>615</v>
      </c>
      <c r="S70" s="171">
        <v>115</v>
      </c>
      <c r="T70" s="171">
        <v>115</v>
      </c>
      <c r="U70" s="12">
        <f t="shared" si="4"/>
        <v>7793.3</v>
      </c>
      <c r="V70" s="12">
        <f t="shared" si="4"/>
        <v>7326.2</v>
      </c>
      <c r="W70" s="171">
        <v>11.7</v>
      </c>
      <c r="X70" s="171">
        <v>0</v>
      </c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2">
        <f t="shared" si="5"/>
        <v>11.7</v>
      </c>
      <c r="AL70" s="12">
        <f t="shared" si="5"/>
        <v>0</v>
      </c>
    </row>
    <row r="71" spans="1:38" ht="18" customHeight="1">
      <c r="A71" s="104">
        <v>61</v>
      </c>
      <c r="B71" s="168" t="s">
        <v>609</v>
      </c>
      <c r="C71" s="12">
        <f t="shared" si="3"/>
        <v>8400</v>
      </c>
      <c r="D71" s="12">
        <f t="shared" si="3"/>
        <v>8218.8</v>
      </c>
      <c r="E71" s="171">
        <v>3732</v>
      </c>
      <c r="F71" s="171">
        <v>3725.9</v>
      </c>
      <c r="G71" s="171">
        <v>799.8</v>
      </c>
      <c r="H71" s="171">
        <v>798.5</v>
      </c>
      <c r="I71" s="171">
        <v>3130</v>
      </c>
      <c r="J71" s="171">
        <v>3104.4</v>
      </c>
      <c r="K71" s="171"/>
      <c r="L71" s="171"/>
      <c r="M71" s="171"/>
      <c r="N71" s="171"/>
      <c r="O71" s="171"/>
      <c r="P71" s="171"/>
      <c r="Q71" s="171">
        <v>668.2</v>
      </c>
      <c r="R71" s="171">
        <v>590</v>
      </c>
      <c r="S71" s="171">
        <v>70</v>
      </c>
      <c r="T71" s="171">
        <v>0</v>
      </c>
      <c r="U71" s="12">
        <f t="shared" si="4"/>
        <v>8400</v>
      </c>
      <c r="V71" s="12">
        <f t="shared" si="4"/>
        <v>8218.8</v>
      </c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2">
        <f t="shared" si="5"/>
        <v>0</v>
      </c>
      <c r="AL71" s="12">
        <f t="shared" si="5"/>
        <v>0</v>
      </c>
    </row>
    <row r="72" spans="1:38" ht="18" customHeight="1">
      <c r="A72" s="104">
        <v>62</v>
      </c>
      <c r="B72" s="168" t="s">
        <v>610</v>
      </c>
      <c r="C72" s="12">
        <f t="shared" si="3"/>
        <v>17198.2</v>
      </c>
      <c r="D72" s="12">
        <f t="shared" si="3"/>
        <v>12648.8</v>
      </c>
      <c r="E72" s="171">
        <v>8539.2</v>
      </c>
      <c r="F72" s="171">
        <v>6392.8</v>
      </c>
      <c r="G72" s="171">
        <v>1746</v>
      </c>
      <c r="H72" s="171">
        <v>1225.4</v>
      </c>
      <c r="I72" s="171">
        <v>4798</v>
      </c>
      <c r="J72" s="171">
        <v>3040.6</v>
      </c>
      <c r="K72" s="171"/>
      <c r="L72" s="171"/>
      <c r="M72" s="171"/>
      <c r="N72" s="171"/>
      <c r="O72" s="171">
        <v>100</v>
      </c>
      <c r="P72" s="171">
        <v>100</v>
      </c>
      <c r="Q72" s="171">
        <v>1000</v>
      </c>
      <c r="R72" s="171">
        <v>990</v>
      </c>
      <c r="S72" s="171">
        <v>100</v>
      </c>
      <c r="T72" s="171">
        <v>100</v>
      </c>
      <c r="U72" s="12">
        <f t="shared" si="4"/>
        <v>16283.2</v>
      </c>
      <c r="V72" s="12">
        <f t="shared" si="4"/>
        <v>11848.8</v>
      </c>
      <c r="W72" s="171">
        <v>915</v>
      </c>
      <c r="X72" s="171">
        <v>800</v>
      </c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2">
        <f t="shared" si="5"/>
        <v>915</v>
      </c>
      <c r="AL72" s="12">
        <f t="shared" si="5"/>
        <v>800</v>
      </c>
    </row>
    <row r="73" spans="1:38" ht="18" customHeight="1">
      <c r="A73" s="104">
        <v>63</v>
      </c>
      <c r="B73" s="177" t="s">
        <v>611</v>
      </c>
      <c r="C73" s="12">
        <f t="shared" si="3"/>
        <v>18372</v>
      </c>
      <c r="D73" s="12">
        <f t="shared" si="3"/>
        <v>17668.1</v>
      </c>
      <c r="E73" s="171">
        <v>8700</v>
      </c>
      <c r="F73" s="171">
        <v>8652.1</v>
      </c>
      <c r="G73" s="171">
        <v>2445</v>
      </c>
      <c r="H73" s="171">
        <v>2445</v>
      </c>
      <c r="I73" s="171">
        <v>5727</v>
      </c>
      <c r="J73" s="171">
        <v>5191</v>
      </c>
      <c r="K73" s="171"/>
      <c r="L73" s="171"/>
      <c r="M73" s="171"/>
      <c r="N73" s="171"/>
      <c r="O73" s="171"/>
      <c r="P73" s="171"/>
      <c r="Q73" s="171">
        <v>1000</v>
      </c>
      <c r="R73" s="171">
        <v>1000</v>
      </c>
      <c r="S73" s="171"/>
      <c r="T73" s="171"/>
      <c r="U73" s="12">
        <f t="shared" si="4"/>
        <v>17872</v>
      </c>
      <c r="V73" s="12">
        <f t="shared" si="4"/>
        <v>17288.1</v>
      </c>
      <c r="W73" s="171">
        <v>500</v>
      </c>
      <c r="X73" s="171">
        <v>380</v>
      </c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2">
        <f t="shared" si="5"/>
        <v>500</v>
      </c>
      <c r="AL73" s="12">
        <f t="shared" si="5"/>
        <v>380</v>
      </c>
    </row>
    <row r="74" spans="1:38" ht="18" customHeight="1">
      <c r="A74" s="104">
        <v>64</v>
      </c>
      <c r="B74" s="168" t="s">
        <v>612</v>
      </c>
      <c r="C74" s="12">
        <f t="shared" si="3"/>
        <v>19330</v>
      </c>
      <c r="D74" s="12">
        <f t="shared" si="3"/>
        <v>19299.9</v>
      </c>
      <c r="E74" s="171">
        <v>10963</v>
      </c>
      <c r="F74" s="171">
        <v>10962.9</v>
      </c>
      <c r="G74" s="171">
        <v>2150</v>
      </c>
      <c r="H74" s="171">
        <v>2150</v>
      </c>
      <c r="I74" s="171">
        <v>3241</v>
      </c>
      <c r="J74" s="171">
        <v>3211</v>
      </c>
      <c r="K74" s="171"/>
      <c r="L74" s="171"/>
      <c r="M74" s="171"/>
      <c r="N74" s="171"/>
      <c r="O74" s="171">
        <v>200</v>
      </c>
      <c r="P74" s="171">
        <v>200</v>
      </c>
      <c r="Q74" s="171">
        <v>1270</v>
      </c>
      <c r="R74" s="171">
        <v>1270</v>
      </c>
      <c r="S74" s="171">
        <v>56</v>
      </c>
      <c r="T74" s="171">
        <v>56</v>
      </c>
      <c r="U74" s="12">
        <f t="shared" si="4"/>
        <v>17880</v>
      </c>
      <c r="V74" s="12">
        <f t="shared" si="4"/>
        <v>17849.9</v>
      </c>
      <c r="W74" s="171">
        <v>1450</v>
      </c>
      <c r="X74" s="171">
        <v>1450</v>
      </c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2">
        <f t="shared" si="5"/>
        <v>1450</v>
      </c>
      <c r="AL74" s="12">
        <f t="shared" si="5"/>
        <v>1450</v>
      </c>
    </row>
    <row r="75" spans="1:38" ht="18" customHeight="1">
      <c r="A75" s="104">
        <v>65</v>
      </c>
      <c r="B75" s="168" t="s">
        <v>613</v>
      </c>
      <c r="C75" s="12">
        <f aca="true" t="shared" si="6" ref="C75:D106">U75+AK75-AI75</f>
        <v>19060.5</v>
      </c>
      <c r="D75" s="12">
        <f t="shared" si="6"/>
        <v>17302.2</v>
      </c>
      <c r="E75" s="171">
        <v>9060</v>
      </c>
      <c r="F75" s="171">
        <v>8721.5</v>
      </c>
      <c r="G75" s="171">
        <v>2230</v>
      </c>
      <c r="H75" s="171">
        <v>2146.7</v>
      </c>
      <c r="I75" s="171">
        <v>4919</v>
      </c>
      <c r="J75" s="171">
        <v>3973.2</v>
      </c>
      <c r="K75" s="171"/>
      <c r="L75" s="171"/>
      <c r="M75" s="171"/>
      <c r="N75" s="171"/>
      <c r="O75" s="171">
        <v>100</v>
      </c>
      <c r="P75" s="171">
        <v>100</v>
      </c>
      <c r="Q75" s="171">
        <v>200</v>
      </c>
      <c r="R75" s="171">
        <v>200</v>
      </c>
      <c r="S75" s="171">
        <v>97.7</v>
      </c>
      <c r="T75" s="171">
        <v>0</v>
      </c>
      <c r="U75" s="12">
        <f aca="true" t="shared" si="7" ref="U75:V106">S75+Q75+O75+M75+K75+I75+G75+E75</f>
        <v>16606.7</v>
      </c>
      <c r="V75" s="12">
        <f t="shared" si="7"/>
        <v>15141.4</v>
      </c>
      <c r="W75" s="171">
        <v>2453.8</v>
      </c>
      <c r="X75" s="171">
        <v>2160.8</v>
      </c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2">
        <f aca="true" t="shared" si="8" ref="AK75:AL106">AI75+AG75+AE75+AC75+AA75+Y75+W75</f>
        <v>2453.8</v>
      </c>
      <c r="AL75" s="12">
        <f t="shared" si="8"/>
        <v>2160.8</v>
      </c>
    </row>
    <row r="76" spans="1:38" ht="18" customHeight="1">
      <c r="A76" s="104">
        <v>66</v>
      </c>
      <c r="B76" s="168" t="s">
        <v>614</v>
      </c>
      <c r="C76" s="12">
        <f t="shared" si="6"/>
        <v>12095.5</v>
      </c>
      <c r="D76" s="12">
        <f t="shared" si="6"/>
        <v>11597.5</v>
      </c>
      <c r="E76" s="171">
        <v>6972</v>
      </c>
      <c r="F76" s="171">
        <v>6972</v>
      </c>
      <c r="G76" s="171">
        <v>1550</v>
      </c>
      <c r="H76" s="171">
        <v>1550</v>
      </c>
      <c r="I76" s="171">
        <v>2815</v>
      </c>
      <c r="J76" s="171">
        <v>2371</v>
      </c>
      <c r="K76" s="171"/>
      <c r="L76" s="171"/>
      <c r="M76" s="171"/>
      <c r="N76" s="171"/>
      <c r="O76" s="171"/>
      <c r="P76" s="171"/>
      <c r="Q76" s="171">
        <v>400</v>
      </c>
      <c r="R76" s="171">
        <v>350</v>
      </c>
      <c r="S76" s="171">
        <v>40</v>
      </c>
      <c r="T76" s="171">
        <v>36</v>
      </c>
      <c r="U76" s="12">
        <f t="shared" si="7"/>
        <v>11777</v>
      </c>
      <c r="V76" s="12">
        <f t="shared" si="7"/>
        <v>11279</v>
      </c>
      <c r="W76" s="171">
        <v>818.5</v>
      </c>
      <c r="X76" s="171">
        <v>318.5</v>
      </c>
      <c r="Y76" s="171"/>
      <c r="Z76" s="171"/>
      <c r="AA76" s="171"/>
      <c r="AB76" s="171"/>
      <c r="AC76" s="171"/>
      <c r="AD76" s="171"/>
      <c r="AE76" s="171">
        <v>-500</v>
      </c>
      <c r="AF76" s="171">
        <v>0</v>
      </c>
      <c r="AG76" s="171"/>
      <c r="AH76" s="171"/>
      <c r="AI76" s="171"/>
      <c r="AJ76" s="171"/>
      <c r="AK76" s="12">
        <f t="shared" si="8"/>
        <v>318.5</v>
      </c>
      <c r="AL76" s="12">
        <f t="shared" si="8"/>
        <v>318.5</v>
      </c>
    </row>
    <row r="77" spans="1:38" ht="18" customHeight="1">
      <c r="A77" s="104">
        <v>67</v>
      </c>
      <c r="B77" s="168" t="s">
        <v>615</v>
      </c>
      <c r="C77" s="12">
        <f t="shared" si="6"/>
        <v>17136</v>
      </c>
      <c r="D77" s="12">
        <f t="shared" si="6"/>
        <v>14121.6</v>
      </c>
      <c r="E77" s="171">
        <v>8537.6</v>
      </c>
      <c r="F77" s="171">
        <v>8158.2</v>
      </c>
      <c r="G77" s="171">
        <v>2086.6</v>
      </c>
      <c r="H77" s="171">
        <v>1876.8</v>
      </c>
      <c r="I77" s="171">
        <v>3380</v>
      </c>
      <c r="J77" s="171">
        <v>1706.2</v>
      </c>
      <c r="K77" s="171"/>
      <c r="L77" s="171"/>
      <c r="M77" s="171"/>
      <c r="N77" s="171"/>
      <c r="O77" s="171">
        <v>1540</v>
      </c>
      <c r="P77" s="171">
        <v>1350</v>
      </c>
      <c r="Q77" s="171">
        <v>1000</v>
      </c>
      <c r="R77" s="171">
        <v>1000</v>
      </c>
      <c r="S77" s="171">
        <v>590</v>
      </c>
      <c r="T77" s="171">
        <v>30.4</v>
      </c>
      <c r="U77" s="12">
        <f t="shared" si="7"/>
        <v>17134.2</v>
      </c>
      <c r="V77" s="12">
        <f t="shared" si="7"/>
        <v>14121.6</v>
      </c>
      <c r="W77" s="171">
        <v>401.8</v>
      </c>
      <c r="X77" s="171">
        <v>0</v>
      </c>
      <c r="Y77" s="171"/>
      <c r="Z77" s="171"/>
      <c r="AA77" s="171"/>
      <c r="AB77" s="171"/>
      <c r="AC77" s="171">
        <v>-400</v>
      </c>
      <c r="AD77" s="171">
        <v>0</v>
      </c>
      <c r="AE77" s="171"/>
      <c r="AF77" s="171"/>
      <c r="AG77" s="171"/>
      <c r="AH77" s="171"/>
      <c r="AI77" s="171"/>
      <c r="AJ77" s="171"/>
      <c r="AK77" s="12">
        <f t="shared" si="8"/>
        <v>1.8000000000000114</v>
      </c>
      <c r="AL77" s="12">
        <f t="shared" si="8"/>
        <v>0</v>
      </c>
    </row>
    <row r="78" spans="1:38" ht="18" customHeight="1">
      <c r="A78" s="104">
        <v>68</v>
      </c>
      <c r="B78" s="168" t="s">
        <v>616</v>
      </c>
      <c r="C78" s="12">
        <f t="shared" si="6"/>
        <v>25492.8</v>
      </c>
      <c r="D78" s="12">
        <f t="shared" si="6"/>
        <v>20674.800000000003</v>
      </c>
      <c r="E78" s="171">
        <v>8060</v>
      </c>
      <c r="F78" s="171">
        <v>8018.1</v>
      </c>
      <c r="G78" s="171">
        <v>1470</v>
      </c>
      <c r="H78" s="171">
        <v>1469</v>
      </c>
      <c r="I78" s="171">
        <v>10648.1</v>
      </c>
      <c r="J78" s="171">
        <v>6217.7</v>
      </c>
      <c r="K78" s="171"/>
      <c r="L78" s="171"/>
      <c r="M78" s="171"/>
      <c r="N78" s="171"/>
      <c r="O78" s="171">
        <v>700</v>
      </c>
      <c r="P78" s="171">
        <v>700</v>
      </c>
      <c r="Q78" s="171">
        <v>800</v>
      </c>
      <c r="R78" s="171">
        <v>660</v>
      </c>
      <c r="S78" s="171">
        <v>500</v>
      </c>
      <c r="T78" s="171">
        <v>300</v>
      </c>
      <c r="U78" s="12">
        <f t="shared" si="7"/>
        <v>22178.1</v>
      </c>
      <c r="V78" s="12">
        <f t="shared" si="7"/>
        <v>17364.800000000003</v>
      </c>
      <c r="W78" s="171">
        <v>3314.7</v>
      </c>
      <c r="X78" s="171">
        <v>3310</v>
      </c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2">
        <f t="shared" si="8"/>
        <v>3314.7</v>
      </c>
      <c r="AL78" s="12">
        <f t="shared" si="8"/>
        <v>3310</v>
      </c>
    </row>
    <row r="79" spans="1:38" ht="18" customHeight="1">
      <c r="A79" s="104">
        <v>69</v>
      </c>
      <c r="B79" s="168" t="s">
        <v>617</v>
      </c>
      <c r="C79" s="12">
        <f t="shared" si="6"/>
        <v>22109.100000000002</v>
      </c>
      <c r="D79" s="12">
        <f t="shared" si="6"/>
        <v>20887.199999999997</v>
      </c>
      <c r="E79" s="171">
        <v>11362.5</v>
      </c>
      <c r="F79" s="171">
        <v>11287.8</v>
      </c>
      <c r="G79" s="171">
        <v>1935.4</v>
      </c>
      <c r="H79" s="171">
        <v>1888.8</v>
      </c>
      <c r="I79" s="171">
        <v>5316</v>
      </c>
      <c r="J79" s="171">
        <v>4533.6</v>
      </c>
      <c r="K79" s="171"/>
      <c r="L79" s="171"/>
      <c r="M79" s="171"/>
      <c r="N79" s="171"/>
      <c r="O79" s="171"/>
      <c r="P79" s="171"/>
      <c r="Q79" s="171">
        <v>1884</v>
      </c>
      <c r="R79" s="171">
        <v>1884</v>
      </c>
      <c r="S79" s="171"/>
      <c r="T79" s="171"/>
      <c r="U79" s="12">
        <f t="shared" si="7"/>
        <v>20497.9</v>
      </c>
      <c r="V79" s="12">
        <f t="shared" si="7"/>
        <v>19594.199999999997</v>
      </c>
      <c r="W79" s="171">
        <v>1611.2</v>
      </c>
      <c r="X79" s="171">
        <v>1425</v>
      </c>
      <c r="Y79" s="171"/>
      <c r="Z79" s="171"/>
      <c r="AA79" s="171"/>
      <c r="AB79" s="171"/>
      <c r="AC79" s="171"/>
      <c r="AD79" s="171"/>
      <c r="AE79" s="171">
        <v>0</v>
      </c>
      <c r="AF79" s="171">
        <f>-132</f>
        <v>-132</v>
      </c>
      <c r="AG79" s="171"/>
      <c r="AH79" s="171"/>
      <c r="AI79" s="171"/>
      <c r="AJ79" s="171"/>
      <c r="AK79" s="12">
        <f t="shared" si="8"/>
        <v>1611.2</v>
      </c>
      <c r="AL79" s="12">
        <f t="shared" si="8"/>
        <v>1293</v>
      </c>
    </row>
    <row r="80" spans="1:38" ht="18" customHeight="1">
      <c r="A80" s="104">
        <v>70</v>
      </c>
      <c r="B80" s="168" t="s">
        <v>618</v>
      </c>
      <c r="C80" s="12">
        <f t="shared" si="6"/>
        <v>112751.4</v>
      </c>
      <c r="D80" s="12">
        <f t="shared" si="6"/>
        <v>108129.4</v>
      </c>
      <c r="E80" s="171">
        <v>51908.5</v>
      </c>
      <c r="F80" s="171">
        <v>51254.2</v>
      </c>
      <c r="G80" s="171">
        <v>15253.4</v>
      </c>
      <c r="H80" s="171">
        <v>14892.3</v>
      </c>
      <c r="I80" s="171">
        <v>36278.3</v>
      </c>
      <c r="J80" s="171">
        <v>33675.7</v>
      </c>
      <c r="K80" s="171"/>
      <c r="L80" s="171"/>
      <c r="M80" s="171"/>
      <c r="N80" s="171"/>
      <c r="O80" s="171">
        <v>600</v>
      </c>
      <c r="P80" s="171">
        <v>600</v>
      </c>
      <c r="Q80" s="171">
        <v>841.3</v>
      </c>
      <c r="R80" s="171">
        <v>830</v>
      </c>
      <c r="S80" s="171"/>
      <c r="T80" s="171"/>
      <c r="U80" s="12">
        <f t="shared" si="7"/>
        <v>104881.5</v>
      </c>
      <c r="V80" s="12">
        <f t="shared" si="7"/>
        <v>101252.2</v>
      </c>
      <c r="W80" s="171">
        <v>18885.9</v>
      </c>
      <c r="X80" s="171">
        <v>12011</v>
      </c>
      <c r="Y80" s="171"/>
      <c r="Z80" s="171"/>
      <c r="AA80" s="171"/>
      <c r="AB80" s="171"/>
      <c r="AC80" s="171">
        <f>-1000</f>
        <v>-1000</v>
      </c>
      <c r="AD80" s="171">
        <v>0</v>
      </c>
      <c r="AE80" s="171">
        <f>-10016</f>
        <v>-10016</v>
      </c>
      <c r="AF80" s="171">
        <f>-5133.8</f>
        <v>-5133.8</v>
      </c>
      <c r="AG80" s="171"/>
      <c r="AH80" s="171"/>
      <c r="AI80" s="171"/>
      <c r="AJ80" s="171"/>
      <c r="AK80" s="12">
        <f t="shared" si="8"/>
        <v>7869.9000000000015</v>
      </c>
      <c r="AL80" s="12">
        <f t="shared" si="8"/>
        <v>6877.2</v>
      </c>
    </row>
    <row r="81" spans="1:38" ht="18" customHeight="1">
      <c r="A81" s="104">
        <v>71</v>
      </c>
      <c r="B81" s="168" t="s">
        <v>619</v>
      </c>
      <c r="C81" s="12">
        <f t="shared" si="6"/>
        <v>14745.9</v>
      </c>
      <c r="D81" s="12">
        <f t="shared" si="6"/>
        <v>11836.5</v>
      </c>
      <c r="E81" s="171">
        <v>5041</v>
      </c>
      <c r="F81" s="171">
        <v>5041</v>
      </c>
      <c r="G81" s="171">
        <v>4128.4</v>
      </c>
      <c r="H81" s="171">
        <v>3568.4</v>
      </c>
      <c r="I81" s="171">
        <v>2942.5</v>
      </c>
      <c r="J81" s="171">
        <v>1917.5</v>
      </c>
      <c r="K81" s="171"/>
      <c r="L81" s="171"/>
      <c r="M81" s="171"/>
      <c r="N81" s="171"/>
      <c r="O81" s="171"/>
      <c r="P81" s="171"/>
      <c r="Q81" s="171">
        <v>527.1</v>
      </c>
      <c r="R81" s="171">
        <v>526.6</v>
      </c>
      <c r="S81" s="171">
        <v>804</v>
      </c>
      <c r="T81" s="171">
        <v>114</v>
      </c>
      <c r="U81" s="12">
        <f t="shared" si="7"/>
        <v>13443</v>
      </c>
      <c r="V81" s="12">
        <f t="shared" si="7"/>
        <v>11167.5</v>
      </c>
      <c r="W81" s="171">
        <v>1302.9</v>
      </c>
      <c r="X81" s="171">
        <v>669</v>
      </c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2">
        <f t="shared" si="8"/>
        <v>1302.9</v>
      </c>
      <c r="AL81" s="12">
        <f t="shared" si="8"/>
        <v>669</v>
      </c>
    </row>
    <row r="82" spans="1:38" ht="18" customHeight="1">
      <c r="A82" s="104">
        <v>72</v>
      </c>
      <c r="B82" s="168" t="s">
        <v>620</v>
      </c>
      <c r="C82" s="12">
        <f t="shared" si="6"/>
        <v>22565.699999999997</v>
      </c>
      <c r="D82" s="12">
        <f t="shared" si="6"/>
        <v>19763.1</v>
      </c>
      <c r="E82" s="171">
        <v>10531</v>
      </c>
      <c r="F82" s="171">
        <v>10531</v>
      </c>
      <c r="G82" s="171">
        <v>2150.6</v>
      </c>
      <c r="H82" s="171">
        <v>2107.3</v>
      </c>
      <c r="I82" s="171">
        <v>5150</v>
      </c>
      <c r="J82" s="171">
        <v>3180.8</v>
      </c>
      <c r="K82" s="171"/>
      <c r="L82" s="171"/>
      <c r="M82" s="171"/>
      <c r="N82" s="171"/>
      <c r="O82" s="171">
        <v>1000</v>
      </c>
      <c r="P82" s="171">
        <v>600</v>
      </c>
      <c r="Q82" s="171">
        <v>1200</v>
      </c>
      <c r="R82" s="171">
        <v>1070</v>
      </c>
      <c r="S82" s="171">
        <v>255.5</v>
      </c>
      <c r="T82" s="171">
        <v>67.4</v>
      </c>
      <c r="U82" s="12">
        <f t="shared" si="7"/>
        <v>20287.1</v>
      </c>
      <c r="V82" s="12">
        <f t="shared" si="7"/>
        <v>17556.5</v>
      </c>
      <c r="W82" s="171">
        <v>2278.6</v>
      </c>
      <c r="X82" s="171">
        <v>2206.6</v>
      </c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2">
        <f t="shared" si="8"/>
        <v>2278.6</v>
      </c>
      <c r="AL82" s="12">
        <f t="shared" si="8"/>
        <v>2206.6</v>
      </c>
    </row>
    <row r="83" spans="1:38" ht="18" customHeight="1">
      <c r="A83" s="104">
        <v>73</v>
      </c>
      <c r="B83" s="168" t="s">
        <v>621</v>
      </c>
      <c r="C83" s="12">
        <f t="shared" si="6"/>
        <v>60780.8</v>
      </c>
      <c r="D83" s="12">
        <f t="shared" si="6"/>
        <v>44242.1</v>
      </c>
      <c r="E83" s="171">
        <v>18250</v>
      </c>
      <c r="F83" s="171">
        <v>16072</v>
      </c>
      <c r="G83" s="171">
        <v>3630</v>
      </c>
      <c r="H83" s="171">
        <v>3111.7</v>
      </c>
      <c r="I83" s="171">
        <v>12782</v>
      </c>
      <c r="J83" s="171">
        <v>9495</v>
      </c>
      <c r="K83" s="171"/>
      <c r="L83" s="171"/>
      <c r="M83" s="171"/>
      <c r="N83" s="171"/>
      <c r="O83" s="171">
        <v>5000</v>
      </c>
      <c r="P83" s="171">
        <v>4987.3</v>
      </c>
      <c r="Q83" s="171">
        <v>3500</v>
      </c>
      <c r="R83" s="171">
        <v>3500</v>
      </c>
      <c r="S83" s="171">
        <v>5368</v>
      </c>
      <c r="T83" s="171">
        <v>148.5</v>
      </c>
      <c r="U83" s="12">
        <f t="shared" si="7"/>
        <v>48530</v>
      </c>
      <c r="V83" s="12">
        <f t="shared" si="7"/>
        <v>37314.5</v>
      </c>
      <c r="W83" s="171">
        <v>12250.8</v>
      </c>
      <c r="X83" s="171">
        <v>7290.2</v>
      </c>
      <c r="Y83" s="171"/>
      <c r="Z83" s="171"/>
      <c r="AA83" s="171"/>
      <c r="AB83" s="171"/>
      <c r="AC83" s="171"/>
      <c r="AD83" s="171"/>
      <c r="AE83" s="171">
        <v>0</v>
      </c>
      <c r="AF83" s="171">
        <f>-362.6</f>
        <v>-362.6</v>
      </c>
      <c r="AG83" s="171"/>
      <c r="AH83" s="171"/>
      <c r="AI83" s="171"/>
      <c r="AJ83" s="171"/>
      <c r="AK83" s="12">
        <f t="shared" si="8"/>
        <v>12250.8</v>
      </c>
      <c r="AL83" s="12">
        <f t="shared" si="8"/>
        <v>6927.599999999999</v>
      </c>
    </row>
    <row r="84" spans="1:38" ht="18" customHeight="1">
      <c r="A84" s="104">
        <v>74</v>
      </c>
      <c r="B84" s="168" t="s">
        <v>622</v>
      </c>
      <c r="C84" s="12">
        <f t="shared" si="6"/>
        <v>13249</v>
      </c>
      <c r="D84" s="12">
        <f t="shared" si="6"/>
        <v>8458.7</v>
      </c>
      <c r="E84" s="171">
        <v>5538</v>
      </c>
      <c r="F84" s="171">
        <v>5537.6</v>
      </c>
      <c r="G84" s="171">
        <v>1117</v>
      </c>
      <c r="H84" s="171">
        <v>1061.6</v>
      </c>
      <c r="I84" s="171">
        <v>2596.6</v>
      </c>
      <c r="J84" s="171">
        <v>1365</v>
      </c>
      <c r="K84" s="171"/>
      <c r="L84" s="171"/>
      <c r="M84" s="171"/>
      <c r="N84" s="171"/>
      <c r="O84" s="171"/>
      <c r="P84" s="171"/>
      <c r="Q84" s="171">
        <v>2270</v>
      </c>
      <c r="R84" s="171">
        <v>1400</v>
      </c>
      <c r="S84" s="171">
        <v>845</v>
      </c>
      <c r="T84" s="171">
        <v>42.5</v>
      </c>
      <c r="U84" s="12">
        <f t="shared" si="7"/>
        <v>12366.6</v>
      </c>
      <c r="V84" s="12">
        <f t="shared" si="7"/>
        <v>9406.7</v>
      </c>
      <c r="W84" s="171">
        <v>882.4</v>
      </c>
      <c r="X84" s="171">
        <v>0</v>
      </c>
      <c r="Y84" s="171"/>
      <c r="Z84" s="171"/>
      <c r="AA84" s="171"/>
      <c r="AB84" s="171"/>
      <c r="AC84" s="171">
        <v>0</v>
      </c>
      <c r="AD84" s="171">
        <f>-948</f>
        <v>-948</v>
      </c>
      <c r="AE84" s="171"/>
      <c r="AF84" s="171"/>
      <c r="AG84" s="171"/>
      <c r="AH84" s="171"/>
      <c r="AI84" s="171"/>
      <c r="AJ84" s="171"/>
      <c r="AK84" s="12">
        <f t="shared" si="8"/>
        <v>882.4</v>
      </c>
      <c r="AL84" s="12">
        <f t="shared" si="8"/>
        <v>-948</v>
      </c>
    </row>
    <row r="85" spans="1:38" ht="18" customHeight="1">
      <c r="A85" s="104">
        <v>75</v>
      </c>
      <c r="B85" s="178" t="s">
        <v>623</v>
      </c>
      <c r="C85" s="12">
        <f t="shared" si="6"/>
        <v>27453.1</v>
      </c>
      <c r="D85" s="12">
        <f t="shared" si="6"/>
        <v>22023.6</v>
      </c>
      <c r="E85" s="171">
        <v>10700</v>
      </c>
      <c r="F85" s="171">
        <v>10487.1</v>
      </c>
      <c r="G85" s="171">
        <v>1899</v>
      </c>
      <c r="H85" s="171">
        <v>1898.5</v>
      </c>
      <c r="I85" s="171">
        <v>9050.4</v>
      </c>
      <c r="J85" s="171">
        <v>6438</v>
      </c>
      <c r="K85" s="171"/>
      <c r="L85" s="171"/>
      <c r="M85" s="171"/>
      <c r="N85" s="171"/>
      <c r="O85" s="171"/>
      <c r="P85" s="171"/>
      <c r="Q85" s="171">
        <v>903.3</v>
      </c>
      <c r="R85" s="171">
        <v>800</v>
      </c>
      <c r="S85" s="171">
        <v>85</v>
      </c>
      <c r="T85" s="171">
        <v>0</v>
      </c>
      <c r="U85" s="12">
        <f t="shared" si="7"/>
        <v>22637.699999999997</v>
      </c>
      <c r="V85" s="12">
        <f t="shared" si="7"/>
        <v>19623.6</v>
      </c>
      <c r="W85" s="171">
        <v>4815.4</v>
      </c>
      <c r="X85" s="171">
        <v>2400</v>
      </c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2">
        <f t="shared" si="8"/>
        <v>4815.4</v>
      </c>
      <c r="AL85" s="12">
        <f t="shared" si="8"/>
        <v>2400</v>
      </c>
    </row>
    <row r="86" spans="1:38" ht="18" customHeight="1">
      <c r="A86" s="104">
        <v>76</v>
      </c>
      <c r="B86" s="168" t="s">
        <v>624</v>
      </c>
      <c r="C86" s="12">
        <f t="shared" si="6"/>
        <v>11480</v>
      </c>
      <c r="D86" s="12">
        <f t="shared" si="6"/>
        <v>10679.1</v>
      </c>
      <c r="E86" s="171">
        <v>6390</v>
      </c>
      <c r="F86" s="171">
        <v>6322.1</v>
      </c>
      <c r="G86" s="171">
        <v>1785</v>
      </c>
      <c r="H86" s="171">
        <v>1692</v>
      </c>
      <c r="I86" s="171">
        <v>2510</v>
      </c>
      <c r="J86" s="171">
        <v>2190</v>
      </c>
      <c r="K86" s="171"/>
      <c r="L86" s="171"/>
      <c r="M86" s="171"/>
      <c r="N86" s="171"/>
      <c r="O86" s="171"/>
      <c r="P86" s="171"/>
      <c r="Q86" s="171">
        <v>500</v>
      </c>
      <c r="R86" s="171">
        <v>450</v>
      </c>
      <c r="S86" s="171">
        <v>295</v>
      </c>
      <c r="T86" s="171">
        <v>25</v>
      </c>
      <c r="U86" s="12">
        <f t="shared" si="7"/>
        <v>11480</v>
      </c>
      <c r="V86" s="12">
        <f t="shared" si="7"/>
        <v>10679.1</v>
      </c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2">
        <f t="shared" si="8"/>
        <v>0</v>
      </c>
      <c r="AL86" s="12">
        <f t="shared" si="8"/>
        <v>0</v>
      </c>
    </row>
    <row r="87" spans="1:38" ht="18" customHeight="1">
      <c r="A87" s="104">
        <v>77</v>
      </c>
      <c r="B87" s="168" t="s">
        <v>625</v>
      </c>
      <c r="C87" s="12">
        <f t="shared" si="6"/>
        <v>9370.4</v>
      </c>
      <c r="D87" s="12">
        <f t="shared" si="6"/>
        <v>8843.9</v>
      </c>
      <c r="E87" s="171">
        <v>5500</v>
      </c>
      <c r="F87" s="171">
        <v>5258.4</v>
      </c>
      <c r="G87" s="171">
        <v>1250</v>
      </c>
      <c r="H87" s="171">
        <v>1067.4</v>
      </c>
      <c r="I87" s="171">
        <v>1280</v>
      </c>
      <c r="J87" s="171">
        <v>1250.8</v>
      </c>
      <c r="K87" s="171"/>
      <c r="L87" s="171"/>
      <c r="M87" s="171"/>
      <c r="N87" s="171"/>
      <c r="O87" s="171"/>
      <c r="P87" s="171"/>
      <c r="Q87" s="171">
        <v>1165</v>
      </c>
      <c r="R87" s="171">
        <v>1165</v>
      </c>
      <c r="S87" s="171">
        <v>105.4</v>
      </c>
      <c r="T87" s="171">
        <v>32.3</v>
      </c>
      <c r="U87" s="12">
        <f t="shared" si="7"/>
        <v>9300.4</v>
      </c>
      <c r="V87" s="12">
        <f t="shared" si="7"/>
        <v>8773.9</v>
      </c>
      <c r="W87" s="171">
        <v>70</v>
      </c>
      <c r="X87" s="171">
        <v>70</v>
      </c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2">
        <f t="shared" si="8"/>
        <v>70</v>
      </c>
      <c r="AL87" s="12">
        <f t="shared" si="8"/>
        <v>70</v>
      </c>
    </row>
    <row r="88" spans="1:38" ht="18" customHeight="1">
      <c r="A88" s="104">
        <v>78</v>
      </c>
      <c r="B88" s="168" t="s">
        <v>626</v>
      </c>
      <c r="C88" s="12">
        <f t="shared" si="6"/>
        <v>40755</v>
      </c>
      <c r="D88" s="12">
        <f t="shared" si="6"/>
        <v>37631.100000000006</v>
      </c>
      <c r="E88" s="171">
        <v>15574</v>
      </c>
      <c r="F88" s="171">
        <v>15421.6</v>
      </c>
      <c r="G88" s="171">
        <v>3858.8</v>
      </c>
      <c r="H88" s="171">
        <v>3801.4</v>
      </c>
      <c r="I88" s="171">
        <v>13674.7</v>
      </c>
      <c r="J88" s="171">
        <v>12777.2</v>
      </c>
      <c r="K88" s="171"/>
      <c r="L88" s="171"/>
      <c r="M88" s="171">
        <v>5366</v>
      </c>
      <c r="N88" s="171">
        <v>5270</v>
      </c>
      <c r="O88" s="171">
        <v>224</v>
      </c>
      <c r="P88" s="171">
        <v>223</v>
      </c>
      <c r="Q88" s="171">
        <v>550</v>
      </c>
      <c r="R88" s="171">
        <v>465</v>
      </c>
      <c r="S88" s="171">
        <v>250</v>
      </c>
      <c r="T88" s="171">
        <v>89.5</v>
      </c>
      <c r="U88" s="12">
        <f t="shared" si="7"/>
        <v>39497.5</v>
      </c>
      <c r="V88" s="12">
        <f t="shared" si="7"/>
        <v>38047.700000000004</v>
      </c>
      <c r="W88" s="171">
        <v>1869.1</v>
      </c>
      <c r="X88" s="171">
        <v>266</v>
      </c>
      <c r="Y88" s="171"/>
      <c r="Z88" s="171"/>
      <c r="AA88" s="171"/>
      <c r="AB88" s="171"/>
      <c r="AC88" s="171">
        <v>-250</v>
      </c>
      <c r="AD88" s="171">
        <v>0</v>
      </c>
      <c r="AE88" s="171">
        <v>-361.6</v>
      </c>
      <c r="AF88" s="171">
        <f>-682.6</f>
        <v>-682.6</v>
      </c>
      <c r="AG88" s="171"/>
      <c r="AH88" s="171"/>
      <c r="AI88" s="171"/>
      <c r="AJ88" s="171"/>
      <c r="AK88" s="12">
        <f t="shared" si="8"/>
        <v>1257.5</v>
      </c>
      <c r="AL88" s="12">
        <f t="shared" si="8"/>
        <v>-416.6</v>
      </c>
    </row>
    <row r="89" spans="1:38" ht="18" customHeight="1">
      <c r="A89" s="104">
        <v>79</v>
      </c>
      <c r="B89" s="168" t="s">
        <v>627</v>
      </c>
      <c r="C89" s="12">
        <f t="shared" si="6"/>
        <v>8060.6</v>
      </c>
      <c r="D89" s="12">
        <f t="shared" si="6"/>
        <v>8000.9</v>
      </c>
      <c r="E89" s="171">
        <v>4308</v>
      </c>
      <c r="F89" s="171">
        <v>4308</v>
      </c>
      <c r="G89" s="171">
        <v>1377</v>
      </c>
      <c r="H89" s="171">
        <v>1335.9</v>
      </c>
      <c r="I89" s="171">
        <v>2107.2</v>
      </c>
      <c r="J89" s="171">
        <v>2105</v>
      </c>
      <c r="K89" s="171"/>
      <c r="L89" s="171"/>
      <c r="M89" s="171"/>
      <c r="N89" s="171"/>
      <c r="O89" s="171"/>
      <c r="P89" s="171"/>
      <c r="Q89" s="171">
        <v>150</v>
      </c>
      <c r="R89" s="171">
        <v>137</v>
      </c>
      <c r="S89" s="171">
        <v>33.4</v>
      </c>
      <c r="T89" s="171">
        <v>30</v>
      </c>
      <c r="U89" s="12">
        <f t="shared" si="7"/>
        <v>7975.6</v>
      </c>
      <c r="V89" s="12">
        <f t="shared" si="7"/>
        <v>7915.9</v>
      </c>
      <c r="W89" s="171">
        <v>85</v>
      </c>
      <c r="X89" s="171">
        <v>85</v>
      </c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2">
        <f t="shared" si="8"/>
        <v>85</v>
      </c>
      <c r="AL89" s="12">
        <f t="shared" si="8"/>
        <v>85</v>
      </c>
    </row>
    <row r="90" spans="1:38" ht="18" customHeight="1">
      <c r="A90" s="104">
        <v>80</v>
      </c>
      <c r="B90" s="168" t="s">
        <v>628</v>
      </c>
      <c r="C90" s="12">
        <f t="shared" si="6"/>
        <v>8605.6</v>
      </c>
      <c r="D90" s="12">
        <f t="shared" si="6"/>
        <v>6364.299999999999</v>
      </c>
      <c r="E90" s="171">
        <v>3100</v>
      </c>
      <c r="F90" s="171">
        <v>3038.9</v>
      </c>
      <c r="G90" s="171">
        <v>650</v>
      </c>
      <c r="H90" s="171">
        <v>650</v>
      </c>
      <c r="I90" s="171">
        <v>2620</v>
      </c>
      <c r="J90" s="171">
        <v>1580</v>
      </c>
      <c r="K90" s="171"/>
      <c r="L90" s="171"/>
      <c r="M90" s="171"/>
      <c r="N90" s="171"/>
      <c r="O90" s="171">
        <v>100</v>
      </c>
      <c r="P90" s="171">
        <v>100</v>
      </c>
      <c r="Q90" s="171">
        <v>1060</v>
      </c>
      <c r="R90" s="171">
        <v>957.9</v>
      </c>
      <c r="S90" s="171">
        <v>500.4</v>
      </c>
      <c r="T90" s="171">
        <v>32.1</v>
      </c>
      <c r="U90" s="12">
        <f t="shared" si="7"/>
        <v>8030.4</v>
      </c>
      <c r="V90" s="12">
        <f t="shared" si="7"/>
        <v>6358.9</v>
      </c>
      <c r="W90" s="171">
        <v>575.2</v>
      </c>
      <c r="X90" s="171">
        <v>30</v>
      </c>
      <c r="Y90" s="171"/>
      <c r="Z90" s="171"/>
      <c r="AA90" s="171"/>
      <c r="AB90" s="171"/>
      <c r="AC90" s="171">
        <v>0</v>
      </c>
      <c r="AD90" s="171">
        <f>-24.6</f>
        <v>-24.6</v>
      </c>
      <c r="AE90" s="171"/>
      <c r="AF90" s="171"/>
      <c r="AG90" s="171"/>
      <c r="AH90" s="171"/>
      <c r="AI90" s="171"/>
      <c r="AJ90" s="171"/>
      <c r="AK90" s="12">
        <f t="shared" si="8"/>
        <v>575.2</v>
      </c>
      <c r="AL90" s="12">
        <f t="shared" si="8"/>
        <v>5.399999999999999</v>
      </c>
    </row>
    <row r="91" spans="1:38" ht="18" customHeight="1">
      <c r="A91" s="104">
        <v>81</v>
      </c>
      <c r="B91" s="168" t="s">
        <v>629</v>
      </c>
      <c r="C91" s="12">
        <f t="shared" si="6"/>
        <v>12255.4</v>
      </c>
      <c r="D91" s="12">
        <f t="shared" si="6"/>
        <v>10564.2</v>
      </c>
      <c r="E91" s="171">
        <v>3146</v>
      </c>
      <c r="F91" s="171">
        <v>3036.3</v>
      </c>
      <c r="G91" s="171">
        <v>680</v>
      </c>
      <c r="H91" s="171">
        <v>660</v>
      </c>
      <c r="I91" s="171">
        <v>2013.5</v>
      </c>
      <c r="J91" s="171">
        <v>2013.5</v>
      </c>
      <c r="K91" s="171"/>
      <c r="L91" s="171"/>
      <c r="M91" s="171"/>
      <c r="N91" s="171"/>
      <c r="O91" s="171"/>
      <c r="P91" s="171"/>
      <c r="Q91" s="171">
        <v>250</v>
      </c>
      <c r="R91" s="171">
        <v>250</v>
      </c>
      <c r="S91" s="171">
        <v>37</v>
      </c>
      <c r="T91" s="171">
        <v>37</v>
      </c>
      <c r="U91" s="12">
        <f t="shared" si="7"/>
        <v>6126.5</v>
      </c>
      <c r="V91" s="12">
        <f t="shared" si="7"/>
        <v>5996.8</v>
      </c>
      <c r="W91" s="171">
        <v>6128.9</v>
      </c>
      <c r="X91" s="171">
        <v>5758.9</v>
      </c>
      <c r="Y91" s="171"/>
      <c r="Z91" s="171"/>
      <c r="AA91" s="171"/>
      <c r="AB91" s="171"/>
      <c r="AC91" s="171">
        <v>0</v>
      </c>
      <c r="AD91" s="171">
        <f>-160</f>
        <v>-160</v>
      </c>
      <c r="AE91" s="171"/>
      <c r="AF91" s="171">
        <f>-1031.5</f>
        <v>-1031.5</v>
      </c>
      <c r="AG91" s="171"/>
      <c r="AH91" s="171"/>
      <c r="AI91" s="171"/>
      <c r="AJ91" s="171"/>
      <c r="AK91" s="12">
        <f t="shared" si="8"/>
        <v>6128.9</v>
      </c>
      <c r="AL91" s="12">
        <f t="shared" si="8"/>
        <v>4567.4</v>
      </c>
    </row>
    <row r="92" spans="1:38" ht="18" customHeight="1">
      <c r="A92" s="104">
        <v>82</v>
      </c>
      <c r="B92" s="168" t="s">
        <v>630</v>
      </c>
      <c r="C92" s="12">
        <f t="shared" si="6"/>
        <v>7623.3</v>
      </c>
      <c r="D92" s="12">
        <f t="shared" si="6"/>
        <v>6796.9</v>
      </c>
      <c r="E92" s="171">
        <v>4085.8</v>
      </c>
      <c r="F92" s="171">
        <v>4039.2</v>
      </c>
      <c r="G92" s="171">
        <v>1921.5</v>
      </c>
      <c r="H92" s="171">
        <v>1729.3</v>
      </c>
      <c r="I92" s="171">
        <v>1276</v>
      </c>
      <c r="J92" s="171">
        <v>1028.4</v>
      </c>
      <c r="K92" s="171"/>
      <c r="L92" s="171"/>
      <c r="M92" s="171"/>
      <c r="N92" s="171"/>
      <c r="O92" s="171"/>
      <c r="P92" s="171"/>
      <c r="Q92" s="171"/>
      <c r="R92" s="171"/>
      <c r="S92" s="171">
        <v>340</v>
      </c>
      <c r="T92" s="171">
        <v>0</v>
      </c>
      <c r="U92" s="12">
        <f t="shared" si="7"/>
        <v>7623.3</v>
      </c>
      <c r="V92" s="12">
        <f t="shared" si="7"/>
        <v>6796.9</v>
      </c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2">
        <f t="shared" si="8"/>
        <v>0</v>
      </c>
      <c r="AL92" s="12">
        <f t="shared" si="8"/>
        <v>0</v>
      </c>
    </row>
    <row r="93" spans="1:38" ht="18" customHeight="1">
      <c r="A93" s="104">
        <v>83</v>
      </c>
      <c r="B93" s="168" t="s">
        <v>631</v>
      </c>
      <c r="C93" s="12">
        <f t="shared" si="6"/>
        <v>8275.900000000001</v>
      </c>
      <c r="D93" s="12">
        <f t="shared" si="6"/>
        <v>7989</v>
      </c>
      <c r="E93" s="171">
        <v>4560</v>
      </c>
      <c r="F93" s="171">
        <v>4560</v>
      </c>
      <c r="G93" s="171">
        <v>1428</v>
      </c>
      <c r="H93" s="171">
        <v>1368</v>
      </c>
      <c r="I93" s="171">
        <v>2016.2</v>
      </c>
      <c r="J93" s="171">
        <v>1816</v>
      </c>
      <c r="K93" s="171"/>
      <c r="L93" s="171"/>
      <c r="M93" s="171"/>
      <c r="N93" s="171"/>
      <c r="O93" s="171"/>
      <c r="P93" s="171"/>
      <c r="Q93" s="171">
        <v>200</v>
      </c>
      <c r="R93" s="171">
        <v>200</v>
      </c>
      <c r="S93" s="171">
        <v>50</v>
      </c>
      <c r="T93" s="171">
        <v>45</v>
      </c>
      <c r="U93" s="12">
        <f t="shared" si="7"/>
        <v>8254.2</v>
      </c>
      <c r="V93" s="12">
        <f t="shared" si="7"/>
        <v>7989</v>
      </c>
      <c r="W93" s="171">
        <v>21.7</v>
      </c>
      <c r="X93" s="171">
        <v>0</v>
      </c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2">
        <f t="shared" si="8"/>
        <v>21.7</v>
      </c>
      <c r="AL93" s="12">
        <f t="shared" si="8"/>
        <v>0</v>
      </c>
    </row>
    <row r="94" spans="1:38" ht="18" customHeight="1">
      <c r="A94" s="104">
        <v>84</v>
      </c>
      <c r="B94" s="168" t="s">
        <v>632</v>
      </c>
      <c r="C94" s="12">
        <f t="shared" si="6"/>
        <v>19715.9</v>
      </c>
      <c r="D94" s="12">
        <f t="shared" si="6"/>
        <v>14591.900000000001</v>
      </c>
      <c r="E94" s="171">
        <v>6340</v>
      </c>
      <c r="F94" s="171">
        <v>6285.8</v>
      </c>
      <c r="G94" s="171">
        <v>1380</v>
      </c>
      <c r="H94" s="171">
        <v>1371.4</v>
      </c>
      <c r="I94" s="171">
        <v>3005.8</v>
      </c>
      <c r="J94" s="171">
        <f>2151-0.3</f>
        <v>2150.7</v>
      </c>
      <c r="K94" s="171"/>
      <c r="L94" s="171"/>
      <c r="M94" s="171"/>
      <c r="N94" s="171"/>
      <c r="O94" s="171">
        <v>1600</v>
      </c>
      <c r="P94" s="171">
        <v>270</v>
      </c>
      <c r="Q94" s="171">
        <v>500</v>
      </c>
      <c r="R94" s="171">
        <v>440</v>
      </c>
      <c r="S94" s="171">
        <v>100</v>
      </c>
      <c r="T94" s="171">
        <v>90</v>
      </c>
      <c r="U94" s="12">
        <f t="shared" si="7"/>
        <v>12925.8</v>
      </c>
      <c r="V94" s="12">
        <f t="shared" si="7"/>
        <v>10607.900000000001</v>
      </c>
      <c r="W94" s="171">
        <v>6790.1</v>
      </c>
      <c r="X94" s="171">
        <v>3984</v>
      </c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2">
        <f t="shared" si="8"/>
        <v>6790.1</v>
      </c>
      <c r="AL94" s="12">
        <f t="shared" si="8"/>
        <v>3984</v>
      </c>
    </row>
    <row r="95" spans="1:38" ht="18" customHeight="1">
      <c r="A95" s="104">
        <v>85</v>
      </c>
      <c r="B95" s="168" t="s">
        <v>633</v>
      </c>
      <c r="C95" s="12">
        <f t="shared" si="6"/>
        <v>6806.9</v>
      </c>
      <c r="D95" s="12">
        <f t="shared" si="6"/>
        <v>6315.6</v>
      </c>
      <c r="E95" s="171">
        <v>3828</v>
      </c>
      <c r="F95" s="171">
        <v>3540.1</v>
      </c>
      <c r="G95" s="171">
        <v>1152.2</v>
      </c>
      <c r="H95" s="171">
        <v>1109.9</v>
      </c>
      <c r="I95" s="171">
        <v>1585</v>
      </c>
      <c r="J95" s="171">
        <v>1488.6</v>
      </c>
      <c r="K95" s="171"/>
      <c r="L95" s="171"/>
      <c r="M95" s="171"/>
      <c r="N95" s="171"/>
      <c r="O95" s="171"/>
      <c r="P95" s="171"/>
      <c r="Q95" s="171">
        <v>150</v>
      </c>
      <c r="R95" s="171">
        <v>150</v>
      </c>
      <c r="S95" s="171">
        <v>91.7</v>
      </c>
      <c r="T95" s="171">
        <v>27</v>
      </c>
      <c r="U95" s="12">
        <f t="shared" si="7"/>
        <v>6806.9</v>
      </c>
      <c r="V95" s="12">
        <f t="shared" si="7"/>
        <v>6315.6</v>
      </c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2">
        <f t="shared" si="8"/>
        <v>0</v>
      </c>
      <c r="AL95" s="12">
        <f t="shared" si="8"/>
        <v>0</v>
      </c>
    </row>
    <row r="96" spans="1:38" ht="18" customHeight="1">
      <c r="A96" s="104">
        <v>86</v>
      </c>
      <c r="B96" s="168" t="s">
        <v>634</v>
      </c>
      <c r="C96" s="12">
        <f t="shared" si="6"/>
        <v>7612.5</v>
      </c>
      <c r="D96" s="12">
        <f t="shared" si="6"/>
        <v>7241.6</v>
      </c>
      <c r="E96" s="171">
        <v>4452.5</v>
      </c>
      <c r="F96" s="171">
        <v>4403.2</v>
      </c>
      <c r="G96" s="171">
        <v>1410</v>
      </c>
      <c r="H96" s="171">
        <v>1310</v>
      </c>
      <c r="I96" s="171">
        <v>1310</v>
      </c>
      <c r="J96" s="171">
        <v>1148.4</v>
      </c>
      <c r="K96" s="171"/>
      <c r="L96" s="171"/>
      <c r="M96" s="171"/>
      <c r="N96" s="171"/>
      <c r="O96" s="171"/>
      <c r="P96" s="171"/>
      <c r="Q96" s="171">
        <v>360</v>
      </c>
      <c r="R96" s="171">
        <v>360</v>
      </c>
      <c r="S96" s="171">
        <v>80</v>
      </c>
      <c r="T96" s="171">
        <v>20</v>
      </c>
      <c r="U96" s="12">
        <f t="shared" si="7"/>
        <v>7612.5</v>
      </c>
      <c r="V96" s="12">
        <f t="shared" si="7"/>
        <v>7241.6</v>
      </c>
      <c r="W96" s="171">
        <v>4709.7</v>
      </c>
      <c r="X96" s="171">
        <v>4709.7</v>
      </c>
      <c r="Y96" s="171"/>
      <c r="Z96" s="171"/>
      <c r="AA96" s="171"/>
      <c r="AB96" s="171"/>
      <c r="AC96" s="171">
        <f>-3861</f>
        <v>-3861</v>
      </c>
      <c r="AD96" s="171">
        <f>-3861</f>
        <v>-3861</v>
      </c>
      <c r="AE96" s="171">
        <f>-848.7</f>
        <v>-848.7</v>
      </c>
      <c r="AF96" s="171">
        <f>-848.7</f>
        <v>-848.7</v>
      </c>
      <c r="AG96" s="171"/>
      <c r="AH96" s="171"/>
      <c r="AI96" s="171"/>
      <c r="AJ96" s="171"/>
      <c r="AK96" s="12">
        <f t="shared" si="8"/>
        <v>0</v>
      </c>
      <c r="AL96" s="12">
        <f t="shared" si="8"/>
        <v>0</v>
      </c>
    </row>
    <row r="97" spans="1:38" ht="18" customHeight="1">
      <c r="A97" s="104">
        <v>87</v>
      </c>
      <c r="B97" s="168" t="s">
        <v>635</v>
      </c>
      <c r="C97" s="12">
        <f t="shared" si="6"/>
        <v>7988.5</v>
      </c>
      <c r="D97" s="12">
        <f t="shared" si="6"/>
        <v>7591.099999999999</v>
      </c>
      <c r="E97" s="171">
        <v>4448.3</v>
      </c>
      <c r="F97" s="171">
        <v>4386.9</v>
      </c>
      <c r="G97" s="171">
        <v>1150</v>
      </c>
      <c r="H97" s="171">
        <v>1150</v>
      </c>
      <c r="I97" s="171">
        <v>1143</v>
      </c>
      <c r="J97" s="171">
        <v>1027</v>
      </c>
      <c r="K97" s="171"/>
      <c r="L97" s="171"/>
      <c r="M97" s="171"/>
      <c r="N97" s="171"/>
      <c r="O97" s="171"/>
      <c r="P97" s="171"/>
      <c r="Q97" s="171">
        <v>200</v>
      </c>
      <c r="R97" s="171">
        <v>0</v>
      </c>
      <c r="S97" s="171">
        <v>50</v>
      </c>
      <c r="T97" s="171">
        <v>30</v>
      </c>
      <c r="U97" s="12">
        <f t="shared" si="7"/>
        <v>6991.3</v>
      </c>
      <c r="V97" s="12">
        <f t="shared" si="7"/>
        <v>6593.9</v>
      </c>
      <c r="W97" s="171">
        <f>997.2</f>
        <v>997.2</v>
      </c>
      <c r="X97" s="171">
        <f>997.2</f>
        <v>997.2</v>
      </c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2">
        <f t="shared" si="8"/>
        <v>997.2</v>
      </c>
      <c r="AL97" s="12">
        <f t="shared" si="8"/>
        <v>997.2</v>
      </c>
    </row>
    <row r="98" spans="1:38" ht="18" customHeight="1">
      <c r="A98" s="104">
        <v>88</v>
      </c>
      <c r="B98" s="168" t="s">
        <v>636</v>
      </c>
      <c r="C98" s="12">
        <f t="shared" si="6"/>
        <v>8737.3</v>
      </c>
      <c r="D98" s="12">
        <f t="shared" si="6"/>
        <v>8419.5</v>
      </c>
      <c r="E98" s="171">
        <v>4759.1</v>
      </c>
      <c r="F98" s="171">
        <v>4759.1</v>
      </c>
      <c r="G98" s="171">
        <v>1717.2</v>
      </c>
      <c r="H98" s="171">
        <v>1636.7</v>
      </c>
      <c r="I98" s="171">
        <v>2231</v>
      </c>
      <c r="J98" s="171">
        <v>2231</v>
      </c>
      <c r="K98" s="171"/>
      <c r="L98" s="171"/>
      <c r="M98" s="171"/>
      <c r="N98" s="171"/>
      <c r="O98" s="171"/>
      <c r="P98" s="171"/>
      <c r="Q98" s="171"/>
      <c r="R98" s="171"/>
      <c r="S98" s="171">
        <v>30</v>
      </c>
      <c r="T98" s="171">
        <v>30</v>
      </c>
      <c r="U98" s="12">
        <f t="shared" si="7"/>
        <v>8737.3</v>
      </c>
      <c r="V98" s="12">
        <f t="shared" si="7"/>
        <v>8656.8</v>
      </c>
      <c r="W98" s="171">
        <v>905.3</v>
      </c>
      <c r="X98" s="171">
        <v>860</v>
      </c>
      <c r="Y98" s="171"/>
      <c r="Z98" s="171"/>
      <c r="AA98" s="171"/>
      <c r="AB98" s="171"/>
      <c r="AC98" s="171">
        <f>-905.3</f>
        <v>-905.3</v>
      </c>
      <c r="AD98" s="171">
        <f>-862.1</f>
        <v>-862.1</v>
      </c>
      <c r="AE98" s="171">
        <v>0</v>
      </c>
      <c r="AF98" s="171">
        <f>-235.2</f>
        <v>-235.2</v>
      </c>
      <c r="AG98" s="171"/>
      <c r="AH98" s="171"/>
      <c r="AI98" s="171"/>
      <c r="AJ98" s="171"/>
      <c r="AK98" s="12">
        <f t="shared" si="8"/>
        <v>0</v>
      </c>
      <c r="AL98" s="12">
        <f t="shared" si="8"/>
        <v>-237.29999999999995</v>
      </c>
    </row>
    <row r="99" spans="1:38" ht="18" customHeight="1">
      <c r="A99" s="104">
        <v>89</v>
      </c>
      <c r="B99" s="168" t="s">
        <v>637</v>
      </c>
      <c r="C99" s="12">
        <f t="shared" si="6"/>
        <v>12827.6</v>
      </c>
      <c r="D99" s="12">
        <f t="shared" si="6"/>
        <v>9281.4</v>
      </c>
      <c r="E99" s="171">
        <v>7462</v>
      </c>
      <c r="F99" s="171">
        <v>6472.9</v>
      </c>
      <c r="G99" s="171">
        <v>1953</v>
      </c>
      <c r="H99" s="171">
        <v>1771</v>
      </c>
      <c r="I99" s="171">
        <v>1150</v>
      </c>
      <c r="J99" s="171">
        <v>838.5</v>
      </c>
      <c r="K99" s="171"/>
      <c r="L99" s="171"/>
      <c r="M99" s="171"/>
      <c r="N99" s="171"/>
      <c r="O99" s="171"/>
      <c r="P99" s="171"/>
      <c r="Q99" s="171">
        <v>800</v>
      </c>
      <c r="R99" s="171">
        <v>199</v>
      </c>
      <c r="S99" s="171">
        <v>1374.1</v>
      </c>
      <c r="T99" s="171">
        <v>0</v>
      </c>
      <c r="U99" s="12">
        <f t="shared" si="7"/>
        <v>12739.1</v>
      </c>
      <c r="V99" s="12">
        <f t="shared" si="7"/>
        <v>9281.4</v>
      </c>
      <c r="W99" s="171">
        <v>388.5</v>
      </c>
      <c r="X99" s="171">
        <v>0</v>
      </c>
      <c r="Y99" s="171"/>
      <c r="Z99" s="171"/>
      <c r="AA99" s="171"/>
      <c r="AB99" s="171"/>
      <c r="AC99" s="171">
        <v>-300</v>
      </c>
      <c r="AD99" s="171">
        <v>0</v>
      </c>
      <c r="AE99" s="171"/>
      <c r="AF99" s="171"/>
      <c r="AG99" s="171"/>
      <c r="AH99" s="171"/>
      <c r="AI99" s="171"/>
      <c r="AJ99" s="171"/>
      <c r="AK99" s="12">
        <f t="shared" si="8"/>
        <v>88.5</v>
      </c>
      <c r="AL99" s="12">
        <f t="shared" si="8"/>
        <v>0</v>
      </c>
    </row>
    <row r="100" spans="1:38" ht="18" customHeight="1">
      <c r="A100" s="104">
        <v>90</v>
      </c>
      <c r="B100" s="168" t="s">
        <v>638</v>
      </c>
      <c r="C100" s="12">
        <f t="shared" si="6"/>
        <v>6455.7</v>
      </c>
      <c r="D100" s="12">
        <f t="shared" si="6"/>
        <v>4876.6</v>
      </c>
      <c r="E100" s="171">
        <v>2792.7</v>
      </c>
      <c r="F100" s="171">
        <v>2792.4</v>
      </c>
      <c r="G100" s="171">
        <v>667.7</v>
      </c>
      <c r="H100" s="171">
        <v>645.4</v>
      </c>
      <c r="I100" s="171">
        <v>2060</v>
      </c>
      <c r="J100" s="171">
        <v>2021</v>
      </c>
      <c r="K100" s="171"/>
      <c r="L100" s="171"/>
      <c r="M100" s="171"/>
      <c r="N100" s="171"/>
      <c r="O100" s="171"/>
      <c r="P100" s="171"/>
      <c r="Q100" s="171">
        <v>540</v>
      </c>
      <c r="R100" s="171">
        <v>540</v>
      </c>
      <c r="S100" s="171">
        <v>41.5</v>
      </c>
      <c r="T100" s="171">
        <v>20</v>
      </c>
      <c r="U100" s="12">
        <f t="shared" si="7"/>
        <v>6101.9</v>
      </c>
      <c r="V100" s="12">
        <f t="shared" si="7"/>
        <v>6018.8</v>
      </c>
      <c r="W100" s="171">
        <v>353.8</v>
      </c>
      <c r="X100" s="171">
        <v>0</v>
      </c>
      <c r="Y100" s="171"/>
      <c r="Z100" s="171"/>
      <c r="AA100" s="171"/>
      <c r="AB100" s="171"/>
      <c r="AC100" s="171"/>
      <c r="AD100" s="171"/>
      <c r="AE100" s="171">
        <v>0</v>
      </c>
      <c r="AF100" s="171">
        <f>-1142.2</f>
        <v>-1142.2</v>
      </c>
      <c r="AG100" s="171"/>
      <c r="AH100" s="171"/>
      <c r="AI100" s="171"/>
      <c r="AJ100" s="171"/>
      <c r="AK100" s="12">
        <f t="shared" si="8"/>
        <v>353.8</v>
      </c>
      <c r="AL100" s="12">
        <f t="shared" si="8"/>
        <v>-1142.2</v>
      </c>
    </row>
    <row r="101" spans="1:38" ht="18" customHeight="1">
      <c r="A101" s="104">
        <v>91</v>
      </c>
      <c r="B101" s="168" t="s">
        <v>639</v>
      </c>
      <c r="C101" s="12">
        <f t="shared" si="6"/>
        <v>8328.2</v>
      </c>
      <c r="D101" s="12">
        <f t="shared" si="6"/>
        <v>7342.299999999999</v>
      </c>
      <c r="E101" s="171">
        <v>4036</v>
      </c>
      <c r="F101" s="171">
        <v>3995</v>
      </c>
      <c r="G101" s="171">
        <v>1430</v>
      </c>
      <c r="H101" s="171">
        <v>1408.7</v>
      </c>
      <c r="I101" s="171">
        <v>1503.2</v>
      </c>
      <c r="J101" s="171">
        <v>1088</v>
      </c>
      <c r="K101" s="171"/>
      <c r="L101" s="171"/>
      <c r="M101" s="171"/>
      <c r="N101" s="171"/>
      <c r="O101" s="171">
        <v>680</v>
      </c>
      <c r="P101" s="171">
        <v>276</v>
      </c>
      <c r="Q101" s="171">
        <v>300</v>
      </c>
      <c r="R101" s="171">
        <v>270</v>
      </c>
      <c r="S101" s="171">
        <v>64.3</v>
      </c>
      <c r="T101" s="171">
        <v>64.2</v>
      </c>
      <c r="U101" s="12">
        <f t="shared" si="7"/>
        <v>8013.5</v>
      </c>
      <c r="V101" s="12">
        <f t="shared" si="7"/>
        <v>7101.9</v>
      </c>
      <c r="W101" s="171">
        <v>314.7</v>
      </c>
      <c r="X101" s="171">
        <v>240.4</v>
      </c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2">
        <f t="shared" si="8"/>
        <v>314.7</v>
      </c>
      <c r="AL101" s="12">
        <f t="shared" si="8"/>
        <v>240.4</v>
      </c>
    </row>
    <row r="102" spans="1:38" ht="18" customHeight="1">
      <c r="A102" s="104">
        <v>92</v>
      </c>
      <c r="B102" s="168" t="s">
        <v>640</v>
      </c>
      <c r="C102" s="12">
        <f t="shared" si="6"/>
        <v>5101.9</v>
      </c>
      <c r="D102" s="12">
        <f t="shared" si="6"/>
        <v>4707.1</v>
      </c>
      <c r="E102" s="171">
        <v>2976</v>
      </c>
      <c r="F102" s="171">
        <v>2976</v>
      </c>
      <c r="G102" s="171">
        <v>690.6</v>
      </c>
      <c r="H102" s="171">
        <v>690.6</v>
      </c>
      <c r="I102" s="171">
        <v>920</v>
      </c>
      <c r="J102" s="171">
        <v>700</v>
      </c>
      <c r="K102" s="171"/>
      <c r="L102" s="171"/>
      <c r="M102" s="171"/>
      <c r="N102" s="171"/>
      <c r="O102" s="171"/>
      <c r="P102" s="171"/>
      <c r="Q102" s="171">
        <v>150</v>
      </c>
      <c r="R102" s="171">
        <v>100</v>
      </c>
      <c r="S102" s="171">
        <v>164.8</v>
      </c>
      <c r="T102" s="171">
        <v>40</v>
      </c>
      <c r="U102" s="12">
        <f t="shared" si="7"/>
        <v>4901.4</v>
      </c>
      <c r="V102" s="12">
        <f t="shared" si="7"/>
        <v>4506.6</v>
      </c>
      <c r="W102" s="171">
        <v>200.5</v>
      </c>
      <c r="X102" s="171">
        <v>200.5</v>
      </c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2">
        <f t="shared" si="8"/>
        <v>200.5</v>
      </c>
      <c r="AL102" s="12">
        <f t="shared" si="8"/>
        <v>200.5</v>
      </c>
    </row>
    <row r="103" spans="1:38" ht="18" customHeight="1">
      <c r="A103" s="104">
        <v>93</v>
      </c>
      <c r="B103" s="168" t="s">
        <v>641</v>
      </c>
      <c r="C103" s="12">
        <f t="shared" si="6"/>
        <v>10103.6</v>
      </c>
      <c r="D103" s="12">
        <f t="shared" si="6"/>
        <v>6425</v>
      </c>
      <c r="E103" s="171">
        <v>3599.5</v>
      </c>
      <c r="F103" s="171">
        <v>3597.1</v>
      </c>
      <c r="G103" s="171">
        <v>840</v>
      </c>
      <c r="H103" s="171">
        <v>836</v>
      </c>
      <c r="I103" s="171">
        <v>1975</v>
      </c>
      <c r="J103" s="171">
        <v>912.6</v>
      </c>
      <c r="K103" s="171"/>
      <c r="L103" s="171"/>
      <c r="M103" s="171">
        <v>700</v>
      </c>
      <c r="N103" s="171">
        <v>520</v>
      </c>
      <c r="O103" s="171">
        <v>1950</v>
      </c>
      <c r="P103" s="171">
        <v>465</v>
      </c>
      <c r="Q103" s="171">
        <v>500</v>
      </c>
      <c r="R103" s="171">
        <v>100</v>
      </c>
      <c r="S103" s="171">
        <v>539.1</v>
      </c>
      <c r="T103" s="171">
        <v>1</v>
      </c>
      <c r="U103" s="12">
        <f t="shared" si="7"/>
        <v>10103.6</v>
      </c>
      <c r="V103" s="12">
        <f t="shared" si="7"/>
        <v>6431.7</v>
      </c>
      <c r="W103" s="171"/>
      <c r="X103" s="171"/>
      <c r="Y103" s="171"/>
      <c r="Z103" s="171"/>
      <c r="AA103" s="171"/>
      <c r="AB103" s="171"/>
      <c r="AC103" s="171">
        <v>0</v>
      </c>
      <c r="AD103" s="171">
        <f>-6.7</f>
        <v>-6.7</v>
      </c>
      <c r="AE103" s="171"/>
      <c r="AF103" s="171"/>
      <c r="AG103" s="171"/>
      <c r="AH103" s="171"/>
      <c r="AI103" s="171"/>
      <c r="AJ103" s="171"/>
      <c r="AK103" s="12">
        <f t="shared" si="8"/>
        <v>0</v>
      </c>
      <c r="AL103" s="12">
        <f t="shared" si="8"/>
        <v>-6.7</v>
      </c>
    </row>
    <row r="104" spans="1:38" ht="18" customHeight="1">
      <c r="A104" s="104">
        <v>94</v>
      </c>
      <c r="B104" s="168" t="s">
        <v>642</v>
      </c>
      <c r="C104" s="12">
        <f t="shared" si="6"/>
        <v>6585.3</v>
      </c>
      <c r="D104" s="12">
        <f t="shared" si="6"/>
        <v>6159.4</v>
      </c>
      <c r="E104" s="171">
        <v>4037.9</v>
      </c>
      <c r="F104" s="171">
        <v>4037.9</v>
      </c>
      <c r="G104" s="171">
        <v>639.5</v>
      </c>
      <c r="H104" s="171">
        <v>639.4</v>
      </c>
      <c r="I104" s="171">
        <v>1306.1</v>
      </c>
      <c r="J104" s="16">
        <v>1306.1</v>
      </c>
      <c r="K104" s="171"/>
      <c r="L104" s="171"/>
      <c r="M104" s="171"/>
      <c r="N104" s="171"/>
      <c r="O104" s="171"/>
      <c r="P104" s="171"/>
      <c r="Q104" s="171">
        <v>370</v>
      </c>
      <c r="R104" s="171">
        <v>370</v>
      </c>
      <c r="S104" s="171"/>
      <c r="T104" s="171"/>
      <c r="U104" s="12">
        <f t="shared" si="7"/>
        <v>6353.5</v>
      </c>
      <c r="V104" s="12">
        <f t="shared" si="7"/>
        <v>6353.4</v>
      </c>
      <c r="W104" s="171">
        <v>231.8</v>
      </c>
      <c r="X104" s="171">
        <f>230</f>
        <v>230</v>
      </c>
      <c r="Y104" s="171">
        <v>350</v>
      </c>
      <c r="Z104" s="171">
        <v>350</v>
      </c>
      <c r="AA104" s="171"/>
      <c r="AB104" s="171"/>
      <c r="AC104" s="171">
        <v>0</v>
      </c>
      <c r="AD104" s="171">
        <f>-236</f>
        <v>-236</v>
      </c>
      <c r="AE104" s="171">
        <f>-350</f>
        <v>-350</v>
      </c>
      <c r="AF104" s="171">
        <f>-538</f>
        <v>-538</v>
      </c>
      <c r="AG104" s="171"/>
      <c r="AH104" s="171"/>
      <c r="AI104" s="171"/>
      <c r="AJ104" s="171"/>
      <c r="AK104" s="12">
        <f t="shared" si="8"/>
        <v>231.8</v>
      </c>
      <c r="AL104" s="12">
        <f t="shared" si="8"/>
        <v>-194</v>
      </c>
    </row>
    <row r="105" spans="1:38" s="181" customFormat="1" ht="18" customHeight="1">
      <c r="A105" s="104">
        <v>95</v>
      </c>
      <c r="B105" s="168" t="s">
        <v>643</v>
      </c>
      <c r="C105" s="179">
        <f t="shared" si="6"/>
        <v>55704.67540000001</v>
      </c>
      <c r="D105" s="179">
        <f t="shared" si="6"/>
        <v>43866</v>
      </c>
      <c r="E105" s="173">
        <v>11200</v>
      </c>
      <c r="F105" s="173">
        <v>10951</v>
      </c>
      <c r="G105" s="173">
        <v>3740</v>
      </c>
      <c r="H105" s="173">
        <v>3740</v>
      </c>
      <c r="I105" s="173">
        <v>7691.5</v>
      </c>
      <c r="J105" s="180">
        <v>7063.4</v>
      </c>
      <c r="K105" s="173"/>
      <c r="L105" s="173"/>
      <c r="M105" s="173">
        <v>16000.4</v>
      </c>
      <c r="N105" s="180">
        <v>13396</v>
      </c>
      <c r="O105" s="173"/>
      <c r="P105" s="173"/>
      <c r="Q105" s="180">
        <v>746</v>
      </c>
      <c r="R105" s="180">
        <v>30</v>
      </c>
      <c r="S105" s="173">
        <v>2664.4</v>
      </c>
      <c r="T105" s="180">
        <v>128.5</v>
      </c>
      <c r="U105" s="179">
        <f t="shared" si="7"/>
        <v>42042.3</v>
      </c>
      <c r="V105" s="179">
        <f t="shared" si="7"/>
        <v>35308.9</v>
      </c>
      <c r="W105" s="180">
        <v>13662.3754</v>
      </c>
      <c r="X105" s="180">
        <v>9094.3</v>
      </c>
      <c r="Y105" s="173"/>
      <c r="Z105" s="173"/>
      <c r="AA105" s="173"/>
      <c r="AB105" s="173"/>
      <c r="AC105" s="173">
        <v>0</v>
      </c>
      <c r="AD105" s="173">
        <v>-472.4</v>
      </c>
      <c r="AE105" s="173">
        <v>0</v>
      </c>
      <c r="AF105" s="173">
        <f>-64.8</f>
        <v>-64.8</v>
      </c>
      <c r="AG105" s="173"/>
      <c r="AH105" s="173"/>
      <c r="AI105" s="173"/>
      <c r="AJ105" s="173"/>
      <c r="AK105" s="179">
        <f t="shared" si="8"/>
        <v>13662.3754</v>
      </c>
      <c r="AL105" s="179">
        <f t="shared" si="8"/>
        <v>8557.099999999999</v>
      </c>
    </row>
    <row r="106" spans="1:38" ht="18" customHeight="1">
      <c r="A106" s="104">
        <v>96</v>
      </c>
      <c r="B106" s="168" t="s">
        <v>644</v>
      </c>
      <c r="C106" s="12">
        <f t="shared" si="6"/>
        <v>7259.2</v>
      </c>
      <c r="D106" s="12">
        <f t="shared" si="6"/>
        <v>6515</v>
      </c>
      <c r="E106" s="171">
        <v>5116.2</v>
      </c>
      <c r="F106" s="171">
        <v>4493.2</v>
      </c>
      <c r="G106" s="171">
        <v>696</v>
      </c>
      <c r="H106" s="171">
        <v>574.8</v>
      </c>
      <c r="I106" s="171">
        <v>1397</v>
      </c>
      <c r="J106" s="171">
        <v>1397</v>
      </c>
      <c r="K106" s="171"/>
      <c r="L106" s="171"/>
      <c r="M106" s="171"/>
      <c r="N106" s="171"/>
      <c r="O106" s="171"/>
      <c r="P106" s="171"/>
      <c r="Q106" s="171"/>
      <c r="R106" s="171"/>
      <c r="S106" s="171">
        <v>50</v>
      </c>
      <c r="T106" s="171">
        <v>50</v>
      </c>
      <c r="U106" s="12">
        <f t="shared" si="7"/>
        <v>7259.2</v>
      </c>
      <c r="V106" s="12">
        <f t="shared" si="7"/>
        <v>6515</v>
      </c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2">
        <f t="shared" si="8"/>
        <v>0</v>
      </c>
      <c r="AL106" s="12">
        <f t="shared" si="8"/>
        <v>0</v>
      </c>
    </row>
    <row r="107" spans="1:38" ht="18" customHeight="1">
      <c r="A107" s="104">
        <v>97</v>
      </c>
      <c r="B107" s="168" t="s">
        <v>645</v>
      </c>
      <c r="C107" s="12">
        <f aca="true" t="shared" si="9" ref="C107:D129">U107+AK107-AI107</f>
        <v>4146</v>
      </c>
      <c r="D107" s="12">
        <f t="shared" si="9"/>
        <v>4137.8</v>
      </c>
      <c r="E107" s="171">
        <v>2635</v>
      </c>
      <c r="F107" s="16">
        <v>2633.4</v>
      </c>
      <c r="G107" s="171">
        <v>911</v>
      </c>
      <c r="H107" s="171">
        <v>904.4</v>
      </c>
      <c r="I107" s="171">
        <v>600</v>
      </c>
      <c r="J107" s="171">
        <v>600</v>
      </c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2">
        <f aca="true" t="shared" si="10" ref="U107:V129">S107+Q107+O107+M107+K107+I107+G107+E107</f>
        <v>4146</v>
      </c>
      <c r="V107" s="12">
        <f t="shared" si="10"/>
        <v>4137.8</v>
      </c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2">
        <f aca="true" t="shared" si="11" ref="AK107:AL129">AI107+AG107+AE107+AC107+AA107+Y107+W107</f>
        <v>0</v>
      </c>
      <c r="AL107" s="12">
        <f t="shared" si="11"/>
        <v>0</v>
      </c>
    </row>
    <row r="108" spans="1:38" ht="18" customHeight="1">
      <c r="A108" s="104">
        <v>98</v>
      </c>
      <c r="B108" s="168" t="s">
        <v>646</v>
      </c>
      <c r="C108" s="12">
        <f t="shared" si="9"/>
        <v>15070.8</v>
      </c>
      <c r="D108" s="12">
        <f t="shared" si="9"/>
        <v>6533.599999999999</v>
      </c>
      <c r="E108" s="171">
        <v>9568.2</v>
      </c>
      <c r="F108" s="171">
        <v>3366</v>
      </c>
      <c r="G108" s="171">
        <v>3681.3</v>
      </c>
      <c r="H108" s="171">
        <f>1200+1882.4</f>
        <v>3082.4</v>
      </c>
      <c r="I108" s="171">
        <v>250</v>
      </c>
      <c r="J108" s="171">
        <v>15</v>
      </c>
      <c r="K108" s="171"/>
      <c r="L108" s="171"/>
      <c r="M108" s="171"/>
      <c r="N108" s="171"/>
      <c r="O108" s="171"/>
      <c r="P108" s="171"/>
      <c r="Q108" s="171">
        <v>100</v>
      </c>
      <c r="R108" s="171">
        <v>0</v>
      </c>
      <c r="S108" s="171">
        <v>990</v>
      </c>
      <c r="T108" s="171">
        <v>0</v>
      </c>
      <c r="U108" s="12">
        <f t="shared" si="10"/>
        <v>14589.5</v>
      </c>
      <c r="V108" s="12">
        <f t="shared" si="10"/>
        <v>6463.4</v>
      </c>
      <c r="W108" s="171">
        <v>481.3</v>
      </c>
      <c r="X108" s="171">
        <v>320</v>
      </c>
      <c r="Y108" s="171"/>
      <c r="Z108" s="171"/>
      <c r="AA108" s="171"/>
      <c r="AB108" s="171"/>
      <c r="AC108" s="171"/>
      <c r="AD108" s="171"/>
      <c r="AE108" s="171">
        <v>0</v>
      </c>
      <c r="AF108" s="171">
        <f>-249.8</f>
        <v>-249.8</v>
      </c>
      <c r="AG108" s="171"/>
      <c r="AH108" s="171"/>
      <c r="AI108" s="171"/>
      <c r="AJ108" s="171"/>
      <c r="AK108" s="12">
        <f t="shared" si="11"/>
        <v>481.3</v>
      </c>
      <c r="AL108" s="12">
        <f t="shared" si="11"/>
        <v>70.19999999999999</v>
      </c>
    </row>
    <row r="109" spans="1:38" ht="18" customHeight="1">
      <c r="A109" s="104">
        <v>99</v>
      </c>
      <c r="B109" s="182" t="s">
        <v>647</v>
      </c>
      <c r="C109" s="12">
        <f t="shared" si="9"/>
        <v>6068.8</v>
      </c>
      <c r="D109" s="12">
        <f t="shared" si="9"/>
        <v>5899.6</v>
      </c>
      <c r="E109" s="171">
        <v>3240</v>
      </c>
      <c r="F109" s="16">
        <v>3240</v>
      </c>
      <c r="G109" s="171">
        <v>774</v>
      </c>
      <c r="H109" s="171">
        <v>774</v>
      </c>
      <c r="I109" s="171">
        <v>1273.3</v>
      </c>
      <c r="J109" s="171">
        <v>1104.1</v>
      </c>
      <c r="K109" s="171"/>
      <c r="L109" s="171"/>
      <c r="M109" s="171"/>
      <c r="N109" s="171"/>
      <c r="O109" s="171">
        <v>432</v>
      </c>
      <c r="P109" s="171">
        <v>432</v>
      </c>
      <c r="Q109" s="171"/>
      <c r="R109" s="171"/>
      <c r="S109" s="171"/>
      <c r="T109" s="171"/>
      <c r="U109" s="12">
        <f t="shared" si="10"/>
        <v>5719.3</v>
      </c>
      <c r="V109" s="12">
        <f t="shared" si="10"/>
        <v>5550.1</v>
      </c>
      <c r="W109" s="171">
        <v>349.5</v>
      </c>
      <c r="X109" s="171">
        <v>349.5</v>
      </c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2">
        <f t="shared" si="11"/>
        <v>349.5</v>
      </c>
      <c r="AL109" s="12">
        <f t="shared" si="11"/>
        <v>349.5</v>
      </c>
    </row>
    <row r="110" spans="1:38" ht="18" customHeight="1">
      <c r="A110" s="104">
        <v>100</v>
      </c>
      <c r="B110" s="174" t="s">
        <v>648</v>
      </c>
      <c r="C110" s="12">
        <f t="shared" si="9"/>
        <v>10077.5</v>
      </c>
      <c r="D110" s="12">
        <f t="shared" si="9"/>
        <v>9109.5</v>
      </c>
      <c r="E110" s="171">
        <v>3750</v>
      </c>
      <c r="F110" s="171">
        <v>3483.7</v>
      </c>
      <c r="G110" s="171">
        <v>3000</v>
      </c>
      <c r="H110" s="171">
        <v>2916.2</v>
      </c>
      <c r="I110" s="171">
        <v>2515</v>
      </c>
      <c r="J110" s="171">
        <v>2244.6</v>
      </c>
      <c r="K110" s="171"/>
      <c r="L110" s="171"/>
      <c r="M110" s="171"/>
      <c r="N110" s="171"/>
      <c r="O110" s="171"/>
      <c r="P110" s="171"/>
      <c r="Q110" s="171">
        <v>500</v>
      </c>
      <c r="R110" s="171">
        <v>460</v>
      </c>
      <c r="S110" s="171">
        <v>305</v>
      </c>
      <c r="T110" s="171">
        <v>5</v>
      </c>
      <c r="U110" s="12">
        <f t="shared" si="10"/>
        <v>10070</v>
      </c>
      <c r="V110" s="12">
        <f t="shared" si="10"/>
        <v>9109.5</v>
      </c>
      <c r="W110" s="171">
        <v>7.5</v>
      </c>
      <c r="X110" s="171">
        <v>0</v>
      </c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2">
        <f t="shared" si="11"/>
        <v>7.5</v>
      </c>
      <c r="AL110" s="12">
        <f t="shared" si="11"/>
        <v>0</v>
      </c>
    </row>
    <row r="111" spans="1:38" ht="18" customHeight="1">
      <c r="A111" s="104">
        <v>101</v>
      </c>
      <c r="B111" s="174" t="s">
        <v>649</v>
      </c>
      <c r="C111" s="12">
        <f t="shared" si="9"/>
        <v>11462.2</v>
      </c>
      <c r="D111" s="12">
        <f t="shared" si="9"/>
        <v>8618.099999999999</v>
      </c>
      <c r="E111" s="171">
        <v>5991.2</v>
      </c>
      <c r="F111" s="171">
        <v>5262.4</v>
      </c>
      <c r="G111" s="171">
        <v>1581</v>
      </c>
      <c r="H111" s="171">
        <v>1521.2</v>
      </c>
      <c r="I111" s="171">
        <v>2490</v>
      </c>
      <c r="J111" s="171">
        <v>1316.2</v>
      </c>
      <c r="K111" s="171"/>
      <c r="L111" s="171"/>
      <c r="M111" s="171"/>
      <c r="N111" s="171"/>
      <c r="O111" s="171"/>
      <c r="P111" s="171"/>
      <c r="Q111" s="171">
        <v>1250</v>
      </c>
      <c r="R111" s="171">
        <v>518.3</v>
      </c>
      <c r="S111" s="171">
        <v>150</v>
      </c>
      <c r="T111" s="171">
        <v>0</v>
      </c>
      <c r="U111" s="12">
        <f t="shared" si="10"/>
        <v>11462.2</v>
      </c>
      <c r="V111" s="12">
        <f t="shared" si="10"/>
        <v>8618.099999999999</v>
      </c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2">
        <f t="shared" si="11"/>
        <v>0</v>
      </c>
      <c r="AL111" s="12">
        <f t="shared" si="11"/>
        <v>0</v>
      </c>
    </row>
    <row r="112" spans="1:38" ht="18" customHeight="1">
      <c r="A112" s="104">
        <v>102</v>
      </c>
      <c r="B112" s="174" t="s">
        <v>650</v>
      </c>
      <c r="C112" s="12">
        <f t="shared" si="9"/>
        <v>9788.8</v>
      </c>
      <c r="D112" s="12">
        <f t="shared" si="9"/>
        <v>6275.8</v>
      </c>
      <c r="E112" s="171">
        <v>3360</v>
      </c>
      <c r="F112" s="171">
        <v>3360</v>
      </c>
      <c r="G112" s="171">
        <v>744</v>
      </c>
      <c r="H112" s="171">
        <v>702.8</v>
      </c>
      <c r="I112" s="171">
        <v>2700</v>
      </c>
      <c r="J112" s="171">
        <v>1998.5</v>
      </c>
      <c r="K112" s="171"/>
      <c r="L112" s="171"/>
      <c r="M112" s="171"/>
      <c r="N112" s="171"/>
      <c r="O112" s="171"/>
      <c r="P112" s="171"/>
      <c r="Q112" s="171">
        <v>417.9</v>
      </c>
      <c r="R112" s="171">
        <v>310</v>
      </c>
      <c r="S112" s="171">
        <v>450</v>
      </c>
      <c r="T112" s="171">
        <v>0</v>
      </c>
      <c r="U112" s="12">
        <f t="shared" si="10"/>
        <v>7671.9</v>
      </c>
      <c r="V112" s="12">
        <f t="shared" si="10"/>
        <v>6371.3</v>
      </c>
      <c r="W112" s="171">
        <v>2116.9</v>
      </c>
      <c r="X112" s="171">
        <v>0</v>
      </c>
      <c r="Y112" s="171"/>
      <c r="Z112" s="171"/>
      <c r="AA112" s="171"/>
      <c r="AB112" s="171"/>
      <c r="AC112" s="171"/>
      <c r="AD112" s="171"/>
      <c r="AE112" s="16">
        <v>0</v>
      </c>
      <c r="AF112" s="171">
        <f>-95.5</f>
        <v>-95.5</v>
      </c>
      <c r="AG112" s="171"/>
      <c r="AH112" s="171"/>
      <c r="AI112" s="171"/>
      <c r="AJ112" s="171"/>
      <c r="AK112" s="12">
        <f t="shared" si="11"/>
        <v>2116.9</v>
      </c>
      <c r="AL112" s="12">
        <f t="shared" si="11"/>
        <v>-95.5</v>
      </c>
    </row>
    <row r="113" spans="1:38" ht="18" customHeight="1">
      <c r="A113" s="104">
        <v>103</v>
      </c>
      <c r="B113" s="174" t="s">
        <v>651</v>
      </c>
      <c r="C113" s="12">
        <f t="shared" si="9"/>
        <v>4709.3</v>
      </c>
      <c r="D113" s="12">
        <f t="shared" si="9"/>
        <v>4397.9</v>
      </c>
      <c r="E113" s="171">
        <v>2460</v>
      </c>
      <c r="F113" s="171">
        <f>2328.6+23.5</f>
        <v>2352.1</v>
      </c>
      <c r="G113" s="171">
        <v>871.6</v>
      </c>
      <c r="H113" s="171">
        <f>764.5+531.3</f>
        <v>1295.8</v>
      </c>
      <c r="I113" s="171">
        <v>794</v>
      </c>
      <c r="J113" s="171">
        <v>750</v>
      </c>
      <c r="K113" s="171"/>
      <c r="L113" s="171"/>
      <c r="M113" s="171"/>
      <c r="N113" s="171"/>
      <c r="O113" s="171"/>
      <c r="P113" s="171"/>
      <c r="Q113" s="171"/>
      <c r="R113" s="171"/>
      <c r="S113" s="171">
        <v>514.5</v>
      </c>
      <c r="T113" s="171"/>
      <c r="U113" s="12">
        <f t="shared" si="10"/>
        <v>4640.1</v>
      </c>
      <c r="V113" s="12">
        <f t="shared" si="10"/>
        <v>4397.9</v>
      </c>
      <c r="W113" s="171">
        <v>69.2</v>
      </c>
      <c r="X113" s="171">
        <v>0</v>
      </c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2">
        <f t="shared" si="11"/>
        <v>69.2</v>
      </c>
      <c r="AL113" s="12">
        <f t="shared" si="11"/>
        <v>0</v>
      </c>
    </row>
    <row r="114" spans="1:38" ht="18" customHeight="1">
      <c r="A114" s="104">
        <v>104</v>
      </c>
      <c r="B114" s="174" t="s">
        <v>652</v>
      </c>
      <c r="C114" s="12">
        <f t="shared" si="9"/>
        <v>15318.7</v>
      </c>
      <c r="D114" s="12">
        <f t="shared" si="9"/>
        <v>8068.1</v>
      </c>
      <c r="E114" s="171">
        <v>6545</v>
      </c>
      <c r="F114" s="171">
        <v>4756.1</v>
      </c>
      <c r="G114" s="171">
        <v>5580</v>
      </c>
      <c r="H114" s="171">
        <f>1228.9+1069.6</f>
        <v>2298.5</v>
      </c>
      <c r="I114" s="171">
        <v>1990</v>
      </c>
      <c r="J114" s="171">
        <v>1085</v>
      </c>
      <c r="K114" s="171"/>
      <c r="L114" s="171"/>
      <c r="M114" s="171">
        <v>100</v>
      </c>
      <c r="N114" s="171">
        <v>0</v>
      </c>
      <c r="O114" s="171"/>
      <c r="P114" s="171"/>
      <c r="Q114" s="171">
        <v>1100</v>
      </c>
      <c r="R114" s="171">
        <v>1080</v>
      </c>
      <c r="S114" s="171">
        <v>3</v>
      </c>
      <c r="T114" s="171">
        <v>0</v>
      </c>
      <c r="U114" s="12">
        <f t="shared" si="10"/>
        <v>15318</v>
      </c>
      <c r="V114" s="12">
        <f t="shared" si="10"/>
        <v>9219.6</v>
      </c>
      <c r="W114" s="171">
        <v>0.7</v>
      </c>
      <c r="X114" s="171">
        <v>0</v>
      </c>
      <c r="Y114" s="171"/>
      <c r="Z114" s="171"/>
      <c r="AA114" s="171"/>
      <c r="AB114" s="171"/>
      <c r="AC114" s="171">
        <v>0</v>
      </c>
      <c r="AD114" s="171">
        <f>-1151.5</f>
        <v>-1151.5</v>
      </c>
      <c r="AE114" s="171"/>
      <c r="AF114" s="171"/>
      <c r="AG114" s="171"/>
      <c r="AH114" s="171"/>
      <c r="AI114" s="171"/>
      <c r="AJ114" s="171"/>
      <c r="AK114" s="12">
        <f t="shared" si="11"/>
        <v>0.7</v>
      </c>
      <c r="AL114" s="12">
        <f t="shared" si="11"/>
        <v>-1151.5</v>
      </c>
    </row>
    <row r="115" spans="1:38" ht="18" customHeight="1">
      <c r="A115" s="104">
        <v>105</v>
      </c>
      <c r="B115" s="174" t="s">
        <v>653</v>
      </c>
      <c r="C115" s="12">
        <f t="shared" si="9"/>
        <v>4994.9</v>
      </c>
      <c r="D115" s="12">
        <f t="shared" si="9"/>
        <v>4845.700000000001</v>
      </c>
      <c r="E115" s="171">
        <v>2532</v>
      </c>
      <c r="F115" s="171">
        <v>2523.4</v>
      </c>
      <c r="G115" s="171">
        <v>772</v>
      </c>
      <c r="H115" s="171">
        <v>646.3</v>
      </c>
      <c r="I115" s="171">
        <v>1245.9</v>
      </c>
      <c r="J115" s="16">
        <v>1241</v>
      </c>
      <c r="K115" s="171"/>
      <c r="L115" s="171"/>
      <c r="M115" s="171"/>
      <c r="N115" s="171"/>
      <c r="O115" s="171"/>
      <c r="P115" s="171"/>
      <c r="Q115" s="171">
        <v>410</v>
      </c>
      <c r="R115" s="171">
        <v>410</v>
      </c>
      <c r="S115" s="171">
        <v>35</v>
      </c>
      <c r="T115" s="171">
        <v>25</v>
      </c>
      <c r="U115" s="12">
        <f t="shared" si="10"/>
        <v>4994.9</v>
      </c>
      <c r="V115" s="12">
        <f t="shared" si="10"/>
        <v>4845.700000000001</v>
      </c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2">
        <f t="shared" si="11"/>
        <v>0</v>
      </c>
      <c r="AL115" s="12">
        <f t="shared" si="11"/>
        <v>0</v>
      </c>
    </row>
    <row r="116" spans="1:38" ht="18" customHeight="1">
      <c r="A116" s="104">
        <v>106</v>
      </c>
      <c r="B116" s="175" t="s">
        <v>654</v>
      </c>
      <c r="C116" s="12">
        <f t="shared" si="9"/>
        <v>11951.7</v>
      </c>
      <c r="D116" s="12">
        <f t="shared" si="9"/>
        <v>4972.7</v>
      </c>
      <c r="E116" s="171">
        <v>4466.5</v>
      </c>
      <c r="F116" s="171">
        <v>4462</v>
      </c>
      <c r="G116" s="171">
        <v>2994.1</v>
      </c>
      <c r="H116" s="171">
        <v>1437.9</v>
      </c>
      <c r="I116" s="171">
        <v>1300</v>
      </c>
      <c r="J116" s="171">
        <v>692</v>
      </c>
      <c r="K116" s="171"/>
      <c r="L116" s="171"/>
      <c r="M116" s="171"/>
      <c r="N116" s="171"/>
      <c r="O116" s="171"/>
      <c r="P116" s="171"/>
      <c r="Q116" s="171">
        <v>200</v>
      </c>
      <c r="R116" s="171">
        <v>0</v>
      </c>
      <c r="S116" s="171">
        <v>2905.1</v>
      </c>
      <c r="T116" s="171">
        <v>0</v>
      </c>
      <c r="U116" s="12">
        <f t="shared" si="10"/>
        <v>11865.7</v>
      </c>
      <c r="V116" s="12">
        <f t="shared" si="10"/>
        <v>6591.9</v>
      </c>
      <c r="W116" s="171">
        <v>86</v>
      </c>
      <c r="X116" s="171">
        <v>0</v>
      </c>
      <c r="Y116" s="171"/>
      <c r="Z116" s="171"/>
      <c r="AA116" s="171"/>
      <c r="AB116" s="171"/>
      <c r="AC116" s="171"/>
      <c r="AD116" s="171"/>
      <c r="AE116" s="171">
        <v>0</v>
      </c>
      <c r="AF116" s="171">
        <f>-1619.2</f>
        <v>-1619.2</v>
      </c>
      <c r="AG116" s="171"/>
      <c r="AH116" s="171"/>
      <c r="AI116" s="171"/>
      <c r="AJ116" s="171"/>
      <c r="AK116" s="12">
        <f t="shared" si="11"/>
        <v>86</v>
      </c>
      <c r="AL116" s="12">
        <f t="shared" si="11"/>
        <v>-1619.2</v>
      </c>
    </row>
    <row r="117" spans="1:38" ht="18" customHeight="1">
      <c r="A117" s="104">
        <v>107</v>
      </c>
      <c r="B117" s="174" t="s">
        <v>655</v>
      </c>
      <c r="C117" s="12">
        <f t="shared" si="9"/>
        <v>8638.3</v>
      </c>
      <c r="D117" s="12">
        <f t="shared" si="9"/>
        <v>6548.4</v>
      </c>
      <c r="E117" s="171">
        <v>4704</v>
      </c>
      <c r="F117" s="171">
        <v>4056.2</v>
      </c>
      <c r="G117" s="171">
        <v>1660</v>
      </c>
      <c r="H117" s="171">
        <v>1407.2</v>
      </c>
      <c r="I117" s="171">
        <v>1130</v>
      </c>
      <c r="J117" s="171">
        <v>960</v>
      </c>
      <c r="K117" s="171"/>
      <c r="L117" s="171"/>
      <c r="M117" s="171"/>
      <c r="N117" s="171"/>
      <c r="O117" s="171"/>
      <c r="P117" s="171"/>
      <c r="Q117" s="171">
        <v>100</v>
      </c>
      <c r="R117" s="171">
        <v>0</v>
      </c>
      <c r="S117" s="171">
        <v>200</v>
      </c>
      <c r="T117" s="171">
        <v>0</v>
      </c>
      <c r="U117" s="12">
        <f t="shared" si="10"/>
        <v>7794</v>
      </c>
      <c r="V117" s="12">
        <f t="shared" si="10"/>
        <v>6423.4</v>
      </c>
      <c r="W117" s="171">
        <v>844.3</v>
      </c>
      <c r="X117" s="171">
        <v>125</v>
      </c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2">
        <f t="shared" si="11"/>
        <v>844.3</v>
      </c>
      <c r="AL117" s="12">
        <f t="shared" si="11"/>
        <v>125</v>
      </c>
    </row>
    <row r="118" spans="1:38" ht="18" customHeight="1">
      <c r="A118" s="104">
        <v>108</v>
      </c>
      <c r="B118" s="174" t="s">
        <v>656</v>
      </c>
      <c r="C118" s="12">
        <f t="shared" si="9"/>
        <v>5640.099999999999</v>
      </c>
      <c r="D118" s="12">
        <f t="shared" si="9"/>
        <v>5405.9</v>
      </c>
      <c r="E118" s="171">
        <v>2640</v>
      </c>
      <c r="F118" s="171">
        <v>2640</v>
      </c>
      <c r="G118" s="171">
        <v>788</v>
      </c>
      <c r="H118" s="171">
        <v>788</v>
      </c>
      <c r="I118" s="171">
        <v>1440</v>
      </c>
      <c r="J118" s="171">
        <v>1359</v>
      </c>
      <c r="K118" s="171"/>
      <c r="L118" s="171"/>
      <c r="M118" s="171"/>
      <c r="N118" s="171"/>
      <c r="O118" s="171"/>
      <c r="P118" s="171"/>
      <c r="Q118" s="171">
        <v>150</v>
      </c>
      <c r="R118" s="171">
        <v>150</v>
      </c>
      <c r="S118" s="171">
        <v>170.4</v>
      </c>
      <c r="T118" s="171">
        <v>17.2</v>
      </c>
      <c r="U118" s="12">
        <f t="shared" si="10"/>
        <v>5188.4</v>
      </c>
      <c r="V118" s="12">
        <f t="shared" si="10"/>
        <v>4954.2</v>
      </c>
      <c r="W118" s="171">
        <v>451.7</v>
      </c>
      <c r="X118" s="171">
        <v>451.7</v>
      </c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2">
        <f t="shared" si="11"/>
        <v>451.7</v>
      </c>
      <c r="AL118" s="12">
        <f t="shared" si="11"/>
        <v>451.7</v>
      </c>
    </row>
    <row r="119" spans="1:38" ht="18" customHeight="1">
      <c r="A119" s="104">
        <v>109</v>
      </c>
      <c r="B119" s="182" t="s">
        <v>657</v>
      </c>
      <c r="C119" s="12">
        <f t="shared" si="9"/>
        <v>17000.199999999997</v>
      </c>
      <c r="D119" s="12">
        <f t="shared" si="9"/>
        <v>6654.400000000001</v>
      </c>
      <c r="E119" s="171">
        <v>8567.3</v>
      </c>
      <c r="F119" s="171">
        <f>3588.4+2102.3</f>
        <v>5690.700000000001</v>
      </c>
      <c r="G119" s="171">
        <v>7571.4</v>
      </c>
      <c r="H119" s="171">
        <v>1107.4</v>
      </c>
      <c r="I119" s="171">
        <v>330</v>
      </c>
      <c r="J119" s="171">
        <v>30.1</v>
      </c>
      <c r="K119" s="171"/>
      <c r="L119" s="171"/>
      <c r="M119" s="171"/>
      <c r="N119" s="171"/>
      <c r="O119" s="171"/>
      <c r="P119" s="171"/>
      <c r="Q119" s="171">
        <v>100</v>
      </c>
      <c r="R119" s="171">
        <v>0</v>
      </c>
      <c r="S119" s="171">
        <v>431.5</v>
      </c>
      <c r="T119" s="171">
        <v>0</v>
      </c>
      <c r="U119" s="12">
        <f t="shared" si="10"/>
        <v>17000.199999999997</v>
      </c>
      <c r="V119" s="12">
        <f t="shared" si="10"/>
        <v>6828.200000000001</v>
      </c>
      <c r="W119" s="171">
        <v>100</v>
      </c>
      <c r="X119" s="171">
        <v>0</v>
      </c>
      <c r="Y119" s="171"/>
      <c r="Z119" s="171"/>
      <c r="AA119" s="171"/>
      <c r="AB119" s="171"/>
      <c r="AC119" s="171"/>
      <c r="AD119" s="171"/>
      <c r="AE119" s="171">
        <f>-100</f>
        <v>-100</v>
      </c>
      <c r="AF119" s="171">
        <f>-173.8</f>
        <v>-173.8</v>
      </c>
      <c r="AG119" s="171"/>
      <c r="AH119" s="171"/>
      <c r="AI119" s="171"/>
      <c r="AJ119" s="171"/>
      <c r="AK119" s="12">
        <f t="shared" si="11"/>
        <v>0</v>
      </c>
      <c r="AL119" s="12">
        <f t="shared" si="11"/>
        <v>-173.8</v>
      </c>
    </row>
    <row r="120" spans="1:38" ht="18" customHeight="1">
      <c r="A120" s="104">
        <v>110</v>
      </c>
      <c r="B120" s="168" t="s">
        <v>658</v>
      </c>
      <c r="C120" s="12">
        <f t="shared" si="9"/>
        <v>19461.8</v>
      </c>
      <c r="D120" s="12">
        <f t="shared" si="9"/>
        <v>11549.9</v>
      </c>
      <c r="E120" s="171">
        <v>7368</v>
      </c>
      <c r="F120" s="171">
        <v>6469.5</v>
      </c>
      <c r="G120" s="171">
        <v>7555.2</v>
      </c>
      <c r="H120" s="171">
        <v>4043.5</v>
      </c>
      <c r="I120" s="171">
        <v>1010</v>
      </c>
      <c r="J120" s="171">
        <v>684.7</v>
      </c>
      <c r="K120" s="171"/>
      <c r="L120" s="171"/>
      <c r="M120" s="171"/>
      <c r="N120" s="171"/>
      <c r="O120" s="171"/>
      <c r="P120" s="171"/>
      <c r="Q120" s="171">
        <v>300</v>
      </c>
      <c r="R120" s="171">
        <v>300</v>
      </c>
      <c r="S120" s="171">
        <v>976.3</v>
      </c>
      <c r="T120" s="171">
        <v>676.3</v>
      </c>
      <c r="U120" s="12">
        <f t="shared" si="10"/>
        <v>17209.5</v>
      </c>
      <c r="V120" s="12">
        <f t="shared" si="10"/>
        <v>12174</v>
      </c>
      <c r="W120" s="171">
        <v>2252.3</v>
      </c>
      <c r="X120" s="171"/>
      <c r="Y120" s="171"/>
      <c r="Z120" s="171"/>
      <c r="AA120" s="171"/>
      <c r="AB120" s="171"/>
      <c r="AC120" s="171"/>
      <c r="AD120" s="171"/>
      <c r="AE120" s="171">
        <v>0</v>
      </c>
      <c r="AF120" s="171">
        <f>-624.1</f>
        <v>-624.1</v>
      </c>
      <c r="AG120" s="171"/>
      <c r="AH120" s="171"/>
      <c r="AI120" s="171"/>
      <c r="AJ120" s="171"/>
      <c r="AK120" s="12">
        <f t="shared" si="11"/>
        <v>2252.3</v>
      </c>
      <c r="AL120" s="12">
        <f t="shared" si="11"/>
        <v>-624.1</v>
      </c>
    </row>
    <row r="121" spans="1:38" ht="18" customHeight="1">
      <c r="A121" s="104">
        <v>111</v>
      </c>
      <c r="B121" s="168" t="s">
        <v>659</v>
      </c>
      <c r="C121" s="12">
        <f t="shared" si="9"/>
        <v>8035.6</v>
      </c>
      <c r="D121" s="12">
        <f t="shared" si="9"/>
        <v>4649.9</v>
      </c>
      <c r="E121" s="171">
        <v>2700</v>
      </c>
      <c r="F121" s="171">
        <v>2451.3</v>
      </c>
      <c r="G121" s="171">
        <v>4103.2</v>
      </c>
      <c r="H121" s="171">
        <v>1508.1</v>
      </c>
      <c r="I121" s="171">
        <v>962.4</v>
      </c>
      <c r="J121" s="171">
        <v>645.5</v>
      </c>
      <c r="K121" s="171"/>
      <c r="L121" s="171"/>
      <c r="M121" s="171"/>
      <c r="N121" s="171"/>
      <c r="O121" s="171"/>
      <c r="P121" s="171"/>
      <c r="Q121" s="171">
        <v>50</v>
      </c>
      <c r="R121" s="171">
        <v>45</v>
      </c>
      <c r="S121" s="171">
        <v>220</v>
      </c>
      <c r="T121" s="171">
        <v>0</v>
      </c>
      <c r="U121" s="12">
        <f t="shared" si="10"/>
        <v>8035.6</v>
      </c>
      <c r="V121" s="12">
        <f t="shared" si="10"/>
        <v>4649.9</v>
      </c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2">
        <f t="shared" si="11"/>
        <v>0</v>
      </c>
      <c r="AL121" s="12">
        <f t="shared" si="11"/>
        <v>0</v>
      </c>
    </row>
    <row r="122" spans="1:38" ht="18" customHeight="1">
      <c r="A122" s="104">
        <v>112</v>
      </c>
      <c r="B122" s="168" t="s">
        <v>660</v>
      </c>
      <c r="C122" s="12">
        <f t="shared" si="9"/>
        <v>7870.4</v>
      </c>
      <c r="D122" s="12">
        <f t="shared" si="9"/>
        <v>5260.7</v>
      </c>
      <c r="E122" s="171">
        <v>5420</v>
      </c>
      <c r="F122" s="171">
        <v>3889.2</v>
      </c>
      <c r="G122" s="171">
        <v>1414.4</v>
      </c>
      <c r="H122" s="171">
        <v>700.5</v>
      </c>
      <c r="I122" s="171">
        <v>736</v>
      </c>
      <c r="J122" s="171">
        <v>371</v>
      </c>
      <c r="K122" s="171"/>
      <c r="L122" s="171"/>
      <c r="M122" s="171"/>
      <c r="N122" s="171"/>
      <c r="O122" s="171"/>
      <c r="P122" s="171"/>
      <c r="Q122" s="171">
        <v>300</v>
      </c>
      <c r="R122" s="171">
        <v>300</v>
      </c>
      <c r="S122" s="171"/>
      <c r="T122" s="171"/>
      <c r="U122" s="12">
        <f t="shared" si="10"/>
        <v>7870.4</v>
      </c>
      <c r="V122" s="12">
        <f t="shared" si="10"/>
        <v>5260.7</v>
      </c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2">
        <f t="shared" si="11"/>
        <v>0</v>
      </c>
      <c r="AL122" s="12">
        <f t="shared" si="11"/>
        <v>0</v>
      </c>
    </row>
    <row r="123" spans="1:38" ht="18" customHeight="1">
      <c r="A123" s="104">
        <v>113</v>
      </c>
      <c r="B123" s="168" t="s">
        <v>661</v>
      </c>
      <c r="C123" s="12">
        <f t="shared" si="9"/>
        <v>5831</v>
      </c>
      <c r="D123" s="12">
        <f t="shared" si="9"/>
        <v>5454.1</v>
      </c>
      <c r="E123" s="171">
        <v>4483</v>
      </c>
      <c r="F123" s="171">
        <v>4483</v>
      </c>
      <c r="G123" s="171">
        <v>833</v>
      </c>
      <c r="H123" s="171">
        <v>831.1</v>
      </c>
      <c r="I123" s="171">
        <v>460</v>
      </c>
      <c r="J123" s="171">
        <v>90</v>
      </c>
      <c r="K123" s="171"/>
      <c r="L123" s="171"/>
      <c r="M123" s="171"/>
      <c r="N123" s="171"/>
      <c r="O123" s="171"/>
      <c r="P123" s="171"/>
      <c r="Q123" s="171"/>
      <c r="R123" s="171"/>
      <c r="S123" s="171">
        <v>5</v>
      </c>
      <c r="T123" s="171"/>
      <c r="U123" s="12">
        <f t="shared" si="10"/>
        <v>5781</v>
      </c>
      <c r="V123" s="12">
        <f t="shared" si="10"/>
        <v>5404.1</v>
      </c>
      <c r="W123" s="171">
        <v>50</v>
      </c>
      <c r="X123" s="171">
        <v>50</v>
      </c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2">
        <f t="shared" si="11"/>
        <v>50</v>
      </c>
      <c r="AL123" s="12">
        <f t="shared" si="11"/>
        <v>50</v>
      </c>
    </row>
    <row r="124" spans="1:38" ht="18" customHeight="1">
      <c r="A124" s="104">
        <v>114</v>
      </c>
      <c r="B124" s="168" t="s">
        <v>662</v>
      </c>
      <c r="C124" s="12">
        <f t="shared" si="9"/>
        <v>6601.7</v>
      </c>
      <c r="D124" s="12">
        <f t="shared" si="9"/>
        <v>3242.2</v>
      </c>
      <c r="E124" s="171">
        <v>5361.7</v>
      </c>
      <c r="F124" s="171">
        <v>2452.2</v>
      </c>
      <c r="G124" s="171">
        <v>700</v>
      </c>
      <c r="H124" s="171">
        <v>700</v>
      </c>
      <c r="I124" s="171">
        <v>200</v>
      </c>
      <c r="J124" s="171">
        <v>70</v>
      </c>
      <c r="K124" s="171"/>
      <c r="L124" s="171"/>
      <c r="M124" s="171"/>
      <c r="N124" s="171"/>
      <c r="O124" s="171"/>
      <c r="P124" s="171"/>
      <c r="Q124" s="171"/>
      <c r="R124" s="171"/>
      <c r="S124" s="171">
        <v>340</v>
      </c>
      <c r="T124" s="171">
        <v>20</v>
      </c>
      <c r="U124" s="12">
        <f t="shared" si="10"/>
        <v>6601.7</v>
      </c>
      <c r="V124" s="12">
        <f t="shared" si="10"/>
        <v>3242.2</v>
      </c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2">
        <f t="shared" si="11"/>
        <v>0</v>
      </c>
      <c r="AL124" s="12">
        <f t="shared" si="11"/>
        <v>0</v>
      </c>
    </row>
    <row r="125" spans="1:38" ht="18" customHeight="1">
      <c r="A125" s="104">
        <v>115</v>
      </c>
      <c r="B125" s="168" t="s">
        <v>663</v>
      </c>
      <c r="C125" s="12">
        <f t="shared" si="9"/>
        <v>18418.6</v>
      </c>
      <c r="D125" s="12">
        <f t="shared" si="9"/>
        <v>3123.1</v>
      </c>
      <c r="E125" s="171">
        <v>8011.3</v>
      </c>
      <c r="F125" s="171">
        <v>2512</v>
      </c>
      <c r="G125" s="171">
        <v>8347.3</v>
      </c>
      <c r="H125" s="171">
        <v>446.1</v>
      </c>
      <c r="I125" s="171">
        <v>1010</v>
      </c>
      <c r="J125" s="171">
        <v>165</v>
      </c>
      <c r="K125" s="171"/>
      <c r="L125" s="171"/>
      <c r="M125" s="171"/>
      <c r="N125" s="171"/>
      <c r="O125" s="171"/>
      <c r="P125" s="171"/>
      <c r="Q125" s="171"/>
      <c r="R125" s="171"/>
      <c r="S125" s="171">
        <v>1050</v>
      </c>
      <c r="T125" s="171">
        <v>0</v>
      </c>
      <c r="U125" s="12">
        <f t="shared" si="10"/>
        <v>18418.6</v>
      </c>
      <c r="V125" s="12">
        <f t="shared" si="10"/>
        <v>3123.1</v>
      </c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2">
        <f t="shared" si="11"/>
        <v>0</v>
      </c>
      <c r="AL125" s="12">
        <f t="shared" si="11"/>
        <v>0</v>
      </c>
    </row>
    <row r="126" spans="1:38" ht="18" customHeight="1">
      <c r="A126" s="104">
        <v>116</v>
      </c>
      <c r="B126" s="168" t="s">
        <v>664</v>
      </c>
      <c r="C126" s="12">
        <f t="shared" si="9"/>
        <v>10270.4</v>
      </c>
      <c r="D126" s="12">
        <f t="shared" si="9"/>
        <v>4929.799999999999</v>
      </c>
      <c r="E126" s="171">
        <v>3059.1</v>
      </c>
      <c r="F126" s="171">
        <v>3033.2</v>
      </c>
      <c r="G126" s="171">
        <v>3313.7</v>
      </c>
      <c r="H126" s="171">
        <v>602.4</v>
      </c>
      <c r="I126" s="171">
        <v>2897.6</v>
      </c>
      <c r="J126" s="171">
        <v>995.2</v>
      </c>
      <c r="K126" s="171"/>
      <c r="L126" s="171"/>
      <c r="M126" s="171"/>
      <c r="N126" s="171"/>
      <c r="O126" s="171"/>
      <c r="P126" s="171"/>
      <c r="Q126" s="171">
        <v>300</v>
      </c>
      <c r="R126" s="171">
        <v>299</v>
      </c>
      <c r="S126" s="171">
        <v>700</v>
      </c>
      <c r="T126" s="171">
        <v>0</v>
      </c>
      <c r="U126" s="12">
        <f t="shared" si="10"/>
        <v>10270.4</v>
      </c>
      <c r="V126" s="12">
        <f t="shared" si="10"/>
        <v>4929.799999999999</v>
      </c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2">
        <f t="shared" si="11"/>
        <v>0</v>
      </c>
      <c r="AL126" s="12">
        <f t="shared" si="11"/>
        <v>0</v>
      </c>
    </row>
    <row r="127" spans="1:38" s="181" customFormat="1" ht="18" customHeight="1">
      <c r="A127" s="104">
        <v>117</v>
      </c>
      <c r="B127" s="168" t="s">
        <v>665</v>
      </c>
      <c r="C127" s="179">
        <f t="shared" si="9"/>
        <v>14783.3</v>
      </c>
      <c r="D127" s="179">
        <f t="shared" si="9"/>
        <v>6985.3</v>
      </c>
      <c r="E127" s="173">
        <v>7728</v>
      </c>
      <c r="F127" s="173">
        <v>5392.1</v>
      </c>
      <c r="G127" s="173">
        <v>4255</v>
      </c>
      <c r="H127" s="173">
        <v>783.7</v>
      </c>
      <c r="I127" s="173">
        <v>1370</v>
      </c>
      <c r="J127" s="173">
        <v>808</v>
      </c>
      <c r="K127" s="173"/>
      <c r="L127" s="173"/>
      <c r="M127" s="173"/>
      <c r="N127" s="173"/>
      <c r="O127" s="173"/>
      <c r="P127" s="173"/>
      <c r="Q127" s="173"/>
      <c r="R127" s="173"/>
      <c r="S127" s="173">
        <v>1094</v>
      </c>
      <c r="T127" s="173">
        <v>25</v>
      </c>
      <c r="U127" s="179">
        <f t="shared" si="10"/>
        <v>14447</v>
      </c>
      <c r="V127" s="179">
        <f t="shared" si="10"/>
        <v>7008.8</v>
      </c>
      <c r="W127" s="173">
        <v>336.3</v>
      </c>
      <c r="X127" s="173">
        <v>182.5</v>
      </c>
      <c r="Y127" s="173"/>
      <c r="Z127" s="173"/>
      <c r="AA127" s="173"/>
      <c r="AB127" s="173"/>
      <c r="AC127" s="173"/>
      <c r="AD127" s="173"/>
      <c r="AE127" s="173">
        <v>0</v>
      </c>
      <c r="AF127" s="173">
        <f>-206</f>
        <v>-206</v>
      </c>
      <c r="AG127" s="173"/>
      <c r="AH127" s="173"/>
      <c r="AI127" s="173"/>
      <c r="AJ127" s="173"/>
      <c r="AK127" s="179">
        <f t="shared" si="11"/>
        <v>336.3</v>
      </c>
      <c r="AL127" s="179">
        <f t="shared" si="11"/>
        <v>-23.5</v>
      </c>
    </row>
    <row r="128" spans="1:38" ht="18" customHeight="1">
      <c r="A128" s="104">
        <v>118</v>
      </c>
      <c r="B128" s="168" t="s">
        <v>666</v>
      </c>
      <c r="C128" s="12">
        <f t="shared" si="9"/>
        <v>4426.9</v>
      </c>
      <c r="D128" s="12">
        <f t="shared" si="9"/>
        <v>4401</v>
      </c>
      <c r="E128" s="171">
        <v>2592</v>
      </c>
      <c r="F128" s="171">
        <v>2583</v>
      </c>
      <c r="G128" s="171">
        <v>687.5</v>
      </c>
      <c r="H128" s="171">
        <v>687.5</v>
      </c>
      <c r="I128" s="171">
        <v>828.1</v>
      </c>
      <c r="J128" s="171">
        <v>816.7</v>
      </c>
      <c r="K128" s="171"/>
      <c r="L128" s="171"/>
      <c r="M128" s="171"/>
      <c r="N128" s="171"/>
      <c r="O128" s="171"/>
      <c r="P128" s="171"/>
      <c r="Q128" s="171">
        <v>269.3</v>
      </c>
      <c r="R128" s="171">
        <v>269.3</v>
      </c>
      <c r="S128" s="171">
        <v>50</v>
      </c>
      <c r="T128" s="171">
        <v>44.5</v>
      </c>
      <c r="U128" s="12">
        <f t="shared" si="10"/>
        <v>4426.9</v>
      </c>
      <c r="V128" s="12">
        <f t="shared" si="10"/>
        <v>4401</v>
      </c>
      <c r="W128" s="171">
        <v>52.8</v>
      </c>
      <c r="X128" s="171">
        <v>52.8</v>
      </c>
      <c r="Y128" s="171"/>
      <c r="Z128" s="171"/>
      <c r="AA128" s="171"/>
      <c r="AB128" s="171"/>
      <c r="AC128" s="171"/>
      <c r="AD128" s="171"/>
      <c r="AE128" s="171">
        <f>-52.8</f>
        <v>-52.8</v>
      </c>
      <c r="AF128" s="171">
        <f>-52.8</f>
        <v>-52.8</v>
      </c>
      <c r="AG128" s="171"/>
      <c r="AH128" s="171"/>
      <c r="AI128" s="171"/>
      <c r="AJ128" s="171"/>
      <c r="AK128" s="12">
        <f t="shared" si="11"/>
        <v>0</v>
      </c>
      <c r="AL128" s="12">
        <f t="shared" si="11"/>
        <v>0</v>
      </c>
    </row>
    <row r="129" spans="1:38" ht="18" customHeight="1">
      <c r="A129" s="104">
        <v>119</v>
      </c>
      <c r="B129" s="168" t="s">
        <v>667</v>
      </c>
      <c r="C129" s="12">
        <f t="shared" si="9"/>
        <v>8277.1</v>
      </c>
      <c r="D129" s="12">
        <f t="shared" si="9"/>
        <v>5796.5</v>
      </c>
      <c r="E129" s="171">
        <v>4074</v>
      </c>
      <c r="F129" s="171">
        <v>4074</v>
      </c>
      <c r="G129" s="171">
        <v>3253.1</v>
      </c>
      <c r="H129" s="171">
        <v>1047.5</v>
      </c>
      <c r="I129" s="171">
        <v>390</v>
      </c>
      <c r="J129" s="171">
        <v>305</v>
      </c>
      <c r="K129" s="171"/>
      <c r="L129" s="171"/>
      <c r="M129" s="171"/>
      <c r="N129" s="171"/>
      <c r="O129" s="171">
        <v>360</v>
      </c>
      <c r="P129" s="171">
        <v>170</v>
      </c>
      <c r="Q129" s="171">
        <v>200</v>
      </c>
      <c r="R129" s="171">
        <v>200</v>
      </c>
      <c r="S129" s="171"/>
      <c r="T129" s="171"/>
      <c r="U129" s="12">
        <f t="shared" si="10"/>
        <v>8277.1</v>
      </c>
      <c r="V129" s="12">
        <f t="shared" si="10"/>
        <v>5796.5</v>
      </c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2">
        <f t="shared" si="11"/>
        <v>0</v>
      </c>
      <c r="AL129" s="12">
        <f t="shared" si="11"/>
        <v>0</v>
      </c>
    </row>
    <row r="130" spans="1:38" ht="26.25" customHeight="1">
      <c r="A130" s="582" t="s">
        <v>207</v>
      </c>
      <c r="B130" s="582"/>
      <c r="C130" s="47">
        <f>SUM(C11:C129)</f>
        <v>5600611.776400003</v>
      </c>
      <c r="D130" s="47">
        <f>SUM(D11:D129)</f>
        <v>4845972.138999996</v>
      </c>
      <c r="E130" s="47">
        <f aca="true" t="shared" si="12" ref="E130:N130">SUM(E11:E129)</f>
        <v>1497960.8731000002</v>
      </c>
      <c r="F130" s="47">
        <f t="shared" si="12"/>
        <v>1435187.3339999996</v>
      </c>
      <c r="G130" s="47">
        <f t="shared" si="12"/>
        <v>388725.4001</v>
      </c>
      <c r="H130" s="47">
        <f t="shared" si="12"/>
        <v>339965.7850000001</v>
      </c>
      <c r="I130" s="47">
        <f t="shared" si="12"/>
        <v>1379017.5274000005</v>
      </c>
      <c r="J130" s="47">
        <f t="shared" si="12"/>
        <v>1219856.6849999996</v>
      </c>
      <c r="K130" s="47">
        <f t="shared" si="12"/>
        <v>0</v>
      </c>
      <c r="L130" s="47">
        <f t="shared" si="12"/>
        <v>0</v>
      </c>
      <c r="M130" s="47">
        <f t="shared" si="12"/>
        <v>1201964.0599999998</v>
      </c>
      <c r="N130" s="47">
        <f t="shared" si="12"/>
        <v>1181271.0650000002</v>
      </c>
      <c r="O130" s="47">
        <f>SUM(O11:O129)</f>
        <v>38564.5</v>
      </c>
      <c r="P130" s="47">
        <f aca="true" t="shared" si="13" ref="P130:V130">SUM(P11:P129)</f>
        <v>28713.6</v>
      </c>
      <c r="Q130" s="47">
        <f t="shared" si="13"/>
        <v>215571.39999999994</v>
      </c>
      <c r="R130" s="47">
        <f t="shared" si="13"/>
        <v>196529.09499999994</v>
      </c>
      <c r="S130" s="47">
        <f t="shared" si="13"/>
        <v>115126.5</v>
      </c>
      <c r="T130" s="47">
        <f t="shared" si="13"/>
        <v>51555.700000000004</v>
      </c>
      <c r="U130" s="47">
        <f t="shared" si="13"/>
        <v>4836930.260600002</v>
      </c>
      <c r="V130" s="47">
        <f t="shared" si="13"/>
        <v>4453079.264000001</v>
      </c>
      <c r="W130" s="47">
        <f>SUM(W11:W129)</f>
        <v>1498309.3158</v>
      </c>
      <c r="X130" s="47">
        <f>SUM(X11:X129)</f>
        <v>759635.4749999999</v>
      </c>
      <c r="Y130" s="47">
        <f>SUM(Y11:Y129)</f>
        <v>350</v>
      </c>
      <c r="Z130" s="47">
        <f>SUM(Z11:Z129)</f>
        <v>350</v>
      </c>
      <c r="AA130" s="47">
        <f aca="true" t="shared" si="14" ref="AA130:AL130">SUM(AA11:AA129)</f>
        <v>0</v>
      </c>
      <c r="AB130" s="47">
        <f t="shared" si="14"/>
        <v>0</v>
      </c>
      <c r="AC130" s="47">
        <f t="shared" si="14"/>
        <v>-143077.3</v>
      </c>
      <c r="AD130" s="47">
        <f t="shared" si="14"/>
        <v>-80070.2</v>
      </c>
      <c r="AE130" s="47">
        <f t="shared" si="14"/>
        <v>-591900.4999999999</v>
      </c>
      <c r="AF130" s="47">
        <f t="shared" si="14"/>
        <v>-287022.3999999999</v>
      </c>
      <c r="AG130" s="47">
        <f t="shared" si="14"/>
        <v>0</v>
      </c>
      <c r="AH130" s="47">
        <f t="shared" si="14"/>
        <v>0</v>
      </c>
      <c r="AI130" s="47">
        <f t="shared" si="14"/>
        <v>0</v>
      </c>
      <c r="AJ130" s="47">
        <f t="shared" si="14"/>
        <v>0</v>
      </c>
      <c r="AK130" s="47">
        <f t="shared" si="14"/>
        <v>763681.5158000003</v>
      </c>
      <c r="AL130" s="183">
        <f t="shared" si="14"/>
        <v>392892.8750000001</v>
      </c>
    </row>
    <row r="131" spans="3:37" ht="16.5" customHeight="1">
      <c r="C131" s="4"/>
      <c r="V131" s="42"/>
      <c r="AC131" s="41"/>
      <c r="AD131" s="42"/>
      <c r="AK131" s="4"/>
    </row>
    <row r="132" spans="3:37" ht="16.5" customHeight="1">
      <c r="C132" s="4"/>
      <c r="D132" s="4"/>
      <c r="V132" s="42"/>
      <c r="AK132" s="4"/>
    </row>
    <row r="133" ht="16.5" customHeight="1">
      <c r="AK133" s="4"/>
    </row>
    <row r="134" spans="37:38" ht="16.5" customHeight="1">
      <c r="AK134" s="4"/>
      <c r="AL134" s="4"/>
    </row>
    <row r="135" ht="16.5" customHeight="1">
      <c r="AK135" s="4"/>
    </row>
    <row r="136" ht="16.5" customHeight="1">
      <c r="AK136" s="4"/>
    </row>
    <row r="137" ht="16.5" customHeight="1">
      <c r="AK137" s="4"/>
    </row>
    <row r="138" ht="16.5" customHeight="1">
      <c r="AK138" s="4"/>
    </row>
    <row r="139" ht="16.5" customHeight="1">
      <c r="AK139" s="4"/>
    </row>
    <row r="140" ht="16.5" customHeight="1">
      <c r="AK140" s="4"/>
    </row>
    <row r="141" ht="16.5" customHeight="1">
      <c r="AK141" s="4"/>
    </row>
    <row r="142" ht="16.5" customHeight="1">
      <c r="AK142" s="4"/>
    </row>
    <row r="143" ht="16.5" customHeight="1">
      <c r="AK143" s="4"/>
    </row>
    <row r="144" ht="16.5" customHeight="1">
      <c r="AK144" s="4"/>
    </row>
    <row r="145" ht="16.5" customHeight="1">
      <c r="AK145" s="4"/>
    </row>
    <row r="146" ht="16.5" customHeight="1">
      <c r="AK146" s="4"/>
    </row>
    <row r="147" ht="16.5" customHeight="1">
      <c r="AK147" s="4"/>
    </row>
    <row r="148" ht="16.5" customHeight="1">
      <c r="AK148" s="4"/>
    </row>
    <row r="149" ht="16.5" customHeight="1">
      <c r="AK149" s="4"/>
    </row>
    <row r="150" ht="16.5" customHeight="1">
      <c r="AK150" s="4"/>
    </row>
    <row r="151" ht="16.5" customHeight="1">
      <c r="AK151" s="4"/>
    </row>
    <row r="152" ht="16.5" customHeight="1">
      <c r="AK152" s="4"/>
    </row>
    <row r="153" ht="16.5" customHeight="1">
      <c r="AK153" s="4"/>
    </row>
    <row r="154" ht="16.5" customHeight="1">
      <c r="AK154" s="4"/>
    </row>
    <row r="155" ht="16.5" customHeight="1">
      <c r="AK155" s="4"/>
    </row>
    <row r="156" ht="16.5" customHeight="1">
      <c r="AK156" s="4"/>
    </row>
    <row r="157" ht="16.5" customHeight="1">
      <c r="AK157" s="4"/>
    </row>
    <row r="158" ht="16.5" customHeight="1">
      <c r="AK158" s="4"/>
    </row>
    <row r="159" ht="16.5" customHeight="1">
      <c r="AK159" s="4"/>
    </row>
    <row r="160" ht="16.5" customHeight="1">
      <c r="AK160" s="4"/>
    </row>
    <row r="161" ht="16.5" customHeight="1">
      <c r="AK161" s="4"/>
    </row>
    <row r="162" ht="16.5" customHeight="1">
      <c r="AK162" s="4"/>
    </row>
    <row r="163" ht="16.5" customHeight="1">
      <c r="AK163" s="4"/>
    </row>
    <row r="164" ht="16.5" customHeight="1">
      <c r="AK164" s="4"/>
    </row>
    <row r="165" ht="16.5" customHeight="1">
      <c r="AK165" s="4"/>
    </row>
    <row r="166" ht="16.5" customHeight="1">
      <c r="AK166" s="4"/>
    </row>
    <row r="167" ht="16.5" customHeight="1">
      <c r="AK167" s="4"/>
    </row>
    <row r="168" ht="16.5" customHeight="1">
      <c r="AK168" s="4"/>
    </row>
    <row r="169" ht="16.5" customHeight="1">
      <c r="AK169" s="4"/>
    </row>
    <row r="170" ht="16.5" customHeight="1">
      <c r="AK170" s="4"/>
    </row>
    <row r="171" ht="16.5" customHeight="1">
      <c r="AK171" s="4"/>
    </row>
    <row r="172" ht="16.5" customHeight="1">
      <c r="AK172" s="4"/>
    </row>
    <row r="173" ht="16.5" customHeight="1">
      <c r="AK173" s="4"/>
    </row>
    <row r="174" ht="16.5" customHeight="1">
      <c r="AK174" s="4"/>
    </row>
    <row r="175" ht="16.5" customHeight="1">
      <c r="AK175" s="4"/>
    </row>
    <row r="176" ht="16.5" customHeight="1">
      <c r="AK176" s="4"/>
    </row>
    <row r="177" ht="16.5" customHeight="1">
      <c r="AK177" s="4"/>
    </row>
    <row r="178" ht="16.5" customHeight="1">
      <c r="AK178" s="4"/>
    </row>
    <row r="179" ht="16.5" customHeight="1">
      <c r="AK179" s="4"/>
    </row>
    <row r="180" ht="16.5" customHeight="1">
      <c r="AK180" s="4"/>
    </row>
    <row r="181" ht="16.5" customHeight="1">
      <c r="AK181" s="4"/>
    </row>
    <row r="182" ht="16.5" customHeight="1">
      <c r="AK182" s="4"/>
    </row>
    <row r="183" ht="16.5" customHeight="1">
      <c r="AK183" s="4"/>
    </row>
    <row r="184" ht="16.5" customHeight="1">
      <c r="AK184" s="4"/>
    </row>
    <row r="185" ht="16.5" customHeight="1">
      <c r="AK185" s="4"/>
    </row>
    <row r="186" ht="16.5" customHeight="1">
      <c r="AK186" s="4"/>
    </row>
    <row r="187" ht="16.5" customHeight="1">
      <c r="AK187" s="4"/>
    </row>
    <row r="188" ht="16.5" customHeight="1">
      <c r="AK188" s="4"/>
    </row>
    <row r="189" ht="16.5" customHeight="1">
      <c r="AK189" s="4"/>
    </row>
    <row r="190" ht="16.5" customHeight="1">
      <c r="AK190" s="4"/>
    </row>
    <row r="191" ht="16.5" customHeight="1">
      <c r="AK191" s="4"/>
    </row>
    <row r="192" ht="16.5" customHeight="1">
      <c r="AK192" s="4"/>
    </row>
    <row r="193" ht="16.5" customHeight="1">
      <c r="AK193" s="4"/>
    </row>
    <row r="194" ht="16.5" customHeight="1">
      <c r="AK194" s="4"/>
    </row>
    <row r="195" ht="16.5" customHeight="1">
      <c r="AK195" s="4"/>
    </row>
    <row r="196" ht="16.5" customHeight="1">
      <c r="AK196" s="4"/>
    </row>
    <row r="197" ht="16.5" customHeight="1">
      <c r="AK197" s="4"/>
    </row>
    <row r="198" ht="16.5" customHeight="1">
      <c r="AK198" s="4"/>
    </row>
    <row r="199" ht="16.5" customHeight="1">
      <c r="AK199" s="4"/>
    </row>
    <row r="200" ht="16.5" customHeight="1">
      <c r="AK200" s="4"/>
    </row>
    <row r="201" ht="16.5" customHeight="1">
      <c r="AK201" s="4"/>
    </row>
    <row r="202" ht="16.5" customHeight="1">
      <c r="AK202" s="4"/>
    </row>
    <row r="203" ht="16.5" customHeight="1">
      <c r="AK203" s="4"/>
    </row>
    <row r="204" ht="16.5" customHeight="1">
      <c r="AK204" s="4"/>
    </row>
    <row r="205" ht="16.5" customHeight="1">
      <c r="AK205" s="4"/>
    </row>
    <row r="206" ht="16.5" customHeight="1">
      <c r="AK206" s="4"/>
    </row>
    <row r="207" ht="16.5" customHeight="1">
      <c r="AK207" s="4"/>
    </row>
    <row r="208" ht="16.5" customHeight="1">
      <c r="AK208" s="4"/>
    </row>
    <row r="209" ht="16.5" customHeight="1">
      <c r="AK209" s="4"/>
    </row>
    <row r="210" ht="16.5" customHeight="1">
      <c r="AK210" s="4"/>
    </row>
    <row r="211" ht="16.5" customHeight="1">
      <c r="AK211" s="4"/>
    </row>
    <row r="212" ht="16.5" customHeight="1">
      <c r="AK212" s="4"/>
    </row>
    <row r="213" ht="16.5" customHeight="1">
      <c r="AK213" s="4"/>
    </row>
    <row r="214" ht="16.5" customHeight="1">
      <c r="AK214" s="4"/>
    </row>
    <row r="215" ht="16.5" customHeight="1">
      <c r="AK215" s="4"/>
    </row>
    <row r="216" ht="16.5" customHeight="1">
      <c r="AK216" s="4"/>
    </row>
    <row r="217" ht="16.5" customHeight="1">
      <c r="AK217" s="4"/>
    </row>
    <row r="218" ht="16.5" customHeight="1">
      <c r="AK218" s="4"/>
    </row>
    <row r="219" ht="16.5" customHeight="1">
      <c r="AK219" s="4"/>
    </row>
    <row r="220" ht="16.5" customHeight="1">
      <c r="AK220" s="4"/>
    </row>
    <row r="221" ht="16.5" customHeight="1">
      <c r="AK221" s="4"/>
    </row>
    <row r="222" ht="16.5" customHeight="1">
      <c r="AK222" s="4"/>
    </row>
    <row r="223" ht="16.5" customHeight="1">
      <c r="AK223" s="4"/>
    </row>
    <row r="224" ht="16.5" customHeight="1">
      <c r="AK224" s="4"/>
    </row>
    <row r="225" ht="16.5" customHeight="1">
      <c r="AK225" s="4"/>
    </row>
    <row r="226" ht="16.5" customHeight="1">
      <c r="AK226" s="4"/>
    </row>
    <row r="227" ht="16.5" customHeight="1">
      <c r="AK227" s="4"/>
    </row>
    <row r="228" ht="16.5" customHeight="1">
      <c r="AK228" s="4"/>
    </row>
    <row r="229" ht="16.5" customHeight="1">
      <c r="AK229" s="4"/>
    </row>
    <row r="230" ht="16.5" customHeight="1">
      <c r="AK230" s="4"/>
    </row>
    <row r="231" ht="16.5" customHeight="1">
      <c r="AK231" s="4"/>
    </row>
    <row r="232" ht="16.5" customHeight="1">
      <c r="AK232" s="4"/>
    </row>
    <row r="233" ht="16.5" customHeight="1">
      <c r="AK233" s="4"/>
    </row>
    <row r="234" spans="1:37" s="6" customFormat="1" ht="22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4"/>
    </row>
    <row r="235" spans="1:36" s="6" customFormat="1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s="6" customFormat="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s="6" customFormat="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9" ht="45" customHeight="1"/>
  </sheetData>
  <sheetProtection/>
  <mergeCells count="34">
    <mergeCell ref="AK5:AL8"/>
    <mergeCell ref="E6:T6"/>
    <mergeCell ref="W6:AB6"/>
    <mergeCell ref="AC6:AD8"/>
    <mergeCell ref="Y7:Z8"/>
    <mergeCell ref="AA7:AB8"/>
    <mergeCell ref="A1:N1"/>
    <mergeCell ref="A2:N2"/>
    <mergeCell ref="M3:N3"/>
    <mergeCell ref="U3:V3"/>
    <mergeCell ref="A4:A9"/>
    <mergeCell ref="B4:B9"/>
    <mergeCell ref="E8:F8"/>
    <mergeCell ref="G8:H8"/>
    <mergeCell ref="C4:D8"/>
    <mergeCell ref="E4:Z4"/>
    <mergeCell ref="AK4:AL4"/>
    <mergeCell ref="E5:T5"/>
    <mergeCell ref="U5:V8"/>
    <mergeCell ref="W5:AB5"/>
    <mergeCell ref="AC5:AH5"/>
    <mergeCell ref="AI5:AJ8"/>
    <mergeCell ref="AE8:AF8"/>
    <mergeCell ref="AG8:AH8"/>
    <mergeCell ref="M7:N8"/>
    <mergeCell ref="O7:P8"/>
    <mergeCell ref="A130:B130"/>
    <mergeCell ref="AE6:AH7"/>
    <mergeCell ref="E7:H7"/>
    <mergeCell ref="I7:J8"/>
    <mergeCell ref="K7:L8"/>
    <mergeCell ref="Q7:R8"/>
    <mergeCell ref="S7:T8"/>
    <mergeCell ref="W7:X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2011-11-23T12:32:41Z</cp:lastPrinted>
  <dcterms:created xsi:type="dcterms:W3CDTF">2002-03-15T09:46:46Z</dcterms:created>
  <dcterms:modified xsi:type="dcterms:W3CDTF">2011-11-23T12:39:48Z</dcterms:modified>
  <cp:category/>
  <cp:version/>
  <cp:contentType/>
  <cp:contentStatus/>
</cp:coreProperties>
</file>